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3.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19.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Override PartName="/xl/commentsmeta12" ContentType="application/binary"/>
  <Override PartName="/xl/commentsmeta13" ContentType="application/binary"/>
  <Override PartName="/xl/commentsmeta14" ContentType="application/binary"/>
  <Override PartName="/xl/commentsmeta15" ContentType="application/binary"/>
  <Override PartName="/xl/commentsmeta16" ContentType="application/binary"/>
  <Override PartName="/xl/commentsmeta17" ContentType="application/binary"/>
  <Override PartName="/xl/commentsmeta18"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user\Documents\ELIZ-2022\02 - Documentation\RC_Rendus_Compet\Eté 2025\SES\"/>
    </mc:Choice>
  </mc:AlternateContent>
  <xr:revisionPtr revIDLastSave="0" documentId="13_ncr:1_{66986B91-6A94-46EE-B2FD-F649CE57FDCF}" xr6:coauthVersionLast="47" xr6:coauthVersionMax="47" xr10:uidLastSave="{00000000-0000-0000-0000-000000000000}"/>
  <bookViews>
    <workbookView xWindow="-120" yWindow="-120" windowWidth="29040" windowHeight="15720" firstSheet="15" activeTab="18" xr2:uid="{00000000-000D-0000-FFFF-FFFF00000000}"/>
  </bookViews>
  <sheets>
    <sheet name="Read_Me" sheetId="1" r:id="rId1"/>
    <sheet name="Version History" sheetId="2" r:id="rId2"/>
    <sheet name="Rules Clarifications" sheetId="3" r:id="rId3"/>
    <sheet name="Cover Sheet" sheetId="4" r:id="rId4"/>
    <sheet name="Chassis Pics" sheetId="5" r:id="rId5"/>
    <sheet name="A2.2 First year vehicle" sheetId="6" r:id="rId6"/>
    <sheet name="MaterialData" sheetId="7" r:id="rId7"/>
    <sheet name="T3.5 Laminate Test" sheetId="8" r:id="rId8"/>
    <sheet name="T3.5 FBHS" sheetId="9" r:id="rId9"/>
    <sheet name="T3.5 FBH" sheetId="10" r:id="rId10"/>
    <sheet name="T3.5 Different Layups" sheetId="11" r:id="rId11"/>
    <sheet name="T3.5.9 Shear Tests" sheetId="12" r:id="rId12"/>
    <sheet name="Other 1 Matt´l Shear" sheetId="13" r:id="rId13"/>
    <sheet name="T3.8 Main Hoop Tubing" sheetId="14" r:id="rId14"/>
    <sheet name="T3.10 Main Hoop Bracing" sheetId="15" r:id="rId15"/>
    <sheet name="T3.9 Front Hoop Tubing" sheetId="16" r:id="rId16"/>
    <sheet name="T3.10.5 T3.5 MHoop Brace Spt" sheetId="17" r:id="rId17"/>
    <sheet name="T3.11 T3.5 FHoop Bracing" sheetId="18" r:id="rId18"/>
    <sheet name="T3.13 T3.5 FBH Spt Structure" sheetId="19" r:id="rId19"/>
    <sheet name="T3.12 T3.5 Ft Bulkhead" sheetId="20" r:id="rId20"/>
    <sheet name="T3.16.3 IA AI Plate" sheetId="21" r:id="rId21"/>
    <sheet name="T3.14 T3.5 SIS" sheetId="22" r:id="rId22"/>
    <sheet name="T5.5 Shoulder Harness Bar" sheetId="23" r:id="rId23"/>
    <sheet name="EV5.5.1&amp;2 EV4.4 ACPS TSPS Side" sheetId="24" r:id="rId24"/>
    <sheet name="EV5.5.1&amp;2 EV4.4 ACPS TSPS Rear" sheetId="25" r:id="rId25"/>
    <sheet name="EV5.5.1&amp;2 EV4.4 ACPS TSPS sidex" sheetId="26" state="hidden" r:id="rId26"/>
    <sheet name="EV5.5.1&amp;2 EV4.4 ACPS TSPS rearx" sheetId="27" state="hidden" r:id="rId27"/>
    <sheet name="T4.5 Harness Attachments" sheetId="28" r:id="rId28"/>
    <sheet name="T3.15 MH &amp; MH Bing Attachments" sheetId="29" r:id="rId29"/>
    <sheet name="T3.15 FH &amp; FH Bing Attachments" sheetId="30" r:id="rId30"/>
    <sheet name="T3.15.6&amp;3.16.5 Prim.Struc.Att." sheetId="31" r:id="rId31"/>
    <sheet name="T3.15.7 Prim.Struct.Att. Blind" sheetId="32" r:id="rId32"/>
    <sheet name="EV5.5.8 TSAC attachments" sheetId="33" r:id="rId33"/>
    <sheet name="T1.2.1 T4.6 T4.8 Firewall" sheetId="34" r:id="rId34"/>
    <sheet name="Monocoque Lap Joints" sheetId="35" r:id="rId35"/>
    <sheet name="Welded Tube Inserts" sheetId="36" r:id="rId36"/>
    <sheet name="Steering Rack Collars" sheetId="37" r:id="rId37"/>
    <sheet name="Additional Info" sheetId="38" r:id="rId38"/>
    <sheet name="T3.3.3 Additional Info" sheetId="39" r:id="rId39"/>
    <sheet name="T3.3.3 Additional Info (2)" sheetId="40" r:id="rId40"/>
    <sheet name="T1.1 Guidance Notes" sheetId="41" r:id="rId41"/>
    <sheet name="T3.5 Guidance Notes" sheetId="42" r:id="rId42"/>
    <sheet name="T3.10.5 T3.5 Guidance Notes" sheetId="43" r:id="rId43"/>
    <sheet name="T3.11 T3.5 Guidance Notes" sheetId="44" r:id="rId44"/>
    <sheet name="T3.13 T3.5 Guidance Notes" sheetId="45" r:id="rId45"/>
    <sheet name="T3.16.3 Guidance Notes" sheetId="46" r:id="rId46"/>
    <sheet name="T3.14 T3.5 Guidance Notes" sheetId="47" r:id="rId47"/>
    <sheet name="T3.5.9 Guidance Notes" sheetId="48" r:id="rId48"/>
    <sheet name="T4.5 Guidance Notes" sheetId="49" r:id="rId49"/>
    <sheet name="EV4.4 Guidance Notes" sheetId="50" r:id="rId50"/>
    <sheet name="EV5.5 TSAC Attachment Guidance" sheetId="51" r:id="rId51"/>
    <sheet name="Monocoque Attachments Guidance" sheetId="52" r:id="rId52"/>
    <sheet name="Front Hoop Attachment Guidance" sheetId="53" r:id="rId53"/>
  </sheets>
  <definedNames>
    <definedName name="AIP" localSheetId="32">#REF!,#REF!</definedName>
    <definedName name="AIP" localSheetId="19">MaterialData!$C$3:$F$3,MaterialData!$P$3</definedName>
    <definedName name="AIP">MaterialData!$C$3:$F$3,MaterialData!$P$3</definedName>
    <definedName name="ConstructionType" localSheetId="32">#REF!</definedName>
    <definedName name="ConstructionType" localSheetId="19">MaterialData!$B$23:$B$25</definedName>
    <definedName name="ConstructionType">MaterialData!$B$23:$B$25</definedName>
    <definedName name="Google_Sheet_Link_1011044036" hidden="1">Guidance_notes_IA_and_AIP</definedName>
    <definedName name="Google_Sheet_Link_1843597192" hidden="1">Guidance_notes_FHB</definedName>
    <definedName name="Guidance_notes_FBHS" localSheetId="49">'EV4.4 Guidance Notes'!$A$1</definedName>
    <definedName name="Guidance_notes_FBHS" localSheetId="32">#REF!</definedName>
    <definedName name="Guidance_notes_FBHS">'T3.13 T3.5 Guidance Notes'!$A$1</definedName>
    <definedName name="Guidance_notes_FHB" localSheetId="32">#REF!</definedName>
    <definedName name="Guidance_notes_FHB">'T3.11 T3.5 Guidance Notes'!$A$1</definedName>
    <definedName name="Guidance_notes_IA_and_AIP" localSheetId="32">#REF!</definedName>
    <definedName name="Guidance_notes_IA_and_AIP">'T3.16.3 Guidance Notes'!$A$1</definedName>
    <definedName name="Guidance_notes_MHBS" localSheetId="32">#REF!</definedName>
    <definedName name="Guidance_notes_MHBS" localSheetId="40">'T1.1 Guidance Notes'!$A$1</definedName>
    <definedName name="Guidance_notes_MHBS" localSheetId="41">'T3.5 Guidance Notes'!$A$1</definedName>
    <definedName name="Guidance_notes_MHBS">'T3.10.5 T3.5 Guidance Notes'!$A$1</definedName>
    <definedName name="Guidance_notes_Monocoque_Attachments" localSheetId="32">#REF!</definedName>
    <definedName name="Guidance_notes_Monocoque_Attachments">'Monocoque Attachments Guidance'!$A$1</definedName>
    <definedName name="Guidance_notes_Perimeter_Shear" localSheetId="48">'T4.5 Guidance Notes'!$A$1</definedName>
    <definedName name="Guidance_notes_Perimeter_Shear">'T3.5.9 Guidance Notes'!$A$1</definedName>
    <definedName name="Guidance_notes_SIS" localSheetId="32">#REF!</definedName>
    <definedName name="Guidance_notes_SIS">'T3.14 T3.5 Guidance Notes'!$A$1</definedName>
    <definedName name="Guidance_notes_TSPS" localSheetId="32">#REF!</definedName>
    <definedName name="Guidance_notes_TSPS">'EV4.4 Guidance Notes'!$A$1</definedName>
    <definedName name="Innertable" localSheetId="32">#REF!</definedName>
    <definedName name="Innertable" localSheetId="52">MaterialData!$C$6:$S$11</definedName>
    <definedName name="Innertable" localSheetId="12">MaterialData!$C$6:$S$11</definedName>
    <definedName name="Innertable" localSheetId="33">MaterialData!$C$6:$S$11</definedName>
    <definedName name="Innertable" localSheetId="19">MaterialData!$C$6:$S$11</definedName>
    <definedName name="Innertable">MaterialData!$C$6:$S$11</definedName>
    <definedName name="Lijst" localSheetId="32">#REF!</definedName>
    <definedName name="Lijst">'T1.2.1 T4.6 T4.8 Firewall'!$K$6:$L$7</definedName>
    <definedName name="Link_to_guidance_notes" localSheetId="32">#REF!</definedName>
    <definedName name="Link_to_guidance_notes">#REF!</definedName>
    <definedName name="Link_to_guidance_notes__Front_Hoop__FH__attachments" localSheetId="32">#REF!</definedName>
    <definedName name="Link_to_guidance_notes__Front_Hoop__FH__attachments">'Front Hoop Attachment Guidance'!$A$1:$S$1</definedName>
    <definedName name="Link_to_guidance_notes_cell_stacks" localSheetId="32">#REF!</definedName>
    <definedName name="Link_to_guidance_notes_cell_stacks">#REF!</definedName>
    <definedName name="Link_to_guidance_notes_TSAC_attachment">'EV5.5 TSAC Attachment Guidance'!$A$1</definedName>
    <definedName name="Material" localSheetId="32">#REF!</definedName>
    <definedName name="Material" localSheetId="52">MaterialData!$C$3:$S$3</definedName>
    <definedName name="Material" localSheetId="33">MaterialData!$C$3:$S$3</definedName>
    <definedName name="Material" localSheetId="19">MaterialData!$C$3:$S$3</definedName>
    <definedName name="Material">MaterialData!$C$3:$S$3</definedName>
    <definedName name="Materialname" localSheetId="32">#REF!</definedName>
    <definedName name="Materialname">MaterialData!$C$4:$S$4</definedName>
    <definedName name="Materials" localSheetId="32">#REF!</definedName>
    <definedName name="Materials" localSheetId="52">MaterialData!$C$3:$S$3</definedName>
    <definedName name="Materials" localSheetId="12">MaterialData!$C$3:$S$3</definedName>
    <definedName name="Materials" localSheetId="33">MaterialData!$C$3:$S$3</definedName>
    <definedName name="Materials" localSheetId="19">MaterialData!$C$3:$S$3</definedName>
    <definedName name="Materials">MaterialData!$C$3:$S$3</definedName>
    <definedName name="Metallic_Mats" localSheetId="32">#REF!</definedName>
    <definedName name="Metallic_Mats" localSheetId="52">MaterialData!$C$3:$F$3</definedName>
    <definedName name="Metallic_Mats" localSheetId="12">MaterialData!$C$3:$F$3</definedName>
    <definedName name="Metallic_Mats" localSheetId="33">MaterialData!$C$3:$F$3</definedName>
    <definedName name="Metallic_Mats" localSheetId="19">MaterialData!$C$3:$F$3</definedName>
    <definedName name="Metallic_Mats">MaterialData!$C$3:$F$3</definedName>
    <definedName name="Table" localSheetId="32">#REF!</definedName>
    <definedName name="Table">MaterialData!$B$3:$P$11</definedName>
    <definedName name="Tube_Type" localSheetId="32">#REF!</definedName>
    <definedName name="Tube_Type" localSheetId="19">MaterialData!$B$27:$B$28</definedName>
    <definedName name="Tube_Type">MaterialData!$B$27:$B$28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7" roundtripDataChecksum="YLS+qBVzyYpfrmi7knJnNVTe/SUSKPbU2hpDyuRWWJQ="/>
    </ext>
  </extLst>
</workbook>
</file>

<file path=xl/calcChain.xml><?xml version="1.0" encoding="utf-8"?>
<calcChain xmlns="http://schemas.openxmlformats.org/spreadsheetml/2006/main">
  <c r="O3" i="40" l="1"/>
  <c r="D3" i="40"/>
  <c r="O3" i="39"/>
  <c r="D3" i="39"/>
  <c r="O3" i="38"/>
  <c r="D3" i="38"/>
  <c r="C25" i="37"/>
  <c r="D19" i="37"/>
  <c r="C19" i="37"/>
  <c r="D11" i="37"/>
  <c r="C11" i="37"/>
  <c r="C26" i="37" s="1"/>
  <c r="D10" i="37"/>
  <c r="C10" i="37"/>
  <c r="C9" i="37"/>
  <c r="D8" i="37"/>
  <c r="C8" i="37"/>
  <c r="D7" i="37"/>
  <c r="C7" i="37"/>
  <c r="C6" i="37"/>
  <c r="D6" i="37" s="1"/>
  <c r="D4" i="37"/>
  <c r="D9" i="37" s="1"/>
  <c r="D27" i="36"/>
  <c r="E26" i="36"/>
  <c r="D26" i="36"/>
  <c r="D23" i="36"/>
  <c r="C23" i="36"/>
  <c r="C21" i="36"/>
  <c r="C18" i="36"/>
  <c r="C17" i="36"/>
  <c r="C19" i="36" s="1"/>
  <c r="D11" i="36"/>
  <c r="C9" i="36"/>
  <c r="D8" i="36"/>
  <c r="C8" i="36"/>
  <c r="C7" i="36"/>
  <c r="C20" i="36" s="1"/>
  <c r="D6" i="36"/>
  <c r="C6" i="36"/>
  <c r="D4" i="36"/>
  <c r="D10" i="36" s="1"/>
  <c r="C16" i="35"/>
  <c r="C14" i="35"/>
  <c r="C10" i="35"/>
  <c r="B6" i="35"/>
  <c r="E38" i="34"/>
  <c r="E39" i="34" s="1"/>
  <c r="C38" i="34"/>
  <c r="E32" i="34"/>
  <c r="E23" i="34"/>
  <c r="E24" i="34" s="1"/>
  <c r="D3" i="34" s="1"/>
  <c r="T46" i="4" s="1"/>
  <c r="C23" i="34"/>
  <c r="C11" i="34"/>
  <c r="B11" i="34"/>
  <c r="N3" i="33"/>
  <c r="D3" i="33"/>
  <c r="Y38" i="32"/>
  <c r="AA38" i="32" s="1" a="1"/>
  <c r="AA38" i="32" s="1"/>
  <c r="G38" i="32" a="1"/>
  <c r="G38" i="32" s="1"/>
  <c r="E38" i="32"/>
  <c r="Z37" i="32"/>
  <c r="F37" i="32" a="1"/>
  <c r="F37" i="32" s="1"/>
  <c r="AJ3" i="32"/>
  <c r="Y3" i="32"/>
  <c r="P3" i="32"/>
  <c r="E3" i="32"/>
  <c r="U60" i="31"/>
  <c r="V60" i="31" s="1"/>
  <c r="M60" i="31"/>
  <c r="L60" i="31"/>
  <c r="U59" i="31"/>
  <c r="V59" i="31" s="1"/>
  <c r="M59" i="31"/>
  <c r="L59" i="31"/>
  <c r="U58" i="31"/>
  <c r="V58" i="31" s="1"/>
  <c r="M58" i="31"/>
  <c r="L58" i="31"/>
  <c r="U57" i="31"/>
  <c r="V57" i="31" s="1"/>
  <c r="U24" i="31" s="1"/>
  <c r="M57" i="31"/>
  <c r="L57" i="31"/>
  <c r="V54" i="31"/>
  <c r="M54" i="31"/>
  <c r="V53" i="31"/>
  <c r="M53" i="31"/>
  <c r="V50" i="31"/>
  <c r="M50" i="31"/>
  <c r="V44" i="31"/>
  <c r="M44" i="31"/>
  <c r="D44" i="31"/>
  <c r="V43" i="31"/>
  <c r="M43" i="31"/>
  <c r="C43" i="31"/>
  <c r="C41" i="31"/>
  <c r="V40" i="31"/>
  <c r="M40" i="31"/>
  <c r="V31" i="31"/>
  <c r="M31" i="31"/>
  <c r="V30" i="31"/>
  <c r="M30" i="31"/>
  <c r="V29" i="31"/>
  <c r="T33" i="31" s="1"/>
  <c r="M29" i="31"/>
  <c r="D29" i="31"/>
  <c r="U27" i="31"/>
  <c r="L27" i="31"/>
  <c r="C27" i="31"/>
  <c r="C24" i="31"/>
  <c r="F3" i="31"/>
  <c r="L25" i="30"/>
  <c r="J25" i="30"/>
  <c r="H25" i="30"/>
  <c r="F25" i="30"/>
  <c r="D25" i="30"/>
  <c r="L24" i="30"/>
  <c r="J24" i="30"/>
  <c r="H24" i="30"/>
  <c r="F24" i="30"/>
  <c r="D24" i="30"/>
  <c r="L18" i="30"/>
  <c r="J18" i="30"/>
  <c r="H18" i="30"/>
  <c r="F18" i="30"/>
  <c r="D18" i="30"/>
  <c r="L15" i="30"/>
  <c r="J15" i="30"/>
  <c r="H15" i="30"/>
  <c r="F15" i="30"/>
  <c r="D15" i="30"/>
  <c r="L14" i="30"/>
  <c r="J14" i="30"/>
  <c r="H14" i="30"/>
  <c r="F14" i="30"/>
  <c r="D14" i="30"/>
  <c r="F12" i="30"/>
  <c r="L11" i="30"/>
  <c r="J11" i="30"/>
  <c r="H11" i="30"/>
  <c r="F11" i="30"/>
  <c r="D11" i="30"/>
  <c r="L10" i="30"/>
  <c r="J10" i="30"/>
  <c r="H10" i="30"/>
  <c r="F10" i="30"/>
  <c r="D10" i="30"/>
  <c r="K8" i="30"/>
  <c r="I8" i="30"/>
  <c r="H28" i="29"/>
  <c r="G28" i="29"/>
  <c r="G27" i="29"/>
  <c r="H27" i="29" s="1"/>
  <c r="H26" i="29"/>
  <c r="G26" i="29"/>
  <c r="L25" i="29"/>
  <c r="J25" i="29"/>
  <c r="H25" i="29"/>
  <c r="F25" i="29"/>
  <c r="D25" i="29"/>
  <c r="L24" i="29"/>
  <c r="J24" i="29"/>
  <c r="H24" i="29"/>
  <c r="F24" i="29"/>
  <c r="D24" i="29"/>
  <c r="G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F52" i="28"/>
  <c r="F48" i="28"/>
  <c r="F44" i="28"/>
  <c r="E43" i="28"/>
  <c r="F40" i="28"/>
  <c r="E39" i="28" a="1"/>
  <c r="E39" i="28"/>
  <c r="AD17" i="28"/>
  <c r="Z17" i="28"/>
  <c r="AD16" i="28"/>
  <c r="Z16" i="28"/>
  <c r="AD15" i="28"/>
  <c r="Z15" i="28"/>
  <c r="AD14" i="28"/>
  <c r="AE14" i="28" s="1"/>
  <c r="AD13" i="28"/>
  <c r="Z13" i="28"/>
  <c r="Z18" i="28" s="1"/>
  <c r="AA18" i="28" s="1"/>
  <c r="AD8" i="28" a="1"/>
  <c r="AD8" i="28" s="1"/>
  <c r="Z7" i="28" a="1"/>
  <c r="Z7" i="28"/>
  <c r="AD5" i="28"/>
  <c r="AD7" i="28" s="1" a="1"/>
  <c r="AD7" i="28" s="1"/>
  <c r="Z5" i="28"/>
  <c r="Z8" i="28" s="1" a="1"/>
  <c r="Z8" i="28" s="1"/>
  <c r="O3" i="28"/>
  <c r="D3" i="28"/>
  <c r="G36" i="27"/>
  <c r="F36" i="27"/>
  <c r="I35" i="27"/>
  <c r="F35" i="27"/>
  <c r="I34" i="27"/>
  <c r="F34" i="27"/>
  <c r="F33" i="27"/>
  <c r="I32" i="27"/>
  <c r="G32" i="27"/>
  <c r="F32" i="27"/>
  <c r="C32" i="27"/>
  <c r="I31" i="27"/>
  <c r="F31" i="27"/>
  <c r="I30" i="27"/>
  <c r="F30" i="27"/>
  <c r="G29" i="27"/>
  <c r="F29" i="27"/>
  <c r="E28" i="27"/>
  <c r="C28" i="27"/>
  <c r="I27" i="27"/>
  <c r="F27" i="27"/>
  <c r="I26" i="27"/>
  <c r="I33" i="27" s="1"/>
  <c r="F25" i="27"/>
  <c r="C25" i="27"/>
  <c r="C26" i="27" s="1"/>
  <c r="G24" i="27"/>
  <c r="F24" i="27"/>
  <c r="F28" i="27" s="1"/>
  <c r="E24" i="27"/>
  <c r="C24" i="27"/>
  <c r="I18" i="27"/>
  <c r="M11" i="27" s="1"/>
  <c r="G18" i="27"/>
  <c r="F18" i="27"/>
  <c r="E18" i="27"/>
  <c r="I12" i="27" a="1"/>
  <c r="I12" i="27" s="1"/>
  <c r="F12" i="27" a="1"/>
  <c r="F12" i="27"/>
  <c r="C12" i="27" a="1"/>
  <c r="C12" i="27"/>
  <c r="I11" i="27" a="1"/>
  <c r="I11" i="27" s="1"/>
  <c r="F11" i="27" a="1"/>
  <c r="F11" i="27"/>
  <c r="C11" i="27" a="1"/>
  <c r="C11" i="27" s="1"/>
  <c r="C31" i="27" s="1"/>
  <c r="M10" i="27"/>
  <c r="F10" i="27" a="1"/>
  <c r="F10" i="27"/>
  <c r="C10" i="27" a="1"/>
  <c r="C10" i="27"/>
  <c r="C33" i="27" s="1"/>
  <c r="F9" i="27" a="1"/>
  <c r="F9" i="27"/>
  <c r="C9" i="27" a="1"/>
  <c r="C9" i="27" s="1"/>
  <c r="F8" i="27" a="1"/>
  <c r="F8" i="27" s="1"/>
  <c r="C8" i="27" a="1"/>
  <c r="C8" i="27"/>
  <c r="C27" i="27" s="1"/>
  <c r="C36" i="27" s="1"/>
  <c r="G7" i="27"/>
  <c r="G11" i="27" s="1" a="1"/>
  <c r="G11" i="27" s="1"/>
  <c r="F7" i="27"/>
  <c r="E7" i="27"/>
  <c r="C7" i="27"/>
  <c r="N6" i="27"/>
  <c r="M6" i="27"/>
  <c r="M5" i="27"/>
  <c r="G36" i="26"/>
  <c r="F36" i="26"/>
  <c r="F35" i="26"/>
  <c r="I34" i="26"/>
  <c r="G34" i="26"/>
  <c r="F34" i="26"/>
  <c r="G33" i="26"/>
  <c r="F32" i="26"/>
  <c r="G31" i="26"/>
  <c r="F31" i="26"/>
  <c r="G30" i="26"/>
  <c r="F30" i="26"/>
  <c r="G29" i="26"/>
  <c r="F29" i="26"/>
  <c r="C28" i="26"/>
  <c r="F27" i="26"/>
  <c r="I26" i="26"/>
  <c r="F25" i="26"/>
  <c r="C25" i="26"/>
  <c r="G24" i="26"/>
  <c r="G32" i="26" s="1"/>
  <c r="F24" i="26"/>
  <c r="F33" i="26" s="1"/>
  <c r="E24" i="26"/>
  <c r="C24" i="26"/>
  <c r="C26" i="26" s="1"/>
  <c r="I18" i="26"/>
  <c r="G18" i="26"/>
  <c r="F18" i="26"/>
  <c r="E18" i="26"/>
  <c r="I12" i="26" a="1"/>
  <c r="I12" i="26" s="1"/>
  <c r="G12" i="26" a="1"/>
  <c r="G12" i="26" s="1"/>
  <c r="C12" i="26" a="1"/>
  <c r="C12" i="26" s="1"/>
  <c r="M11" i="26"/>
  <c r="I11" i="26" a="1"/>
  <c r="I11" i="26" s="1"/>
  <c r="C11" i="26" a="1"/>
  <c r="C11" i="26" s="1"/>
  <c r="M10" i="26"/>
  <c r="G10" i="26" a="1"/>
  <c r="G10" i="26"/>
  <c r="C10" i="26" a="1"/>
  <c r="C10" i="26" s="1"/>
  <c r="O9" i="26"/>
  <c r="M9" i="26"/>
  <c r="C9" i="26" a="1"/>
  <c r="C9" i="26" s="1"/>
  <c r="M8" i="26"/>
  <c r="M12" i="26" s="1"/>
  <c r="O11" i="26" s="1"/>
  <c r="G8" i="26" a="1"/>
  <c r="G8" i="26"/>
  <c r="F8" i="26" a="1"/>
  <c r="F8" i="26" s="1"/>
  <c r="C8" i="26" a="1"/>
  <c r="C8" i="26" s="1"/>
  <c r="G7" i="26"/>
  <c r="F7" i="26"/>
  <c r="E7" i="26"/>
  <c r="C7" i="26"/>
  <c r="N6" i="26"/>
  <c r="M6" i="26"/>
  <c r="O8" i="26" s="1"/>
  <c r="N5" i="26"/>
  <c r="M5" i="26"/>
  <c r="G36" i="25"/>
  <c r="F36" i="25"/>
  <c r="I35" i="25"/>
  <c r="K34" i="25"/>
  <c r="J34" i="25"/>
  <c r="I34" i="25"/>
  <c r="F34" i="25"/>
  <c r="I33" i="25"/>
  <c r="G33" i="25"/>
  <c r="J32" i="25"/>
  <c r="I32" i="25"/>
  <c r="G32" i="25"/>
  <c r="F32" i="25"/>
  <c r="I31" i="25"/>
  <c r="G31" i="25"/>
  <c r="C31" i="25"/>
  <c r="J30" i="25"/>
  <c r="I30" i="25"/>
  <c r="I29" i="25"/>
  <c r="J28" i="25"/>
  <c r="I28" i="25"/>
  <c r="G28" i="25"/>
  <c r="F28" i="25"/>
  <c r="C28" i="25"/>
  <c r="J27" i="25"/>
  <c r="G27" i="25"/>
  <c r="F27" i="25"/>
  <c r="J26" i="25"/>
  <c r="I26" i="25"/>
  <c r="I27" i="25" s="1"/>
  <c r="G26" i="25"/>
  <c r="F26" i="25"/>
  <c r="G25" i="25"/>
  <c r="F25" i="25"/>
  <c r="C25" i="25"/>
  <c r="G24" i="25"/>
  <c r="G35" i="25" s="1"/>
  <c r="F24" i="25"/>
  <c r="E24" i="25"/>
  <c r="E25" i="25" s="1"/>
  <c r="C24" i="25"/>
  <c r="C26" i="25" s="1"/>
  <c r="M21" i="25"/>
  <c r="T20" i="25"/>
  <c r="M20" i="25"/>
  <c r="V19" i="25"/>
  <c r="T19" i="25"/>
  <c r="J18" i="25"/>
  <c r="T21" i="25" s="1"/>
  <c r="I18" i="25"/>
  <c r="T11" i="25" s="1"/>
  <c r="G18" i="25"/>
  <c r="F18" i="25"/>
  <c r="E18" i="25"/>
  <c r="U16" i="25"/>
  <c r="T16" i="25"/>
  <c r="T18" i="25" s="1"/>
  <c r="T22" i="25" s="1"/>
  <c r="U15" i="25"/>
  <c r="T15" i="25"/>
  <c r="J12" i="25" a="1"/>
  <c r="J12" i="25" s="1"/>
  <c r="I12" i="25" a="1"/>
  <c r="I12" i="25"/>
  <c r="G12" i="25" a="1"/>
  <c r="G12" i="25" s="1"/>
  <c r="E12" i="25" a="1"/>
  <c r="E12" i="25"/>
  <c r="J11" i="25" a="1"/>
  <c r="J11" i="25" s="1"/>
  <c r="I11" i="25" a="1"/>
  <c r="I11" i="25"/>
  <c r="F11" i="25" a="1"/>
  <c r="F11" i="25" s="1"/>
  <c r="C11" i="25" a="1"/>
  <c r="C11" i="25"/>
  <c r="T10" i="25"/>
  <c r="E10" i="25" a="1"/>
  <c r="E10" i="25" s="1"/>
  <c r="C10" i="25" a="1"/>
  <c r="C10" i="25" s="1"/>
  <c r="C33" i="25" s="1"/>
  <c r="C9" i="25" a="1"/>
  <c r="C9" i="25" s="1"/>
  <c r="C29" i="25" s="1"/>
  <c r="F8" i="25" a="1"/>
  <c r="F8" i="25" s="1"/>
  <c r="C8" i="25" a="1"/>
  <c r="C8" i="25"/>
  <c r="C27" i="25" s="1"/>
  <c r="C36" i="25" s="1"/>
  <c r="G7" i="25"/>
  <c r="F7" i="25"/>
  <c r="E7" i="25"/>
  <c r="C7" i="25"/>
  <c r="C12" i="25" s="1" a="1"/>
  <c r="C12" i="25" s="1"/>
  <c r="U6" i="25"/>
  <c r="T6" i="25"/>
  <c r="T5" i="25"/>
  <c r="G36" i="24"/>
  <c r="F36" i="24"/>
  <c r="J35" i="24"/>
  <c r="G35" i="24"/>
  <c r="K34" i="24"/>
  <c r="J34" i="24"/>
  <c r="I34" i="24"/>
  <c r="G34" i="24"/>
  <c r="G33" i="24"/>
  <c r="J32" i="24"/>
  <c r="J31" i="24"/>
  <c r="J30" i="24"/>
  <c r="J28" i="24"/>
  <c r="G27" i="24"/>
  <c r="J26" i="24"/>
  <c r="I26" i="24"/>
  <c r="G26" i="24"/>
  <c r="C25" i="24"/>
  <c r="G24" i="24"/>
  <c r="F24" i="24"/>
  <c r="E24" i="24"/>
  <c r="C24" i="24"/>
  <c r="C26" i="24" s="1"/>
  <c r="M21" i="24"/>
  <c r="T20" i="24"/>
  <c r="M20" i="24"/>
  <c r="V19" i="24"/>
  <c r="V18" i="24"/>
  <c r="J18" i="24"/>
  <c r="T21" i="24" s="1"/>
  <c r="I18" i="24"/>
  <c r="T11" i="24" s="1"/>
  <c r="G18" i="24"/>
  <c r="F18" i="24"/>
  <c r="E18" i="24"/>
  <c r="U16" i="24"/>
  <c r="T16" i="24"/>
  <c r="U15" i="24"/>
  <c r="T15" i="24"/>
  <c r="T18" i="24" s="1"/>
  <c r="J12" i="24" a="1"/>
  <c r="J12" i="24" s="1"/>
  <c r="I12" i="24" a="1"/>
  <c r="I12" i="24" s="1"/>
  <c r="G12" i="24" a="1"/>
  <c r="G12" i="24" s="1"/>
  <c r="F12" i="24"/>
  <c r="E12" i="24" a="1"/>
  <c r="E12" i="24" s="1"/>
  <c r="C12" i="24" a="1"/>
  <c r="C12" i="24" s="1"/>
  <c r="J11" i="24" a="1"/>
  <c r="J11" i="24"/>
  <c r="I11" i="24" a="1"/>
  <c r="I11" i="24" s="1"/>
  <c r="G11" i="24" a="1"/>
  <c r="G11" i="24" s="1"/>
  <c r="F11" i="24" a="1"/>
  <c r="F11" i="24"/>
  <c r="E11" i="24" a="1"/>
  <c r="E11" i="24" s="1"/>
  <c r="T10" i="24"/>
  <c r="E10" i="24" a="1"/>
  <c r="E10" i="24" s="1"/>
  <c r="C10" i="24" a="1"/>
  <c r="C10" i="24"/>
  <c r="G9" i="24" a="1"/>
  <c r="G9" i="24"/>
  <c r="F9" i="24" a="1"/>
  <c r="F9" i="24" s="1"/>
  <c r="E9" i="24" a="1"/>
  <c r="E9" i="24" s="1"/>
  <c r="T8" i="24"/>
  <c r="F8" i="24" a="1"/>
  <c r="F8" i="24"/>
  <c r="E8" i="24" a="1"/>
  <c r="E8" i="24" s="1"/>
  <c r="C8" i="24" a="1"/>
  <c r="C8" i="24" s="1"/>
  <c r="C27" i="24" s="1"/>
  <c r="C36" i="24" s="1"/>
  <c r="G7" i="24"/>
  <c r="F7" i="24"/>
  <c r="F12" i="24" s="1" a="1"/>
  <c r="E7" i="24"/>
  <c r="C7" i="24"/>
  <c r="U6" i="24"/>
  <c r="T6" i="24"/>
  <c r="U5" i="24"/>
  <c r="T5" i="24"/>
  <c r="V8" i="24" s="1"/>
  <c r="E42" i="23"/>
  <c r="E41" i="23"/>
  <c r="E40" i="23"/>
  <c r="F37" i="23"/>
  <c r="F36" i="23"/>
  <c r="F35" i="23"/>
  <c r="F34" i="23"/>
  <c r="F33" i="23"/>
  <c r="F32" i="23"/>
  <c r="F31" i="23"/>
  <c r="F30" i="23"/>
  <c r="F29" i="23"/>
  <c r="F28" i="23"/>
  <c r="E28" i="23"/>
  <c r="G28" i="23" s="1"/>
  <c r="C28" i="23"/>
  <c r="E27" i="23"/>
  <c r="E26" i="23"/>
  <c r="C26" i="23"/>
  <c r="I23" i="23"/>
  <c r="I22" i="23"/>
  <c r="F20" i="23"/>
  <c r="J11" i="23" s="1"/>
  <c r="C16" i="23"/>
  <c r="C27" i="23" s="1"/>
  <c r="C15" i="23"/>
  <c r="F11" i="23" a="1"/>
  <c r="F11" i="23"/>
  <c r="J10" i="23"/>
  <c r="J8" i="23"/>
  <c r="F8" i="23" a="1"/>
  <c r="F8" i="23" s="1"/>
  <c r="F7" i="23"/>
  <c r="E7" i="23"/>
  <c r="C7" i="23"/>
  <c r="K6" i="23"/>
  <c r="J6" i="23"/>
  <c r="J5" i="23"/>
  <c r="K5" i="23" s="1"/>
  <c r="G36" i="22"/>
  <c r="F36" i="22"/>
  <c r="G35" i="22"/>
  <c r="K34" i="22"/>
  <c r="J34" i="22"/>
  <c r="I34" i="22"/>
  <c r="G34" i="22"/>
  <c r="F34" i="22"/>
  <c r="G33" i="22"/>
  <c r="J32" i="22"/>
  <c r="I32" i="22"/>
  <c r="F32" i="22"/>
  <c r="J31" i="22"/>
  <c r="J30" i="22"/>
  <c r="I30" i="22"/>
  <c r="J29" i="22"/>
  <c r="I29" i="22"/>
  <c r="J28" i="22"/>
  <c r="C28" i="22"/>
  <c r="G27" i="22"/>
  <c r="J26" i="22"/>
  <c r="J35" i="22" s="1"/>
  <c r="I26" i="22"/>
  <c r="I31" i="22" s="1"/>
  <c r="G26" i="22"/>
  <c r="C25" i="22"/>
  <c r="C26" i="22" s="1"/>
  <c r="G24" i="22"/>
  <c r="F24" i="22"/>
  <c r="E24" i="22"/>
  <c r="C24" i="22"/>
  <c r="T21" i="22"/>
  <c r="M21" i="22"/>
  <c r="T20" i="22"/>
  <c r="M20" i="22"/>
  <c r="V19" i="22"/>
  <c r="J18" i="22"/>
  <c r="I18" i="22"/>
  <c r="G18" i="22"/>
  <c r="F18" i="22"/>
  <c r="E18" i="22"/>
  <c r="U16" i="22"/>
  <c r="T16" i="22"/>
  <c r="U15" i="22"/>
  <c r="T19" i="22" s="1"/>
  <c r="T15" i="22"/>
  <c r="J12" i="22" a="1"/>
  <c r="J12" i="22" s="1"/>
  <c r="I12" i="22" a="1"/>
  <c r="I12" i="22"/>
  <c r="G12" i="22" a="1"/>
  <c r="G12" i="22" s="1"/>
  <c r="T11" i="22"/>
  <c r="J11" i="22" a="1"/>
  <c r="J11" i="22" s="1"/>
  <c r="I11" i="22" a="1"/>
  <c r="I11" i="22" s="1"/>
  <c r="E11" i="22" a="1"/>
  <c r="E11" i="22" s="1"/>
  <c r="T10" i="22"/>
  <c r="G10" i="22" a="1"/>
  <c r="G10" i="22" s="1"/>
  <c r="E10" i="22" a="1"/>
  <c r="E10" i="22" s="1"/>
  <c r="V8" i="22"/>
  <c r="G8" i="22" a="1"/>
  <c r="G8" i="22" s="1"/>
  <c r="G7" i="22"/>
  <c r="G11" i="22" s="1" a="1"/>
  <c r="G11" i="22" s="1"/>
  <c r="F7" i="22"/>
  <c r="E7" i="22"/>
  <c r="C7" i="22"/>
  <c r="U6" i="22"/>
  <c r="T6" i="22"/>
  <c r="T5" i="22"/>
  <c r="T8" i="22" s="1"/>
  <c r="E26" i="21"/>
  <c r="D23" i="21"/>
  <c r="D21" i="21"/>
  <c r="E27" i="21" s="1" a="1"/>
  <c r="E27" i="21" s="1"/>
  <c r="D20" i="21"/>
  <c r="D19" i="21"/>
  <c r="C39" i="31" s="1"/>
  <c r="F17" i="21"/>
  <c r="D13" i="21" a="1"/>
  <c r="D13" i="21"/>
  <c r="C13" i="21" a="1"/>
  <c r="C13" i="21" s="1"/>
  <c r="C12" i="21" a="1"/>
  <c r="C12" i="21" s="1"/>
  <c r="D11" i="21" a="1"/>
  <c r="D11" i="21"/>
  <c r="C11" i="21" a="1"/>
  <c r="C11" i="21"/>
  <c r="C10" i="21" a="1"/>
  <c r="C10" i="21" s="1"/>
  <c r="D9" i="21"/>
  <c r="C9" i="21"/>
  <c r="C14" i="21" s="1" a="1"/>
  <c r="C14" i="21" s="1"/>
  <c r="D4" i="21"/>
  <c r="H39" i="20"/>
  <c r="G39" i="20"/>
  <c r="F37" i="20"/>
  <c r="E31" i="20"/>
  <c r="C31" i="20"/>
  <c r="F29" i="20"/>
  <c r="E29" i="20"/>
  <c r="G29" i="20" s="1"/>
  <c r="C29" i="20"/>
  <c r="E28" i="20"/>
  <c r="C28" i="20"/>
  <c r="E27" i="20"/>
  <c r="C27" i="20"/>
  <c r="F25" i="20"/>
  <c r="I24" i="20"/>
  <c r="I23" i="20"/>
  <c r="F21" i="20"/>
  <c r="Q14" i="20"/>
  <c r="Q15" i="20" s="1"/>
  <c r="Q13" i="20"/>
  <c r="Q12" i="20"/>
  <c r="F12" i="20" a="1"/>
  <c r="F12" i="20" s="1"/>
  <c r="Q11" i="20"/>
  <c r="F11" i="20" a="1"/>
  <c r="F11" i="20"/>
  <c r="S10" i="20"/>
  <c r="S8" i="20"/>
  <c r="Q8" i="20"/>
  <c r="R7" i="20"/>
  <c r="Q10" i="20" s="1"/>
  <c r="Q7" i="20"/>
  <c r="S9" i="20" s="1"/>
  <c r="E7" i="20"/>
  <c r="C7" i="20"/>
  <c r="R6" i="20"/>
  <c r="Q6" i="20"/>
  <c r="R5" i="20"/>
  <c r="Q5" i="20"/>
  <c r="G36" i="19"/>
  <c r="I35" i="19"/>
  <c r="G35" i="19"/>
  <c r="I34" i="19"/>
  <c r="G34" i="19"/>
  <c r="I33" i="19"/>
  <c r="G33" i="19"/>
  <c r="I32" i="19"/>
  <c r="I31" i="19"/>
  <c r="G30" i="19"/>
  <c r="I28" i="19"/>
  <c r="G28" i="19"/>
  <c r="F28" i="19"/>
  <c r="E28" i="19"/>
  <c r="H28" i="19" s="1"/>
  <c r="J28" i="19" s="1"/>
  <c r="C28" i="19"/>
  <c r="I27" i="19"/>
  <c r="G27" i="19"/>
  <c r="I26" i="19"/>
  <c r="I30" i="19" s="1"/>
  <c r="C26" i="19"/>
  <c r="G25" i="19"/>
  <c r="C25" i="19"/>
  <c r="G24" i="19"/>
  <c r="G32" i="19" s="1"/>
  <c r="F24" i="19"/>
  <c r="E24" i="19"/>
  <c r="C24" i="19"/>
  <c r="L21" i="19"/>
  <c r="L20" i="19"/>
  <c r="I18" i="19"/>
  <c r="G18" i="19"/>
  <c r="F18" i="19"/>
  <c r="E18" i="19"/>
  <c r="I12" i="19" a="1"/>
  <c r="I12" i="19"/>
  <c r="F12" i="19" a="1"/>
  <c r="F12" i="19" s="1"/>
  <c r="M11" i="19"/>
  <c r="I11" i="19" a="1"/>
  <c r="I11" i="19"/>
  <c r="G11" i="19" a="1"/>
  <c r="G11" i="19" s="1"/>
  <c r="M10" i="19"/>
  <c r="F10" i="19" a="1"/>
  <c r="F10" i="19"/>
  <c r="G9" i="19" a="1"/>
  <c r="G9" i="19"/>
  <c r="C9" i="19" a="1"/>
  <c r="C9" i="19"/>
  <c r="C29" i="19" s="1"/>
  <c r="O8" i="19"/>
  <c r="M8" i="19"/>
  <c r="F8" i="19" a="1"/>
  <c r="F8" i="19" s="1"/>
  <c r="G7" i="19"/>
  <c r="G12" i="19" s="1" a="1"/>
  <c r="G12" i="19" s="1"/>
  <c r="F7" i="19"/>
  <c r="F11" i="19" s="1" a="1"/>
  <c r="F11" i="19" s="1"/>
  <c r="E7" i="19"/>
  <c r="C7" i="19"/>
  <c r="C11" i="19" s="1" a="1"/>
  <c r="C11" i="19" s="1"/>
  <c r="N6" i="19"/>
  <c r="M6" i="19"/>
  <c r="N5" i="19"/>
  <c r="M5" i="19"/>
  <c r="F35" i="18"/>
  <c r="F34" i="18"/>
  <c r="F32" i="18"/>
  <c r="F31" i="18"/>
  <c r="F30" i="18"/>
  <c r="F28" i="18"/>
  <c r="F27" i="18"/>
  <c r="F26" i="18"/>
  <c r="F33" i="18" s="1"/>
  <c r="E25" i="18"/>
  <c r="C25" i="18"/>
  <c r="E24" i="18"/>
  <c r="C24" i="18"/>
  <c r="I21" i="18"/>
  <c r="I20" i="18"/>
  <c r="F18" i="18"/>
  <c r="E12" i="18" a="1"/>
  <c r="E12" i="18"/>
  <c r="J11" i="18"/>
  <c r="E11" i="18" a="1"/>
  <c r="E11" i="18"/>
  <c r="F10" i="18" a="1"/>
  <c r="F10" i="18" s="1"/>
  <c r="E10" i="18" a="1"/>
  <c r="E10" i="18"/>
  <c r="E9" i="18" a="1"/>
  <c r="E9" i="18"/>
  <c r="L8" i="18"/>
  <c r="E8" i="18" a="1"/>
  <c r="E8" i="18"/>
  <c r="F7" i="18"/>
  <c r="F8" i="18" s="1" a="1"/>
  <c r="F8" i="18" s="1"/>
  <c r="E7" i="18"/>
  <c r="C7" i="18"/>
  <c r="K6" i="18"/>
  <c r="J6" i="18"/>
  <c r="K5" i="18"/>
  <c r="L9" i="18" s="1"/>
  <c r="J5" i="18"/>
  <c r="F35" i="17"/>
  <c r="F34" i="17"/>
  <c r="F32" i="17"/>
  <c r="F31" i="17"/>
  <c r="F30" i="17"/>
  <c r="F28" i="17"/>
  <c r="E28" i="17"/>
  <c r="F27" i="17"/>
  <c r="F26" i="17"/>
  <c r="F33" i="17" s="1"/>
  <c r="E25" i="17"/>
  <c r="C25" i="17"/>
  <c r="C26" i="17" s="1"/>
  <c r="E24" i="17"/>
  <c r="C24" i="17"/>
  <c r="C28" i="17" s="1"/>
  <c r="I21" i="17"/>
  <c r="I20" i="17"/>
  <c r="F18" i="17"/>
  <c r="F12" i="17" a="1"/>
  <c r="F12" i="17" s="1"/>
  <c r="J11" i="17"/>
  <c r="F11" i="17" a="1"/>
  <c r="F11" i="17"/>
  <c r="E11" i="17" a="1"/>
  <c r="E11" i="17" s="1"/>
  <c r="E31" i="17" s="1"/>
  <c r="G31" i="17" s="1"/>
  <c r="E10" i="17" a="1"/>
  <c r="E10" i="17"/>
  <c r="J8" i="17"/>
  <c r="F8" i="17" a="1"/>
  <c r="F8" i="17" s="1"/>
  <c r="F7" i="17"/>
  <c r="F9" i="17" s="1" a="1"/>
  <c r="F9" i="17" s="1"/>
  <c r="E7" i="17"/>
  <c r="E12" i="17" s="1" a="1"/>
  <c r="E12" i="17" s="1"/>
  <c r="C7" i="17"/>
  <c r="K6" i="17"/>
  <c r="L9" i="17" s="1"/>
  <c r="J6" i="17"/>
  <c r="K5" i="17"/>
  <c r="J5" i="17"/>
  <c r="D21" i="16"/>
  <c r="D19" i="16"/>
  <c r="D18" i="16"/>
  <c r="D17" i="16"/>
  <c r="C14" i="16"/>
  <c r="C18" i="16" s="1"/>
  <c r="C13" i="16"/>
  <c r="D11" i="16" a="1"/>
  <c r="D11" i="16"/>
  <c r="C11" i="16" a="1"/>
  <c r="C11" i="16" s="1"/>
  <c r="C10" i="16" a="1"/>
  <c r="C10" i="16" s="1"/>
  <c r="D9" i="16" a="1"/>
  <c r="D9" i="16"/>
  <c r="C9" i="16" a="1"/>
  <c r="C9" i="16"/>
  <c r="C8" i="16" a="1"/>
  <c r="C8" i="16" s="1"/>
  <c r="D7" i="16" a="1"/>
  <c r="D7" i="16" s="1"/>
  <c r="D20" i="16" s="1"/>
  <c r="C7" i="16" a="1"/>
  <c r="C7" i="16"/>
  <c r="D6" i="16"/>
  <c r="D10" i="16" s="1" a="1"/>
  <c r="D10" i="16" s="1"/>
  <c r="D24" i="16" s="1"/>
  <c r="C6" i="16"/>
  <c r="E21" i="15"/>
  <c r="D21" i="15"/>
  <c r="C21" i="15"/>
  <c r="D19" i="15"/>
  <c r="C19" i="15"/>
  <c r="C20" i="15" s="1"/>
  <c r="D18" i="15"/>
  <c r="C18" i="15"/>
  <c r="D17" i="15"/>
  <c r="C17" i="15"/>
  <c r="C11" i="15" a="1"/>
  <c r="C11" i="15" s="1"/>
  <c r="C25" i="15" s="1"/>
  <c r="C9" i="15" a="1"/>
  <c r="C9" i="15"/>
  <c r="C23" i="15" s="1"/>
  <c r="D8" i="15" a="1"/>
  <c r="D8" i="15" s="1"/>
  <c r="D22" i="15" s="1"/>
  <c r="C7" i="15" a="1"/>
  <c r="C7" i="15"/>
  <c r="D6" i="15"/>
  <c r="D10" i="15" s="1" a="1"/>
  <c r="D10" i="15" s="1"/>
  <c r="D24" i="15" s="1"/>
  <c r="E24" i="15" s="1"/>
  <c r="C6" i="15"/>
  <c r="C10" i="15" s="1" a="1"/>
  <c r="C10" i="15" s="1"/>
  <c r="C24" i="15" s="1"/>
  <c r="D21" i="14"/>
  <c r="D18" i="14"/>
  <c r="D19" i="14" s="1"/>
  <c r="D17" i="14"/>
  <c r="C14" i="14"/>
  <c r="C18" i="14" s="1"/>
  <c r="C13" i="14"/>
  <c r="D11" i="14" a="1"/>
  <c r="D11" i="14" s="1"/>
  <c r="C11" i="14" a="1"/>
  <c r="C11" i="14"/>
  <c r="C10" i="14" a="1"/>
  <c r="C10" i="14"/>
  <c r="D9" i="14" a="1"/>
  <c r="D9" i="14" s="1"/>
  <c r="C9" i="14" a="1"/>
  <c r="C9" i="14" s="1"/>
  <c r="C8" i="14" a="1"/>
  <c r="C8" i="14"/>
  <c r="D7" i="14" a="1"/>
  <c r="D7" i="14"/>
  <c r="C7" i="14" a="1"/>
  <c r="C7" i="14" s="1"/>
  <c r="D6" i="14"/>
  <c r="D10" i="14" s="1" a="1"/>
  <c r="D10" i="14" s="1"/>
  <c r="C6" i="14"/>
  <c r="D53" i="13"/>
  <c r="O3" i="13"/>
  <c r="D3" i="13"/>
  <c r="W56" i="12" a="1"/>
  <c r="W56" i="12" s="1"/>
  <c r="W53" i="12"/>
  <c r="D53" i="12"/>
  <c r="D56" i="12" s="1" a="1"/>
  <c r="D56" i="12" s="1"/>
  <c r="H11" i="7" s="1"/>
  <c r="W52" i="12"/>
  <c r="AD52" i="12" s="1"/>
  <c r="K52" i="12"/>
  <c r="D52" i="12"/>
  <c r="Y49" i="12"/>
  <c r="F49" i="12"/>
  <c r="AH3" i="12"/>
  <c r="W3" i="12"/>
  <c r="O3" i="12"/>
  <c r="D3" i="12"/>
  <c r="L67" i="11" a="1"/>
  <c r="L67" i="11" s="1"/>
  <c r="C51" i="11" s="1"/>
  <c r="L66" i="11" a="1"/>
  <c r="L66" i="11"/>
  <c r="C59" i="11"/>
  <c r="C58" i="11"/>
  <c r="C60" i="11" s="1"/>
  <c r="J57" i="11"/>
  <c r="J56" i="11"/>
  <c r="AJ51" i="11"/>
  <c r="AG50" i="11"/>
  <c r="AI50" i="11" s="1"/>
  <c r="V50" i="11"/>
  <c r="V48" i="11"/>
  <c r="C48" i="11"/>
  <c r="I47" i="11"/>
  <c r="AG46" i="11"/>
  <c r="AG51" i="11" s="1"/>
  <c r="AI51" i="11" s="1"/>
  <c r="N46" i="11"/>
  <c r="AH3" i="11"/>
  <c r="W3" i="11"/>
  <c r="O3" i="11"/>
  <c r="D3" i="11"/>
  <c r="L67" i="10" a="1"/>
  <c r="L67" i="10" s="1"/>
  <c r="C51" i="10" s="1"/>
  <c r="L66" i="10" a="1"/>
  <c r="L66" i="10" s="1"/>
  <c r="C60" i="10"/>
  <c r="C59" i="10"/>
  <c r="C58" i="10"/>
  <c r="J57" i="10"/>
  <c r="J56" i="10"/>
  <c r="AG51" i="10"/>
  <c r="AI51" i="10" s="1"/>
  <c r="AI50" i="10"/>
  <c r="AG50" i="10"/>
  <c r="V50" i="10"/>
  <c r="V48" i="10"/>
  <c r="C48" i="10"/>
  <c r="AG46" i="10"/>
  <c r="N46" i="10"/>
  <c r="I47" i="10" s="1"/>
  <c r="AH3" i="10"/>
  <c r="W3" i="10"/>
  <c r="O3" i="10"/>
  <c r="D3" i="10"/>
  <c r="L66" i="9" a="1"/>
  <c r="L66" i="9" s="1"/>
  <c r="L67" i="9" s="1" a="1"/>
  <c r="L67" i="9" s="1"/>
  <c r="C51" i="9" s="1"/>
  <c r="C59" i="9"/>
  <c r="C58" i="9"/>
  <c r="C60" i="9" s="1"/>
  <c r="H8" i="7" s="1"/>
  <c r="H7" i="7" s="1"/>
  <c r="J57" i="9"/>
  <c r="J56" i="9"/>
  <c r="J55" i="9" a="1"/>
  <c r="J55" i="9" s="1"/>
  <c r="AJ51" i="9"/>
  <c r="AI51" i="9"/>
  <c r="AG50" i="9"/>
  <c r="V50" i="9"/>
  <c r="V48" i="9"/>
  <c r="C48" i="9"/>
  <c r="I47" i="9"/>
  <c r="AG46" i="9"/>
  <c r="AG51" i="9" s="1"/>
  <c r="N46" i="9"/>
  <c r="AH3" i="9"/>
  <c r="W3" i="9"/>
  <c r="O3" i="9"/>
  <c r="D3" i="9"/>
  <c r="Y369" i="8"/>
  <c r="F369" i="8"/>
  <c r="Y368" i="8"/>
  <c r="F368" i="8"/>
  <c r="Y367" i="8"/>
  <c r="F367" i="8"/>
  <c r="Y366" i="8"/>
  <c r="F366" i="8"/>
  <c r="Y365" i="8"/>
  <c r="F365" i="8"/>
  <c r="Y364" i="8"/>
  <c r="F364" i="8"/>
  <c r="Y363" i="8"/>
  <c r="F363" i="8"/>
  <c r="Y362" i="8"/>
  <c r="F362" i="8"/>
  <c r="Y361" i="8"/>
  <c r="F361" i="8"/>
  <c r="Y360" i="8"/>
  <c r="F360" i="8"/>
  <c r="Y359" i="8"/>
  <c r="F359" i="8"/>
  <c r="Y358" i="8"/>
  <c r="F358" i="8"/>
  <c r="Y357" i="8"/>
  <c r="F357" i="8"/>
  <c r="Y356" i="8"/>
  <c r="F356" i="8"/>
  <c r="Y355" i="8"/>
  <c r="F355" i="8"/>
  <c r="Y354" i="8"/>
  <c r="F354" i="8"/>
  <c r="Y353" i="8"/>
  <c r="F353" i="8"/>
  <c r="Y352" i="8"/>
  <c r="F352" i="8"/>
  <c r="Y351" i="8"/>
  <c r="F351" i="8"/>
  <c r="Y350" i="8"/>
  <c r="F350" i="8"/>
  <c r="Y349" i="8"/>
  <c r="F349" i="8"/>
  <c r="Y348" i="8"/>
  <c r="F348" i="8"/>
  <c r="Y347" i="8"/>
  <c r="F347" i="8"/>
  <c r="Y346" i="8"/>
  <c r="F346" i="8"/>
  <c r="Y345" i="8"/>
  <c r="F345" i="8"/>
  <c r="Y344" i="8"/>
  <c r="F344" i="8"/>
  <c r="Y343" i="8"/>
  <c r="F343" i="8"/>
  <c r="Y342" i="8"/>
  <c r="F342" i="8"/>
  <c r="Y341" i="8"/>
  <c r="F341" i="8"/>
  <c r="Y340" i="8"/>
  <c r="F340" i="8"/>
  <c r="Y339" i="8"/>
  <c r="F339" i="8"/>
  <c r="Y338" i="8"/>
  <c r="F338" i="8"/>
  <c r="Y337" i="8"/>
  <c r="F337" i="8"/>
  <c r="Y336" i="8"/>
  <c r="F336" i="8"/>
  <c r="Y335" i="8"/>
  <c r="F335" i="8"/>
  <c r="Y334" i="8"/>
  <c r="F334" i="8"/>
  <c r="Y333" i="8"/>
  <c r="F333" i="8"/>
  <c r="Y332" i="8"/>
  <c r="F332" i="8"/>
  <c r="Y331" i="8"/>
  <c r="F331" i="8"/>
  <c r="Y330" i="8"/>
  <c r="F330" i="8"/>
  <c r="Y329" i="8"/>
  <c r="F329" i="8"/>
  <c r="Y328" i="8"/>
  <c r="F328" i="8"/>
  <c r="Y327" i="8"/>
  <c r="F327" i="8"/>
  <c r="Y326" i="8"/>
  <c r="F326" i="8"/>
  <c r="Y325" i="8"/>
  <c r="F325" i="8"/>
  <c r="Y324" i="8"/>
  <c r="F324" i="8"/>
  <c r="Y323" i="8"/>
  <c r="F323" i="8"/>
  <c r="Y322" i="8"/>
  <c r="F322" i="8"/>
  <c r="Y321" i="8"/>
  <c r="F321" i="8"/>
  <c r="Y320" i="8"/>
  <c r="F320" i="8"/>
  <c r="Y319" i="8"/>
  <c r="F319" i="8"/>
  <c r="Y318" i="8"/>
  <c r="F318" i="8"/>
  <c r="Y317" i="8"/>
  <c r="F317" i="8"/>
  <c r="Y316" i="8"/>
  <c r="F316" i="8"/>
  <c r="Y315" i="8"/>
  <c r="F315" i="8"/>
  <c r="Y314" i="8"/>
  <c r="F314" i="8"/>
  <c r="Y313" i="8"/>
  <c r="F313" i="8"/>
  <c r="Y312" i="8"/>
  <c r="F312" i="8"/>
  <c r="Y311" i="8"/>
  <c r="F311" i="8"/>
  <c r="Y310" i="8"/>
  <c r="F310" i="8"/>
  <c r="Y309" i="8"/>
  <c r="F309" i="8"/>
  <c r="Y308" i="8"/>
  <c r="F308" i="8"/>
  <c r="Y307" i="8"/>
  <c r="F307" i="8"/>
  <c r="Y306" i="8"/>
  <c r="F306" i="8"/>
  <c r="Y305" i="8"/>
  <c r="F305" i="8"/>
  <c r="Y304" i="8"/>
  <c r="F304" i="8"/>
  <c r="Y303" i="8"/>
  <c r="F303" i="8"/>
  <c r="Y302" i="8"/>
  <c r="F302" i="8"/>
  <c r="Y301" i="8"/>
  <c r="F301" i="8"/>
  <c r="Y300" i="8"/>
  <c r="F300" i="8"/>
  <c r="Y299" i="8"/>
  <c r="F299" i="8"/>
  <c r="Y298" i="8"/>
  <c r="F298" i="8"/>
  <c r="Y297" i="8"/>
  <c r="F297" i="8"/>
  <c r="Y296" i="8"/>
  <c r="F296" i="8"/>
  <c r="Y295" i="8"/>
  <c r="F295" i="8"/>
  <c r="Y294" i="8"/>
  <c r="F294" i="8"/>
  <c r="Y293" i="8"/>
  <c r="F293" i="8"/>
  <c r="Y292" i="8"/>
  <c r="F292" i="8"/>
  <c r="Y291" i="8"/>
  <c r="F291" i="8"/>
  <c r="Y290" i="8"/>
  <c r="F290" i="8"/>
  <c r="Y289" i="8"/>
  <c r="F289" i="8"/>
  <c r="Y288" i="8"/>
  <c r="F288" i="8"/>
  <c r="Y287" i="8"/>
  <c r="F287" i="8"/>
  <c r="Y286" i="8"/>
  <c r="F286" i="8"/>
  <c r="Y285" i="8"/>
  <c r="F285" i="8"/>
  <c r="Y284" i="8"/>
  <c r="F284" i="8"/>
  <c r="Y283" i="8"/>
  <c r="F283" i="8"/>
  <c r="Y282" i="8"/>
  <c r="F282" i="8"/>
  <c r="Y281" i="8"/>
  <c r="F281" i="8"/>
  <c r="Y280" i="8"/>
  <c r="F280" i="8"/>
  <c r="Y279" i="8"/>
  <c r="F279" i="8"/>
  <c r="Y278" i="8"/>
  <c r="F278" i="8"/>
  <c r="Y277" i="8"/>
  <c r="F277" i="8"/>
  <c r="Y276" i="8"/>
  <c r="F276" i="8"/>
  <c r="Y275" i="8"/>
  <c r="F275" i="8"/>
  <c r="Y274" i="8"/>
  <c r="F274" i="8"/>
  <c r="Y273" i="8"/>
  <c r="F273" i="8"/>
  <c r="Y272" i="8"/>
  <c r="F272" i="8"/>
  <c r="Y271" i="8"/>
  <c r="F271" i="8"/>
  <c r="Y270" i="8"/>
  <c r="F270" i="8"/>
  <c r="Y269" i="8"/>
  <c r="F269" i="8"/>
  <c r="Y268" i="8"/>
  <c r="F268" i="8"/>
  <c r="Y267" i="8"/>
  <c r="F267" i="8"/>
  <c r="Y266" i="8"/>
  <c r="F266" i="8"/>
  <c r="Y265" i="8"/>
  <c r="F265" i="8"/>
  <c r="Y264" i="8"/>
  <c r="F264" i="8"/>
  <c r="Y263" i="8"/>
  <c r="F263" i="8"/>
  <c r="Y262" i="8"/>
  <c r="F262" i="8"/>
  <c r="Y261" i="8"/>
  <c r="F261" i="8"/>
  <c r="Y260" i="8"/>
  <c r="F260" i="8"/>
  <c r="Y259" i="8"/>
  <c r="F259" i="8"/>
  <c r="Y258" i="8"/>
  <c r="F258" i="8"/>
  <c r="Y257" i="8"/>
  <c r="F257" i="8"/>
  <c r="Y256" i="8"/>
  <c r="F256" i="8"/>
  <c r="Y255" i="8"/>
  <c r="F255" i="8"/>
  <c r="Y254" i="8"/>
  <c r="F254" i="8"/>
  <c r="Y253" i="8"/>
  <c r="F253" i="8"/>
  <c r="Y252" i="8"/>
  <c r="F252" i="8"/>
  <c r="Y251" i="8"/>
  <c r="F251" i="8"/>
  <c r="Y250" i="8"/>
  <c r="F250" i="8"/>
  <c r="Y249" i="8"/>
  <c r="F249" i="8"/>
  <c r="Y248" i="8"/>
  <c r="F248" i="8"/>
  <c r="Y247" i="8"/>
  <c r="F247" i="8"/>
  <c r="Y246" i="8"/>
  <c r="F246" i="8"/>
  <c r="Y245" i="8"/>
  <c r="F245" i="8"/>
  <c r="Y244" i="8"/>
  <c r="F244" i="8"/>
  <c r="Y243" i="8"/>
  <c r="F243" i="8"/>
  <c r="Y242" i="8"/>
  <c r="F242" i="8"/>
  <c r="Y241" i="8"/>
  <c r="F241" i="8"/>
  <c r="Y240" i="8"/>
  <c r="F240" i="8"/>
  <c r="Y239" i="8"/>
  <c r="F239" i="8"/>
  <c r="Y238" i="8"/>
  <c r="F238" i="8"/>
  <c r="Y237" i="8"/>
  <c r="F237" i="8"/>
  <c r="Y236" i="8"/>
  <c r="F236" i="8"/>
  <c r="Y235" i="8"/>
  <c r="F235" i="8"/>
  <c r="Y234" i="8"/>
  <c r="F234" i="8"/>
  <c r="Y233" i="8"/>
  <c r="F233" i="8"/>
  <c r="Y232" i="8"/>
  <c r="F232" i="8"/>
  <c r="Y231" i="8"/>
  <c r="F231" i="8"/>
  <c r="Y230" i="8"/>
  <c r="F230" i="8"/>
  <c r="Y229" i="8"/>
  <c r="F229" i="8"/>
  <c r="Y228" i="8"/>
  <c r="F228" i="8"/>
  <c r="Y227" i="8"/>
  <c r="F227" i="8"/>
  <c r="Y226" i="8"/>
  <c r="F226" i="8"/>
  <c r="Y225" i="8"/>
  <c r="F225" i="8"/>
  <c r="Y224" i="8"/>
  <c r="F224" i="8"/>
  <c r="Y223" i="8"/>
  <c r="F223" i="8"/>
  <c r="Y222" i="8"/>
  <c r="F222" i="8"/>
  <c r="Y221" i="8"/>
  <c r="F221" i="8"/>
  <c r="Y220" i="8"/>
  <c r="F220" i="8"/>
  <c r="Y219" i="8"/>
  <c r="F219" i="8"/>
  <c r="Y218" i="8"/>
  <c r="F218" i="8"/>
  <c r="Y217" i="8"/>
  <c r="F217" i="8"/>
  <c r="Y216" i="8"/>
  <c r="F216" i="8"/>
  <c r="Y215" i="8"/>
  <c r="F215" i="8"/>
  <c r="Y214" i="8"/>
  <c r="F214" i="8"/>
  <c r="Y213" i="8"/>
  <c r="F213" i="8"/>
  <c r="Y212" i="8"/>
  <c r="F212" i="8"/>
  <c r="Y211" i="8"/>
  <c r="F211" i="8"/>
  <c r="Y210" i="8"/>
  <c r="F210" i="8"/>
  <c r="Y209" i="8"/>
  <c r="F209" i="8"/>
  <c r="Y208" i="8"/>
  <c r="F208" i="8"/>
  <c r="Y207" i="8"/>
  <c r="F207" i="8"/>
  <c r="Y206" i="8"/>
  <c r="F206" i="8"/>
  <c r="Y205" i="8"/>
  <c r="F205" i="8"/>
  <c r="Y204" i="8"/>
  <c r="F204" i="8"/>
  <c r="Y203" i="8"/>
  <c r="F203" i="8"/>
  <c r="Y202" i="8"/>
  <c r="F202" i="8"/>
  <c r="Y201" i="8"/>
  <c r="F201" i="8"/>
  <c r="Y200" i="8"/>
  <c r="F200" i="8"/>
  <c r="Y199" i="8"/>
  <c r="F199" i="8"/>
  <c r="Y198" i="8"/>
  <c r="F198" i="8"/>
  <c r="Y197" i="8"/>
  <c r="F197" i="8"/>
  <c r="Y196" i="8"/>
  <c r="F196" i="8"/>
  <c r="Y195" i="8"/>
  <c r="F195" i="8"/>
  <c r="Y194" i="8"/>
  <c r="F194" i="8"/>
  <c r="Y193" i="8"/>
  <c r="F193" i="8"/>
  <c r="Y192" i="8"/>
  <c r="F192" i="8"/>
  <c r="Y191" i="8"/>
  <c r="F191" i="8"/>
  <c r="Y190" i="8"/>
  <c r="F190" i="8"/>
  <c r="Y189" i="8"/>
  <c r="F189" i="8"/>
  <c r="Y188" i="8"/>
  <c r="F188" i="8"/>
  <c r="Y187" i="8"/>
  <c r="F187" i="8"/>
  <c r="Y186" i="8"/>
  <c r="F186" i="8"/>
  <c r="Y185" i="8"/>
  <c r="F185" i="8"/>
  <c r="Y184" i="8"/>
  <c r="F184" i="8"/>
  <c r="Y183" i="8"/>
  <c r="F183" i="8"/>
  <c r="Y182" i="8"/>
  <c r="F182" i="8"/>
  <c r="Y181" i="8"/>
  <c r="F181" i="8"/>
  <c r="Y180" i="8"/>
  <c r="F180" i="8"/>
  <c r="Y179" i="8"/>
  <c r="F179" i="8"/>
  <c r="Y178" i="8"/>
  <c r="F178" i="8"/>
  <c r="Y177" i="8"/>
  <c r="F177" i="8"/>
  <c r="Y176" i="8"/>
  <c r="F176" i="8"/>
  <c r="Y175" i="8"/>
  <c r="F175" i="8"/>
  <c r="Y174" i="8"/>
  <c r="F174" i="8"/>
  <c r="Y173" i="8"/>
  <c r="F173" i="8"/>
  <c r="Y172" i="8"/>
  <c r="F172" i="8"/>
  <c r="Y171" i="8"/>
  <c r="F171" i="8"/>
  <c r="Y170" i="8"/>
  <c r="F170" i="8"/>
  <c r="Y169" i="8"/>
  <c r="F169" i="8"/>
  <c r="Y168" i="8"/>
  <c r="F168" i="8"/>
  <c r="Y167" i="8"/>
  <c r="F167" i="8"/>
  <c r="Y166" i="8"/>
  <c r="F166" i="8"/>
  <c r="Y165" i="8"/>
  <c r="F165" i="8"/>
  <c r="Y164" i="8"/>
  <c r="F164" i="8"/>
  <c r="Y163" i="8"/>
  <c r="F163" i="8"/>
  <c r="Y162" i="8"/>
  <c r="F162" i="8"/>
  <c r="Y161" i="8"/>
  <c r="F161" i="8"/>
  <c r="Y160" i="8"/>
  <c r="F160" i="8"/>
  <c r="Y159" i="8"/>
  <c r="F159" i="8"/>
  <c r="Y158" i="8"/>
  <c r="F158" i="8"/>
  <c r="Y157" i="8"/>
  <c r="F157" i="8"/>
  <c r="Y156" i="8"/>
  <c r="F156" i="8"/>
  <c r="Y155" i="8"/>
  <c r="F155" i="8"/>
  <c r="Y154" i="8"/>
  <c r="F154" i="8"/>
  <c r="Y153" i="8"/>
  <c r="F153" i="8"/>
  <c r="Y152" i="8"/>
  <c r="F152" i="8"/>
  <c r="Y151" i="8"/>
  <c r="F151" i="8"/>
  <c r="Y150" i="8"/>
  <c r="F150" i="8"/>
  <c r="Y149" i="8"/>
  <c r="F149" i="8"/>
  <c r="Y148" i="8"/>
  <c r="F148" i="8"/>
  <c r="Y147" i="8"/>
  <c r="F147" i="8"/>
  <c r="Y146" i="8"/>
  <c r="F146" i="8"/>
  <c r="Y145" i="8"/>
  <c r="F145" i="8"/>
  <c r="Y144" i="8"/>
  <c r="F144" i="8"/>
  <c r="Y143" i="8"/>
  <c r="F143" i="8"/>
  <c r="Y142" i="8"/>
  <c r="F142" i="8"/>
  <c r="Y141" i="8"/>
  <c r="F141" i="8"/>
  <c r="Y140" i="8"/>
  <c r="F140" i="8"/>
  <c r="Y139" i="8"/>
  <c r="F139" i="8"/>
  <c r="Y138" i="8"/>
  <c r="F138" i="8"/>
  <c r="Y137" i="8"/>
  <c r="F137" i="8"/>
  <c r="Y136" i="8"/>
  <c r="F136" i="8"/>
  <c r="Y135" i="8"/>
  <c r="F135" i="8"/>
  <c r="Y134" i="8"/>
  <c r="F134" i="8"/>
  <c r="Y133" i="8"/>
  <c r="F133" i="8"/>
  <c r="Y132" i="8"/>
  <c r="F132" i="8"/>
  <c r="Y131" i="8"/>
  <c r="F131" i="8"/>
  <c r="Y130" i="8"/>
  <c r="F130" i="8"/>
  <c r="Y129" i="8"/>
  <c r="F129" i="8"/>
  <c r="Y128" i="8"/>
  <c r="F128" i="8"/>
  <c r="Y127" i="8"/>
  <c r="F127" i="8"/>
  <c r="Y126" i="8"/>
  <c r="F126" i="8"/>
  <c r="Y125" i="8"/>
  <c r="F125" i="8"/>
  <c r="Y124" i="8"/>
  <c r="F124" i="8"/>
  <c r="Y123" i="8"/>
  <c r="F123" i="8"/>
  <c r="Y122" i="8"/>
  <c r="F122" i="8"/>
  <c r="Y121" i="8"/>
  <c r="F121" i="8"/>
  <c r="Y120" i="8"/>
  <c r="F120" i="8"/>
  <c r="Y119" i="8"/>
  <c r="F119" i="8"/>
  <c r="Y118" i="8"/>
  <c r="F118" i="8"/>
  <c r="Y117" i="8"/>
  <c r="F117" i="8"/>
  <c r="Y116" i="8"/>
  <c r="F116" i="8"/>
  <c r="Y115" i="8"/>
  <c r="F115" i="8"/>
  <c r="Y114" i="8"/>
  <c r="F114" i="8"/>
  <c r="Y113" i="8"/>
  <c r="F113" i="8"/>
  <c r="Y112" i="8"/>
  <c r="F112" i="8"/>
  <c r="Y111" i="8"/>
  <c r="F111" i="8"/>
  <c r="Y110" i="8"/>
  <c r="F110" i="8"/>
  <c r="Y109" i="8"/>
  <c r="F109" i="8"/>
  <c r="Y108" i="8"/>
  <c r="F108" i="8"/>
  <c r="Y107" i="8"/>
  <c r="F107" i="8"/>
  <c r="Y106" i="8"/>
  <c r="F106" i="8"/>
  <c r="Y105" i="8"/>
  <c r="F105" i="8"/>
  <c r="Y104" i="8"/>
  <c r="F104" i="8"/>
  <c r="Y103" i="8"/>
  <c r="F103" i="8"/>
  <c r="Y102" i="8"/>
  <c r="F102" i="8"/>
  <c r="Y101" i="8"/>
  <c r="F101" i="8"/>
  <c r="Y100" i="8"/>
  <c r="F100" i="8"/>
  <c r="Y99" i="8"/>
  <c r="F99" i="8"/>
  <c r="Y98" i="8"/>
  <c r="F98" i="8"/>
  <c r="Y97" i="8"/>
  <c r="F97" i="8"/>
  <c r="Y96" i="8"/>
  <c r="F96" i="8"/>
  <c r="Y95" i="8"/>
  <c r="F95" i="8"/>
  <c r="Y94" i="8"/>
  <c r="F94" i="8"/>
  <c r="Y93" i="8"/>
  <c r="F93" i="8"/>
  <c r="Y92" i="8"/>
  <c r="F92" i="8"/>
  <c r="Y91" i="8"/>
  <c r="F91" i="8"/>
  <c r="Y90" i="8"/>
  <c r="F90" i="8"/>
  <c r="Y89" i="8"/>
  <c r="F89" i="8"/>
  <c r="Y88" i="8"/>
  <c r="F88" i="8"/>
  <c r="Y87" i="8"/>
  <c r="L87" i="8" a="1"/>
  <c r="L87" i="8"/>
  <c r="C54" i="8" s="1"/>
  <c r="F87" i="8"/>
  <c r="Y86" i="8"/>
  <c r="F86" i="8"/>
  <c r="Y85" i="8"/>
  <c r="L85" i="8" a="1"/>
  <c r="L85" i="8" s="1"/>
  <c r="L86" i="8" s="1" a="1"/>
  <c r="L86" i="8" s="1"/>
  <c r="E52" i="8" s="1"/>
  <c r="F85" i="8"/>
  <c r="Y84" i="8"/>
  <c r="F84" i="8"/>
  <c r="Y83" i="8"/>
  <c r="F83" i="8"/>
  <c r="Y82" i="8"/>
  <c r="F82" i="8"/>
  <c r="Y81" i="8"/>
  <c r="F81" i="8"/>
  <c r="Y80" i="8"/>
  <c r="F80" i="8"/>
  <c r="Y79" i="8"/>
  <c r="F79" i="8"/>
  <c r="Y78" i="8"/>
  <c r="F78" i="8"/>
  <c r="Y77" i="8"/>
  <c r="F77" i="8"/>
  <c r="Y76" i="8"/>
  <c r="F76" i="8"/>
  <c r="Y75" i="8"/>
  <c r="F75" i="8"/>
  <c r="Y74" i="8"/>
  <c r="F74" i="8"/>
  <c r="Y73" i="8"/>
  <c r="F73" i="8"/>
  <c r="Y72" i="8"/>
  <c r="F72" i="8"/>
  <c r="AD71" i="8" a="1"/>
  <c r="AD71" i="8" s="1"/>
  <c r="Y71" i="8"/>
  <c r="F71" i="8"/>
  <c r="AD70" i="8" a="1"/>
  <c r="AD70" i="8" s="1"/>
  <c r="V51" i="8" s="1"/>
  <c r="Y51" i="8" s="1"/>
  <c r="C63" i="8"/>
  <c r="G6" i="7" s="1"/>
  <c r="C62" i="8"/>
  <c r="C64" i="8" s="1"/>
  <c r="G8" i="7" s="1"/>
  <c r="J61" i="8"/>
  <c r="J60" i="8"/>
  <c r="AG55" i="8"/>
  <c r="AJ55" i="8" s="1"/>
  <c r="G55" i="8"/>
  <c r="AG54" i="8"/>
  <c r="AI54" i="8" s="1"/>
  <c r="V54" i="8"/>
  <c r="C52" i="8"/>
  <c r="C49" i="8"/>
  <c r="I48" i="8"/>
  <c r="AG47" i="8"/>
  <c r="N47" i="8"/>
  <c r="AH3" i="8"/>
  <c r="W3" i="8"/>
  <c r="O3" i="8"/>
  <c r="D3" i="8"/>
  <c r="I11" i="7"/>
  <c r="F13" i="20" s="1" a="1"/>
  <c r="F13" i="20" s="1"/>
  <c r="C47" i="31" s="1"/>
  <c r="C50" i="31" s="1"/>
  <c r="D50" i="31" s="1"/>
  <c r="C11" i="7"/>
  <c r="I8" i="7"/>
  <c r="I7" i="7"/>
  <c r="I6" i="7"/>
  <c r="I8" i="19" s="1" a="1"/>
  <c r="I8" i="19" s="1"/>
  <c r="S19" i="20" s="1"/>
  <c r="H6" i="7"/>
  <c r="A16" i="6"/>
  <c r="AB14" i="5"/>
  <c r="Z14" i="5"/>
  <c r="W14" i="5"/>
  <c r="AB13" i="5"/>
  <c r="Z13" i="5"/>
  <c r="W13" i="5"/>
  <c r="AB12" i="5"/>
  <c r="Z12" i="5"/>
  <c r="J59" i="8" s="1" a="1"/>
  <c r="J59" i="8" s="1"/>
  <c r="W12" i="5"/>
  <c r="AB11" i="5"/>
  <c r="Z11" i="5"/>
  <c r="W11" i="5"/>
  <c r="AB10" i="5"/>
  <c r="Z10" i="5"/>
  <c r="J55" i="10" s="1" a="1"/>
  <c r="J55" i="10" s="1"/>
  <c r="W10" i="5"/>
  <c r="AB9" i="5"/>
  <c r="Z9" i="5"/>
  <c r="W9" i="5"/>
  <c r="AB8" i="5"/>
  <c r="Z8" i="5"/>
  <c r="W8" i="5"/>
  <c r="O3" i="5"/>
  <c r="D3" i="5"/>
  <c r="A1" i="5"/>
  <c r="A55" i="4"/>
  <c r="A54" i="4"/>
  <c r="A53" i="4"/>
  <c r="A52" i="4"/>
  <c r="A51" i="4"/>
  <c r="A50" i="4"/>
  <c r="AS48" i="4"/>
  <c r="AR48" i="4"/>
  <c r="AQ48" i="4"/>
  <c r="AP48" i="4"/>
  <c r="AO48" i="4"/>
  <c r="AN48" i="4"/>
  <c r="AM48" i="4"/>
  <c r="AL48" i="4"/>
  <c r="AK48" i="4"/>
  <c r="AJ48" i="4"/>
  <c r="AI48" i="4"/>
  <c r="AH48" i="4"/>
  <c r="AG48" i="4"/>
  <c r="AF48" i="4"/>
  <c r="AE48" i="4"/>
  <c r="AD48" i="4"/>
  <c r="AC48" i="4"/>
  <c r="G48" i="4"/>
  <c r="AS47" i="4"/>
  <c r="AR47" i="4"/>
  <c r="AQ47" i="4"/>
  <c r="AP47" i="4"/>
  <c r="AO47" i="4"/>
  <c r="AN47" i="4"/>
  <c r="AM47" i="4"/>
  <c r="AL47" i="4"/>
  <c r="AK47" i="4"/>
  <c r="AJ47" i="4"/>
  <c r="AI47" i="4"/>
  <c r="AH47" i="4"/>
  <c r="AG47" i="4"/>
  <c r="AF47" i="4"/>
  <c r="AE47" i="4"/>
  <c r="AD47" i="4"/>
  <c r="AC47" i="4"/>
  <c r="G47" i="4"/>
  <c r="T43" i="4"/>
  <c r="T42" i="4"/>
  <c r="A42" i="4"/>
  <c r="C42" i="4" s="1"/>
  <c r="A40" i="4"/>
  <c r="T40" i="4" s="1"/>
  <c r="AS39" i="4"/>
  <c r="AR39" i="4"/>
  <c r="AQ39" i="4"/>
  <c r="AP39" i="4"/>
  <c r="AO39" i="4"/>
  <c r="AF39" i="4"/>
  <c r="AE39" i="4"/>
  <c r="AD39" i="4"/>
  <c r="AC39" i="4"/>
  <c r="AB39" i="4"/>
  <c r="AA39" i="4"/>
  <c r="Y39" i="4"/>
  <c r="X39" i="4"/>
  <c r="W39" i="4"/>
  <c r="V39" i="4"/>
  <c r="U39" i="4"/>
  <c r="T39" i="4"/>
  <c r="C39" i="4"/>
  <c r="A39" i="4"/>
  <c r="Z39" i="4" s="1"/>
  <c r="AS38" i="4"/>
  <c r="AR38" i="4"/>
  <c r="AQ38" i="4"/>
  <c r="AP38" i="4"/>
  <c r="AO38" i="4"/>
  <c r="C38" i="4"/>
  <c r="A38" i="4"/>
  <c r="AS37" i="4"/>
  <c r="AR37" i="4"/>
  <c r="AQ37" i="4"/>
  <c r="AP37" i="4"/>
  <c r="AO37" i="4"/>
  <c r="AN37" i="4"/>
  <c r="AM37" i="4"/>
  <c r="AL37" i="4"/>
  <c r="AK37" i="4"/>
  <c r="AJ37" i="4"/>
  <c r="AI37" i="4"/>
  <c r="AH37" i="4"/>
  <c r="AG37" i="4"/>
  <c r="AF37" i="4"/>
  <c r="AE37" i="4"/>
  <c r="AD37" i="4"/>
  <c r="AC37" i="4"/>
  <c r="C37" i="4"/>
  <c r="A37" i="4"/>
  <c r="AA37" i="4" s="1"/>
  <c r="AS36" i="4"/>
  <c r="AR36" i="4"/>
  <c r="AQ36" i="4"/>
  <c r="AP36" i="4"/>
  <c r="AO36" i="4"/>
  <c r="AN36" i="4"/>
  <c r="AM36" i="4"/>
  <c r="AL36" i="4"/>
  <c r="AK36" i="4"/>
  <c r="AJ36" i="4"/>
  <c r="AI36" i="4"/>
  <c r="AH36" i="4"/>
  <c r="AG36" i="4"/>
  <c r="AF36" i="4"/>
  <c r="AE36" i="4"/>
  <c r="AD36" i="4"/>
  <c r="AC36" i="4"/>
  <c r="C36" i="4"/>
  <c r="A36" i="4"/>
  <c r="AB36" i="4" s="1"/>
  <c r="AS35" i="4"/>
  <c r="AR35" i="4"/>
  <c r="AQ35" i="4"/>
  <c r="AP35" i="4"/>
  <c r="AO35" i="4"/>
  <c r="AF35" i="4"/>
  <c r="AE35" i="4"/>
  <c r="AD35" i="4"/>
  <c r="AC35" i="4"/>
  <c r="Z35" i="4"/>
  <c r="Y35" i="4"/>
  <c r="W35" i="4"/>
  <c r="V35" i="4"/>
  <c r="T35" i="4"/>
  <c r="A35" i="4"/>
  <c r="U35" i="4" s="1"/>
  <c r="AS34" i="4"/>
  <c r="AR34" i="4"/>
  <c r="AQ34" i="4"/>
  <c r="AP34" i="4"/>
  <c r="AO34" i="4"/>
  <c r="AF34" i="4"/>
  <c r="AE34" i="4"/>
  <c r="AD34" i="4"/>
  <c r="AC34" i="4"/>
  <c r="A34" i="4"/>
  <c r="Z34" i="4" s="1"/>
  <c r="T33" i="4"/>
  <c r="C33" i="4"/>
  <c r="A33" i="4"/>
  <c r="AS32" i="4"/>
  <c r="AR32" i="4"/>
  <c r="AQ32" i="4"/>
  <c r="AP32" i="4"/>
  <c r="AO32" i="4"/>
  <c r="AF32" i="4"/>
  <c r="AE32" i="4"/>
  <c r="AD32" i="4"/>
  <c r="AC32" i="4"/>
  <c r="C32" i="4"/>
  <c r="A32" i="4"/>
  <c r="AN31" i="4"/>
  <c r="AM31" i="4"/>
  <c r="AL31" i="4"/>
  <c r="AK31" i="4"/>
  <c r="AJ31" i="4"/>
  <c r="AI31" i="4"/>
  <c r="AH31" i="4"/>
  <c r="AG31" i="4"/>
  <c r="AF31" i="4"/>
  <c r="AE31" i="4"/>
  <c r="AD31" i="4"/>
  <c r="AC31" i="4"/>
  <c r="AN30" i="4"/>
  <c r="AM30" i="4"/>
  <c r="AL30" i="4"/>
  <c r="AK30" i="4"/>
  <c r="AJ30" i="4"/>
  <c r="AI30" i="4"/>
  <c r="AH30" i="4"/>
  <c r="AG30" i="4"/>
  <c r="AF30" i="4"/>
  <c r="AE30" i="4"/>
  <c r="AD30" i="4"/>
  <c r="AC30" i="4"/>
  <c r="AF29" i="4"/>
  <c r="AD29" i="4"/>
  <c r="AC29" i="4"/>
  <c r="AB29" i="4"/>
  <c r="Y29" i="4"/>
  <c r="X29" i="4"/>
  <c r="V29" i="4"/>
  <c r="U29" i="4"/>
  <c r="T29" i="4"/>
  <c r="A29" i="4"/>
  <c r="AA29" i="4" s="1"/>
  <c r="AF28" i="4"/>
  <c r="AE28" i="4"/>
  <c r="AD28" i="4"/>
  <c r="AC28" i="4"/>
  <c r="C28" i="4"/>
  <c r="A28" i="4"/>
  <c r="AE27" i="4"/>
  <c r="C27" i="4"/>
  <c r="A27" i="4"/>
  <c r="AF26" i="4"/>
  <c r="AE26" i="4"/>
  <c r="AD26" i="4"/>
  <c r="AC26" i="4"/>
  <c r="U26" i="4"/>
  <c r="A26" i="4"/>
  <c r="AF25" i="4"/>
  <c r="AE25" i="4"/>
  <c r="AD25" i="4"/>
  <c r="AC25" i="4"/>
  <c r="A25" i="4"/>
  <c r="AF24" i="4"/>
  <c r="AE24" i="4"/>
  <c r="AD24" i="4"/>
  <c r="AC24" i="4"/>
  <c r="A24" i="4"/>
  <c r="A1" i="4"/>
  <c r="T44" i="4" l="1" a="1"/>
  <c r="T44" i="4" s="1"/>
  <c r="E28" i="25"/>
  <c r="E32" i="25" s="1"/>
  <c r="I23" i="29"/>
  <c r="E23" i="29"/>
  <c r="I23" i="30"/>
  <c r="G23" i="30"/>
  <c r="K23" i="30"/>
  <c r="E23" i="30"/>
  <c r="C23" i="30"/>
  <c r="C23" i="29"/>
  <c r="K23" i="29"/>
  <c r="G11" i="7"/>
  <c r="I9" i="19" a="1"/>
  <c r="I9" i="19" s="1"/>
  <c r="F9" i="20" a="1"/>
  <c r="F9" i="20" s="1"/>
  <c r="T34" i="4"/>
  <c r="U36" i="4"/>
  <c r="W37" i="4"/>
  <c r="C40" i="4"/>
  <c r="J10" i="25" a="1"/>
  <c r="J10" i="25" s="1"/>
  <c r="I10" i="27" a="1"/>
  <c r="I10" i="27" s="1"/>
  <c r="I10" i="25" a="1"/>
  <c r="I10" i="25" s="1"/>
  <c r="I10" i="26" a="1"/>
  <c r="I10" i="26" s="1"/>
  <c r="J10" i="22" a="1"/>
  <c r="J10" i="22" s="1"/>
  <c r="I10" i="22" a="1"/>
  <c r="I10" i="22" s="1"/>
  <c r="G7" i="7"/>
  <c r="J10" i="24" a="1"/>
  <c r="J10" i="24" s="1"/>
  <c r="E11" i="19" a="1"/>
  <c r="E11" i="19" s="1"/>
  <c r="E31" i="19" s="1"/>
  <c r="E9" i="19" a="1"/>
  <c r="E9" i="19" s="1"/>
  <c r="E29" i="19" s="1"/>
  <c r="E12" i="19" a="1"/>
  <c r="E12" i="19" s="1"/>
  <c r="E8" i="19" a="1"/>
  <c r="E8" i="19" s="1"/>
  <c r="E27" i="19" s="1"/>
  <c r="C11" i="23" a="1"/>
  <c r="C11" i="23" s="1"/>
  <c r="C8" i="23" a="1"/>
  <c r="C8" i="23" s="1"/>
  <c r="C29" i="23" s="1"/>
  <c r="C12" i="23" a="1"/>
  <c r="C12" i="23" s="1"/>
  <c r="C9" i="23" a="1"/>
  <c r="C9" i="23" s="1"/>
  <c r="C12" i="20" a="1"/>
  <c r="C12" i="20" s="1"/>
  <c r="C35" i="20" s="1"/>
  <c r="C11" i="20" a="1"/>
  <c r="C11" i="20" s="1"/>
  <c r="C10" i="20" a="1"/>
  <c r="C10" i="20" s="1"/>
  <c r="C36" i="20" s="1"/>
  <c r="C9" i="20" a="1"/>
  <c r="C9" i="20" s="1"/>
  <c r="C32" i="20" s="1"/>
  <c r="C8" i="20" a="1"/>
  <c r="C8" i="20" s="1"/>
  <c r="C30" i="20" s="1"/>
  <c r="A41" i="4"/>
  <c r="I10" i="19" a="1"/>
  <c r="I10" i="19" s="1"/>
  <c r="F10" i="20" a="1"/>
  <c r="F10" i="20" s="1"/>
  <c r="I8" i="25" a="1"/>
  <c r="I8" i="25" s="1"/>
  <c r="I8" i="26" a="1"/>
  <c r="I8" i="26" s="1"/>
  <c r="J8" i="24" a="1"/>
  <c r="J8" i="24" s="1"/>
  <c r="I8" i="24" a="1"/>
  <c r="I8" i="24" s="1"/>
  <c r="J8" i="22" a="1"/>
  <c r="J8" i="22" s="1"/>
  <c r="I8" i="27" a="1"/>
  <c r="I8" i="27" s="1"/>
  <c r="J8" i="25" a="1"/>
  <c r="J8" i="25" s="1"/>
  <c r="I8" i="22" a="1"/>
  <c r="I8" i="22" s="1"/>
  <c r="F30" i="20"/>
  <c r="F38" i="20"/>
  <c r="F33" i="20"/>
  <c r="F36" i="20"/>
  <c r="F35" i="20"/>
  <c r="F32" i="20"/>
  <c r="F34" i="20"/>
  <c r="F31" i="20"/>
  <c r="F39" i="20"/>
  <c r="T9" i="24"/>
  <c r="T12" i="24" s="1"/>
  <c r="V10" i="24" s="1"/>
  <c r="V12" i="24" s="1"/>
  <c r="V9" i="24"/>
  <c r="C25" i="4"/>
  <c r="U34" i="4"/>
  <c r="V36" i="4"/>
  <c r="X37" i="4"/>
  <c r="X34" i="4"/>
  <c r="Z36" i="4"/>
  <c r="Y37" i="4"/>
  <c r="AG52" i="11"/>
  <c r="U56" i="11"/>
  <c r="D26" i="14"/>
  <c r="C12" i="18" a="1"/>
  <c r="C12" i="18" s="1"/>
  <c r="C11" i="18" a="1"/>
  <c r="C11" i="18" s="1"/>
  <c r="C10" i="18" a="1"/>
  <c r="C10" i="18" s="1"/>
  <c r="C33" i="18" s="1"/>
  <c r="C9" i="18" a="1"/>
  <c r="C9" i="18" s="1"/>
  <c r="C8" i="18" a="1"/>
  <c r="C8" i="18" s="1"/>
  <c r="E10" i="19" a="1"/>
  <c r="E10" i="19" s="1"/>
  <c r="E33" i="19" s="1"/>
  <c r="C12" i="22" a="1"/>
  <c r="C12" i="22" s="1"/>
  <c r="C32" i="22" s="1"/>
  <c r="C10" i="22" a="1"/>
  <c r="C10" i="22" s="1"/>
  <c r="C33" i="22" s="1"/>
  <c r="C8" i="22" a="1"/>
  <c r="C8" i="22" s="1"/>
  <c r="C27" i="22" s="1"/>
  <c r="C11" i="22" a="1"/>
  <c r="C11" i="22" s="1"/>
  <c r="C31" i="22" s="1"/>
  <c r="C9" i="22" a="1"/>
  <c r="C9" i="22" s="1"/>
  <c r="C29" i="22" s="1"/>
  <c r="I10" i="24" a="1"/>
  <c r="I10" i="24" s="1"/>
  <c r="T25" i="4"/>
  <c r="X26" i="4"/>
  <c r="Y34" i="4"/>
  <c r="AA36" i="4"/>
  <c r="U60" i="8"/>
  <c r="AG56" i="8"/>
  <c r="U56" i="9"/>
  <c r="AG52" i="9"/>
  <c r="F27" i="19"/>
  <c r="F36" i="19" s="1"/>
  <c r="C26" i="4"/>
  <c r="AI55" i="8"/>
  <c r="D23" i="14"/>
  <c r="D24" i="14"/>
  <c r="D25" i="14"/>
  <c r="J9" i="17"/>
  <c r="L11" i="17" s="1"/>
  <c r="W34" i="4"/>
  <c r="V34" i="4"/>
  <c r="AA34" i="4"/>
  <c r="C34" i="4"/>
  <c r="C28" i="18"/>
  <c r="C26" i="18"/>
  <c r="AB34" i="4"/>
  <c r="D20" i="14"/>
  <c r="J10" i="17"/>
  <c r="J12" i="17" s="1"/>
  <c r="L8" i="17"/>
  <c r="C10" i="23" a="1"/>
  <c r="C10" i="23" s="1"/>
  <c r="C35" i="23" s="1"/>
  <c r="C34" i="27"/>
  <c r="C35" i="27"/>
  <c r="AF27" i="4"/>
  <c r="AC27" i="4"/>
  <c r="U27" i="4"/>
  <c r="AD27" i="4"/>
  <c r="Y36" i="4"/>
  <c r="X36" i="4"/>
  <c r="W36" i="4"/>
  <c r="T36" i="4"/>
  <c r="U37" i="4"/>
  <c r="V37" i="4"/>
  <c r="AB37" i="4"/>
  <c r="T37" i="4"/>
  <c r="Z37" i="4"/>
  <c r="E20" i="16"/>
  <c r="C26" i="15"/>
  <c r="C12" i="17" a="1"/>
  <c r="C12" i="17" s="1"/>
  <c r="C11" i="17" a="1"/>
  <c r="C11" i="17" s="1"/>
  <c r="C31" i="17" s="1"/>
  <c r="H31" i="17" s="1"/>
  <c r="C10" i="17" a="1"/>
  <c r="C10" i="17" s="1"/>
  <c r="C9" i="17" a="1"/>
  <c r="C9" i="17" s="1"/>
  <c r="C29" i="17" s="1"/>
  <c r="C8" i="17" a="1"/>
  <c r="C8" i="17" s="1"/>
  <c r="C27" i="17" s="1"/>
  <c r="E29" i="17"/>
  <c r="G29" i="17" s="1"/>
  <c r="E28" i="18"/>
  <c r="E26" i="18"/>
  <c r="E12" i="20" a="1"/>
  <c r="E12" i="20" s="1"/>
  <c r="E35" i="20" s="1"/>
  <c r="G35" i="20" s="1"/>
  <c r="H35" i="20" s="1"/>
  <c r="I35" i="20" s="1"/>
  <c r="E11" i="20" a="1"/>
  <c r="E11" i="20" s="1"/>
  <c r="E10" i="20" a="1"/>
  <c r="E10" i="20" s="1"/>
  <c r="E36" i="20" s="1"/>
  <c r="E9" i="20" a="1"/>
  <c r="E9" i="20" s="1"/>
  <c r="E8" i="20" a="1"/>
  <c r="E8" i="20" s="1"/>
  <c r="E30" i="20" s="1"/>
  <c r="G30" i="20" s="1"/>
  <c r="H30" i="20" s="1"/>
  <c r="E8" i="22" a="1"/>
  <c r="E8" i="22" s="1"/>
  <c r="E12" i="22" a="1"/>
  <c r="E12" i="22" s="1"/>
  <c r="E9" i="22" a="1"/>
  <c r="E9" i="22" s="1"/>
  <c r="I28" i="24"/>
  <c r="I33" i="24"/>
  <c r="I31" i="24"/>
  <c r="I35" i="24"/>
  <c r="I29" i="24"/>
  <c r="C17" i="35"/>
  <c r="C3" i="35"/>
  <c r="W29" i="4"/>
  <c r="AE29" i="4"/>
  <c r="X35" i="4"/>
  <c r="D15" i="21" a="1"/>
  <c r="D15" i="21" s="1"/>
  <c r="C13" i="20"/>
  <c r="C39" i="20" s="1"/>
  <c r="AJ51" i="10"/>
  <c r="D11" i="15" a="1"/>
  <c r="D11" i="15" s="1"/>
  <c r="D25" i="15" s="1"/>
  <c r="E25" i="15" s="1"/>
  <c r="Y26" i="4" s="1"/>
  <c r="D26" i="16"/>
  <c r="C21" i="16"/>
  <c r="C17" i="16"/>
  <c r="C19" i="16" s="1"/>
  <c r="C20" i="16" s="1"/>
  <c r="K28" i="19"/>
  <c r="L28" i="19" s="1"/>
  <c r="C31" i="19"/>
  <c r="Q9" i="20"/>
  <c r="C33" i="20"/>
  <c r="C34" i="20"/>
  <c r="F10" i="22" a="1"/>
  <c r="F10" i="22" s="1"/>
  <c r="F12" i="22" a="1"/>
  <c r="F12" i="22" s="1"/>
  <c r="F9" i="22" a="1"/>
  <c r="F9" i="22" s="1"/>
  <c r="F11" i="22" a="1"/>
  <c r="F11" i="22" s="1"/>
  <c r="E25" i="22"/>
  <c r="E26" i="22" s="1"/>
  <c r="E29" i="22"/>
  <c r="E28" i="22"/>
  <c r="E30" i="22" s="1"/>
  <c r="E25" i="24"/>
  <c r="E26" i="24" s="1"/>
  <c r="E28" i="24"/>
  <c r="E29" i="24" s="1"/>
  <c r="G11" i="25" a="1"/>
  <c r="G11" i="25" s="1"/>
  <c r="G10" i="25" a="1"/>
  <c r="G10" i="25" s="1"/>
  <c r="G9" i="25" a="1"/>
  <c r="G9" i="25" s="1"/>
  <c r="G8" i="25" a="1"/>
  <c r="G8" i="25" s="1"/>
  <c r="C34" i="25"/>
  <c r="C35" i="25"/>
  <c r="O8" i="27"/>
  <c r="N5" i="27"/>
  <c r="M8" i="27"/>
  <c r="D23" i="16"/>
  <c r="E9" i="17" a="1"/>
  <c r="E9" i="17" s="1"/>
  <c r="F10" i="17" a="1"/>
  <c r="F10" i="17" s="1"/>
  <c r="G28" i="17"/>
  <c r="H28" i="17" s="1"/>
  <c r="I28" i="17" s="1"/>
  <c r="E30" i="17"/>
  <c r="G30" i="17" s="1"/>
  <c r="E32" i="17"/>
  <c r="G32" i="17" s="1"/>
  <c r="F9" i="18" a="1"/>
  <c r="F9" i="18" s="1"/>
  <c r="F12" i="18" a="1"/>
  <c r="F12" i="18" s="1"/>
  <c r="E25" i="19"/>
  <c r="E26" i="19" s="1"/>
  <c r="H26" i="19" s="1"/>
  <c r="J26" i="19" s="1"/>
  <c r="E32" i="19"/>
  <c r="S11" i="20"/>
  <c r="E32" i="20"/>
  <c r="G32" i="20" s="1"/>
  <c r="G31" i="20"/>
  <c r="H31" i="20" s="1"/>
  <c r="I31" i="20" s="1"/>
  <c r="E34" i="20"/>
  <c r="G34" i="20" s="1"/>
  <c r="F25" i="22"/>
  <c r="F29" i="22"/>
  <c r="F27" i="22"/>
  <c r="F26" i="22"/>
  <c r="F28" i="22"/>
  <c r="F31" i="22"/>
  <c r="F30" i="22"/>
  <c r="F35" i="24"/>
  <c r="F31" i="24"/>
  <c r="F32" i="24"/>
  <c r="F30" i="24"/>
  <c r="F25" i="24"/>
  <c r="F33" i="24"/>
  <c r="F27" i="24"/>
  <c r="F28" i="24"/>
  <c r="F34" i="24"/>
  <c r="F29" i="24"/>
  <c r="I32" i="24"/>
  <c r="T8" i="25"/>
  <c r="V8" i="25"/>
  <c r="E30" i="25"/>
  <c r="I30" i="26"/>
  <c r="I33" i="26"/>
  <c r="I31" i="26"/>
  <c r="I27" i="26"/>
  <c r="I29" i="26"/>
  <c r="I35" i="26"/>
  <c r="I32" i="26"/>
  <c r="C49" i="31"/>
  <c r="D49" i="31" s="1"/>
  <c r="AI50" i="9"/>
  <c r="K53" i="12"/>
  <c r="D9" i="15" a="1"/>
  <c r="D9" i="15" s="1"/>
  <c r="E21" i="16"/>
  <c r="U25" i="4" s="1"/>
  <c r="F33" i="19"/>
  <c r="F25" i="19"/>
  <c r="F26" i="19" s="1"/>
  <c r="F32" i="19"/>
  <c r="F31" i="19"/>
  <c r="F30" i="19"/>
  <c r="C30" i="19"/>
  <c r="C15" i="21" a="1"/>
  <c r="C15" i="21" s="1"/>
  <c r="G32" i="22"/>
  <c r="G29" i="22"/>
  <c r="G28" i="22"/>
  <c r="G31" i="22"/>
  <c r="G30" i="22"/>
  <c r="G25" i="22"/>
  <c r="E31" i="22"/>
  <c r="L9" i="23"/>
  <c r="L11" i="23" s="1"/>
  <c r="J9" i="23"/>
  <c r="J12" i="23" s="1"/>
  <c r="L8" i="23"/>
  <c r="C33" i="24"/>
  <c r="I30" i="24"/>
  <c r="U5" i="25"/>
  <c r="Z29" i="4"/>
  <c r="AD53" i="12"/>
  <c r="D25" i="16"/>
  <c r="E8" i="17" a="1"/>
  <c r="E8" i="17" s="1"/>
  <c r="E27" i="17" s="1"/>
  <c r="G27" i="17" s="1"/>
  <c r="H27" i="17" s="1"/>
  <c r="I27" i="17" s="1"/>
  <c r="C32" i="17"/>
  <c r="J9" i="18"/>
  <c r="F11" i="18" a="1"/>
  <c r="F11" i="18" s="1"/>
  <c r="O9" i="19"/>
  <c r="M9" i="19"/>
  <c r="M12" i="19" s="1"/>
  <c r="O10" i="19" s="1"/>
  <c r="O12" i="19" s="1"/>
  <c r="F8" i="20" a="1"/>
  <c r="F8" i="20" s="1"/>
  <c r="F8" i="22" a="1"/>
  <c r="F8" i="22" s="1"/>
  <c r="C30" i="23"/>
  <c r="I27" i="24"/>
  <c r="H28" i="27"/>
  <c r="J28" i="27" s="1"/>
  <c r="K28" i="27" s="1"/>
  <c r="L28" i="27" s="1"/>
  <c r="AA35" i="4"/>
  <c r="C29" i="4"/>
  <c r="C35" i="4"/>
  <c r="AB35" i="4"/>
  <c r="C21" i="14"/>
  <c r="C17" i="14"/>
  <c r="C19" i="14" s="1"/>
  <c r="C26" i="14" s="1"/>
  <c r="D7" i="15" a="1"/>
  <c r="D7" i="15" s="1"/>
  <c r="D20" i="15" s="1"/>
  <c r="E20" i="15" s="1"/>
  <c r="T26" i="4" s="1"/>
  <c r="E26" i="17"/>
  <c r="G26" i="17" s="1"/>
  <c r="J10" i="18"/>
  <c r="J8" i="18"/>
  <c r="C12" i="19" a="1"/>
  <c r="C12" i="19" s="1"/>
  <c r="C32" i="19" s="1"/>
  <c r="C10" i="19" a="1"/>
  <c r="C10" i="19" s="1"/>
  <c r="C33" i="19" s="1"/>
  <c r="C8" i="19" a="1"/>
  <c r="C8" i="19" s="1"/>
  <c r="C27" i="19" s="1"/>
  <c r="C36" i="19" s="1"/>
  <c r="F33" i="22"/>
  <c r="F35" i="22"/>
  <c r="F26" i="24"/>
  <c r="C28" i="24"/>
  <c r="V21" i="25"/>
  <c r="I28" i="26"/>
  <c r="G35" i="27"/>
  <c r="G27" i="27"/>
  <c r="G34" i="27"/>
  <c r="G31" i="27"/>
  <c r="G30" i="27"/>
  <c r="G26" i="27"/>
  <c r="G28" i="27"/>
  <c r="G33" i="27"/>
  <c r="G25" i="27"/>
  <c r="G26" i="19"/>
  <c r="G29" i="19"/>
  <c r="C30" i="22"/>
  <c r="E12" i="23" a="1"/>
  <c r="E12" i="23" s="1"/>
  <c r="E11" i="23" a="1"/>
  <c r="E11" i="23" s="1"/>
  <c r="E10" i="23" a="1"/>
  <c r="E10" i="23" s="1"/>
  <c r="E35" i="23" s="1"/>
  <c r="G35" i="23" s="1"/>
  <c r="H35" i="23" s="1"/>
  <c r="I35" i="23" s="1"/>
  <c r="E9" i="23" a="1"/>
  <c r="E9" i="23" s="1"/>
  <c r="E8" i="23" a="1"/>
  <c r="E8" i="23" s="1"/>
  <c r="C11" i="24" a="1"/>
  <c r="C11" i="24" s="1"/>
  <c r="C9" i="24" a="1"/>
  <c r="C9" i="24" s="1"/>
  <c r="G31" i="24"/>
  <c r="G30" i="24"/>
  <c r="G29" i="24"/>
  <c r="G25" i="24"/>
  <c r="G32" i="24"/>
  <c r="G8" i="19" a="1"/>
  <c r="G8" i="19" s="1"/>
  <c r="G10" i="19" a="1"/>
  <c r="G10" i="19" s="1"/>
  <c r="F9" i="23" a="1"/>
  <c r="F9" i="23" s="1"/>
  <c r="F10" i="23" a="1"/>
  <c r="F10" i="23" s="1"/>
  <c r="E12" i="26" a="1"/>
  <c r="E12" i="26" s="1"/>
  <c r="E10" i="26" a="1"/>
  <c r="E10" i="26" s="1"/>
  <c r="E33" i="26" s="1"/>
  <c r="E8" i="26" a="1"/>
  <c r="E8" i="26" s="1"/>
  <c r="E9" i="26" a="1"/>
  <c r="E9" i="26" s="1"/>
  <c r="E11" i="26" a="1"/>
  <c r="E11" i="26" s="1"/>
  <c r="E29" i="26"/>
  <c r="E28" i="26"/>
  <c r="E25" i="26"/>
  <c r="E26" i="26" s="1"/>
  <c r="H26" i="26" s="1"/>
  <c r="J26" i="26" s="1"/>
  <c r="A35" i="28"/>
  <c r="E23" i="36"/>
  <c r="C20" i="37"/>
  <c r="C23" i="37" s="1"/>
  <c r="C24" i="37" s="1"/>
  <c r="C8" i="15" a="1"/>
  <c r="C8" i="15" s="1"/>
  <c r="C22" i="15" s="1"/>
  <c r="E22" i="15" s="1"/>
  <c r="V26" i="4" s="1"/>
  <c r="F29" i="18"/>
  <c r="I29" i="19"/>
  <c r="G31" i="19"/>
  <c r="C48" i="31"/>
  <c r="D48" i="31" s="1"/>
  <c r="U5" i="22"/>
  <c r="V18" i="22"/>
  <c r="G28" i="24"/>
  <c r="F11" i="26" a="1"/>
  <c r="F11" i="26" s="1"/>
  <c r="F10" i="26" a="1"/>
  <c r="F10" i="26" s="1"/>
  <c r="F12" i="26" a="1"/>
  <c r="F12" i="26" s="1"/>
  <c r="F9" i="26" a="1"/>
  <c r="F9" i="26" s="1"/>
  <c r="G8" i="29"/>
  <c r="D20" i="37"/>
  <c r="D23" i="37" s="1"/>
  <c r="D22" i="37"/>
  <c r="D21" i="37"/>
  <c r="D8" i="14" a="1"/>
  <c r="D8" i="14" s="1"/>
  <c r="D22" i="14" s="1"/>
  <c r="D8" i="16" a="1"/>
  <c r="D8" i="16" s="1"/>
  <c r="D22" i="16" s="1"/>
  <c r="F29" i="17"/>
  <c r="F9" i="19" a="1"/>
  <c r="F9" i="19" s="1"/>
  <c r="F29" i="19" s="1"/>
  <c r="D14" i="21" a="1"/>
  <c r="D14" i="21" s="1"/>
  <c r="D12" i="21" a="1"/>
  <c r="D12" i="21" s="1"/>
  <c r="D10" i="21" a="1"/>
  <c r="D10" i="21" s="1"/>
  <c r="F20" i="21"/>
  <c r="G9" i="22" a="1"/>
  <c r="G9" i="22" s="1"/>
  <c r="T18" i="22"/>
  <c r="T22" i="22" s="1"/>
  <c r="V21" i="22" s="1"/>
  <c r="F12" i="23" a="1"/>
  <c r="F12" i="23" s="1"/>
  <c r="E30" i="23"/>
  <c r="G10" i="24" a="1"/>
  <c r="G10" i="24" s="1"/>
  <c r="G8" i="24" a="1"/>
  <c r="G8" i="24" s="1"/>
  <c r="F10" i="25" a="1"/>
  <c r="F10" i="25" s="1"/>
  <c r="F12" i="25" a="1"/>
  <c r="F12" i="25" s="1"/>
  <c r="F9" i="25" a="1"/>
  <c r="F9" i="25" s="1"/>
  <c r="E29" i="25"/>
  <c r="E12" i="27" a="1"/>
  <c r="E12" i="27" s="1"/>
  <c r="E10" i="27" a="1"/>
  <c r="E10" i="27" s="1"/>
  <c r="E30" i="27" s="1"/>
  <c r="E8" i="27" a="1"/>
  <c r="E8" i="27" s="1"/>
  <c r="E11" i="27" a="1"/>
  <c r="E11" i="27" s="1"/>
  <c r="E31" i="27" s="1"/>
  <c r="E9" i="27" a="1"/>
  <c r="E9" i="27" s="1"/>
  <c r="L24" i="31"/>
  <c r="K33" i="31"/>
  <c r="C25" i="36"/>
  <c r="C24" i="36"/>
  <c r="O10" i="26"/>
  <c r="O12" i="26" s="1"/>
  <c r="C31" i="26"/>
  <c r="C30" i="26"/>
  <c r="C32" i="26"/>
  <c r="C29" i="26"/>
  <c r="C30" i="27"/>
  <c r="C29" i="27"/>
  <c r="D30" i="31"/>
  <c r="B33" i="31" s="1"/>
  <c r="D31" i="31"/>
  <c r="I27" i="22"/>
  <c r="I33" i="22"/>
  <c r="I35" i="22"/>
  <c r="F10" i="24" a="1"/>
  <c r="F10" i="24" s="1"/>
  <c r="J27" i="22"/>
  <c r="I28" i="22"/>
  <c r="J33" i="22"/>
  <c r="T19" i="24"/>
  <c r="T22" i="24" s="1"/>
  <c r="V20" i="24" s="1"/>
  <c r="V22" i="24" s="1"/>
  <c r="E9" i="25" a="1"/>
  <c r="E9" i="25" s="1"/>
  <c r="E8" i="25" a="1"/>
  <c r="E8" i="25" s="1"/>
  <c r="E11" i="25" a="1"/>
  <c r="E11" i="25" s="1"/>
  <c r="V18" i="25"/>
  <c r="V20" i="25" s="1"/>
  <c r="V22" i="25" s="1"/>
  <c r="C33" i="26"/>
  <c r="Z14" i="28"/>
  <c r="AA14" i="28" s="1"/>
  <c r="G11" i="26" a="1"/>
  <c r="G11" i="26" s="1"/>
  <c r="G9" i="26" a="1"/>
  <c r="G9" i="26" s="1"/>
  <c r="J33" i="24"/>
  <c r="J29" i="24"/>
  <c r="J27" i="24"/>
  <c r="F33" i="25"/>
  <c r="F29" i="25"/>
  <c r="F35" i="25"/>
  <c r="F31" i="25"/>
  <c r="C30" i="25"/>
  <c r="F30" i="25"/>
  <c r="C27" i="26"/>
  <c r="C36" i="26" s="1"/>
  <c r="AD18" i="28"/>
  <c r="AE18" i="28" s="1"/>
  <c r="G34" i="25"/>
  <c r="G30" i="25"/>
  <c r="J35" i="25"/>
  <c r="J31" i="25"/>
  <c r="J33" i="25"/>
  <c r="J29" i="25"/>
  <c r="H28" i="25"/>
  <c r="K28" i="25" s="1"/>
  <c r="L28" i="25" s="1"/>
  <c r="M28" i="25" s="1"/>
  <c r="G29" i="25"/>
  <c r="E29" i="27"/>
  <c r="E32" i="27"/>
  <c r="E25" i="27"/>
  <c r="E26" i="27" s="1"/>
  <c r="H26" i="27" s="1"/>
  <c r="J26" i="27" s="1"/>
  <c r="E31" i="25"/>
  <c r="F26" i="26"/>
  <c r="G27" i="26"/>
  <c r="F28" i="26"/>
  <c r="G35" i="26"/>
  <c r="I28" i="27"/>
  <c r="D7" i="36"/>
  <c r="D20" i="36" s="1"/>
  <c r="E20" i="36" s="1"/>
  <c r="E26" i="25"/>
  <c r="H26" i="25" s="1"/>
  <c r="K26" i="25" s="1"/>
  <c r="C32" i="25"/>
  <c r="G26" i="26"/>
  <c r="G28" i="26"/>
  <c r="G8" i="27" a="1"/>
  <c r="G8" i="27" s="1"/>
  <c r="G10" i="27" a="1"/>
  <c r="G10" i="27" s="1"/>
  <c r="G12" i="27" a="1"/>
  <c r="G12" i="27" s="1"/>
  <c r="I29" i="27"/>
  <c r="D9" i="36"/>
  <c r="G25" i="26"/>
  <c r="G9" i="27" a="1"/>
  <c r="G9" i="27" s="1"/>
  <c r="F26" i="27"/>
  <c r="H32" i="25" l="1"/>
  <c r="K32" i="25" s="1"/>
  <c r="L32" i="25"/>
  <c r="M32" i="25" s="1"/>
  <c r="E27" i="25"/>
  <c r="E36" i="25" s="1"/>
  <c r="E30" i="24"/>
  <c r="E32" i="24"/>
  <c r="H26" i="22"/>
  <c r="K26" i="22" s="1"/>
  <c r="E27" i="22"/>
  <c r="E33" i="22"/>
  <c r="I31" i="17"/>
  <c r="X27" i="4"/>
  <c r="D27" i="14"/>
  <c r="C27" i="14"/>
  <c r="C28" i="14"/>
  <c r="H29" i="24"/>
  <c r="K29" i="24" s="1"/>
  <c r="H27" i="19"/>
  <c r="J27" i="19" s="1"/>
  <c r="E36" i="19"/>
  <c r="E34" i="19"/>
  <c r="L11" i="18"/>
  <c r="H26" i="24"/>
  <c r="K26" i="24" s="1"/>
  <c r="E27" i="24"/>
  <c r="E33" i="24"/>
  <c r="H33" i="19"/>
  <c r="J33" i="19" s="1"/>
  <c r="K33" i="19" s="1"/>
  <c r="L33" i="19" s="1"/>
  <c r="E35" i="19"/>
  <c r="H35" i="19" s="1"/>
  <c r="J35" i="19" s="1"/>
  <c r="K33" i="26"/>
  <c r="L33" i="26" s="1"/>
  <c r="H33" i="26"/>
  <c r="J33" i="26" s="1"/>
  <c r="H27" i="25"/>
  <c r="E34" i="25"/>
  <c r="E27" i="26"/>
  <c r="L30" i="22"/>
  <c r="M30" i="22" s="1"/>
  <c r="H30" i="22"/>
  <c r="K30" i="22" s="1"/>
  <c r="H31" i="19"/>
  <c r="J31" i="19" s="1"/>
  <c r="K31" i="19"/>
  <c r="L31" i="19" s="1"/>
  <c r="H31" i="25"/>
  <c r="K31" i="25" s="1"/>
  <c r="L31" i="25"/>
  <c r="M31" i="25" s="1"/>
  <c r="H29" i="27"/>
  <c r="J29" i="27" s="1"/>
  <c r="K29" i="27"/>
  <c r="L29" i="27" s="1"/>
  <c r="E27" i="27"/>
  <c r="D26" i="37"/>
  <c r="E26" i="37" s="1"/>
  <c r="V21" i="24"/>
  <c r="E33" i="25"/>
  <c r="O9" i="27"/>
  <c r="M9" i="27"/>
  <c r="H32" i="24"/>
  <c r="K32" i="24" s="1"/>
  <c r="C22" i="16"/>
  <c r="E22" i="16" s="1"/>
  <c r="V25" i="4" s="1"/>
  <c r="C25" i="16"/>
  <c r="C24" i="16"/>
  <c r="E24" i="16" s="1"/>
  <c r="X25" i="4" s="1"/>
  <c r="C23" i="16"/>
  <c r="V11" i="24"/>
  <c r="H30" i="27"/>
  <c r="J30" i="27" s="1"/>
  <c r="K30" i="27"/>
  <c r="L30" i="27" s="1"/>
  <c r="E37" i="23"/>
  <c r="G37" i="23" s="1"/>
  <c r="H37" i="23" s="1"/>
  <c r="C34" i="24"/>
  <c r="C35" i="24"/>
  <c r="E34" i="24"/>
  <c r="H32" i="17"/>
  <c r="E23" i="14"/>
  <c r="W24" i="4" s="1"/>
  <c r="E27" i="29"/>
  <c r="F27" i="29" s="1"/>
  <c r="E28" i="29"/>
  <c r="F28" i="29" s="1"/>
  <c r="E26" i="29"/>
  <c r="F26" i="29" s="1"/>
  <c r="C35" i="26"/>
  <c r="C34" i="26"/>
  <c r="C27" i="36"/>
  <c r="E27" i="36" s="1"/>
  <c r="C26" i="36"/>
  <c r="E34" i="23"/>
  <c r="G34" i="23" s="1"/>
  <c r="H34" i="23" s="1"/>
  <c r="E31" i="23"/>
  <c r="G31" i="23" s="1"/>
  <c r="H31" i="23" s="1"/>
  <c r="E33" i="23"/>
  <c r="G33" i="23" s="1"/>
  <c r="E32" i="23"/>
  <c r="G32" i="23" s="1"/>
  <c r="G30" i="23"/>
  <c r="H30" i="23" s="1"/>
  <c r="C21" i="37"/>
  <c r="E43" i="23"/>
  <c r="H43" i="23" s="1"/>
  <c r="E29" i="23"/>
  <c r="G29" i="23" s="1"/>
  <c r="H29" i="23" s="1"/>
  <c r="T32" i="4" s="1"/>
  <c r="E39" i="23"/>
  <c r="H39" i="23" s="1"/>
  <c r="E30" i="19"/>
  <c r="E25" i="16"/>
  <c r="Y25" i="4" s="1"/>
  <c r="L10" i="23"/>
  <c r="L12" i="23" s="1"/>
  <c r="G26" i="18"/>
  <c r="E33" i="18"/>
  <c r="E27" i="18"/>
  <c r="G27" i="18" s="1"/>
  <c r="H27" i="18" s="1"/>
  <c r="T28" i="4" s="1"/>
  <c r="C28" i="15"/>
  <c r="D27" i="15"/>
  <c r="C27" i="15"/>
  <c r="C20" i="14"/>
  <c r="C27" i="18"/>
  <c r="C38" i="20"/>
  <c r="G37" i="20"/>
  <c r="H37" i="20" s="1"/>
  <c r="E37" i="20"/>
  <c r="C37" i="20"/>
  <c r="T27" i="4"/>
  <c r="K28" i="29"/>
  <c r="L28" i="29" s="1"/>
  <c r="K26" i="29"/>
  <c r="L26" i="29" s="1"/>
  <c r="K27" i="29"/>
  <c r="L27" i="29" s="1"/>
  <c r="I27" i="29"/>
  <c r="J27" i="29" s="1"/>
  <c r="I28" i="29"/>
  <c r="J28" i="29" s="1"/>
  <c r="I26" i="29"/>
  <c r="J26" i="29" s="1"/>
  <c r="I27" i="30"/>
  <c r="J27" i="30" s="1"/>
  <c r="I28" i="30"/>
  <c r="J28" i="30" s="1"/>
  <c r="I26" i="30"/>
  <c r="J26" i="30" s="1"/>
  <c r="H28" i="26"/>
  <c r="J28" i="26" s="1"/>
  <c r="K28" i="26" s="1"/>
  <c r="L28" i="26" s="1"/>
  <c r="E31" i="26"/>
  <c r="H30" i="25"/>
  <c r="K30" i="25" s="1"/>
  <c r="D28" i="16"/>
  <c r="C37" i="23"/>
  <c r="G36" i="23"/>
  <c r="E36" i="23"/>
  <c r="C36" i="23"/>
  <c r="D25" i="36"/>
  <c r="E25" i="36" s="1"/>
  <c r="D24" i="36"/>
  <c r="E24" i="36" s="1"/>
  <c r="H29" i="25"/>
  <c r="K29" i="25" s="1"/>
  <c r="V20" i="22"/>
  <c r="V22" i="22" s="1"/>
  <c r="E32" i="26"/>
  <c r="Q16" i="20"/>
  <c r="T12" i="25"/>
  <c r="V10" i="25" s="1"/>
  <c r="V12" i="25" s="1"/>
  <c r="H34" i="20"/>
  <c r="I34" i="20" s="1"/>
  <c r="H32" i="19"/>
  <c r="J32" i="19" s="1"/>
  <c r="K32" i="19" s="1"/>
  <c r="L32" i="19" s="1"/>
  <c r="H28" i="24"/>
  <c r="K28" i="24" s="1"/>
  <c r="L28" i="24" s="1"/>
  <c r="M28" i="24" s="1"/>
  <c r="H28" i="22"/>
  <c r="K28" i="22" s="1"/>
  <c r="L28" i="22" s="1"/>
  <c r="M28" i="22" s="1"/>
  <c r="E32" i="22"/>
  <c r="AG52" i="10"/>
  <c r="U56" i="10"/>
  <c r="E32" i="18"/>
  <c r="G32" i="18" s="1"/>
  <c r="G28" i="18"/>
  <c r="H28" i="18" s="1"/>
  <c r="E30" i="18"/>
  <c r="G30" i="18" s="1"/>
  <c r="E31" i="18"/>
  <c r="G31" i="18" s="1"/>
  <c r="E29" i="18"/>
  <c r="G29" i="18" s="1"/>
  <c r="E33" i="17"/>
  <c r="K27" i="19"/>
  <c r="G17" i="19" s="1"/>
  <c r="A30" i="4" s="1"/>
  <c r="H29" i="19"/>
  <c r="J29" i="19" s="1"/>
  <c r="K29" i="19" s="1"/>
  <c r="L29" i="19" s="1"/>
  <c r="C28" i="29"/>
  <c r="D28" i="29" s="1"/>
  <c r="C26" i="29"/>
  <c r="D26" i="29" s="1"/>
  <c r="C27" i="29"/>
  <c r="D27" i="29" s="1"/>
  <c r="T9" i="22"/>
  <c r="T12" i="22" s="1"/>
  <c r="V10" i="22" s="1"/>
  <c r="V12" i="22" s="1"/>
  <c r="V9" i="22"/>
  <c r="V11" i="22" s="1"/>
  <c r="H29" i="22"/>
  <c r="K29" i="22" s="1"/>
  <c r="L29" i="22"/>
  <c r="M29" i="22" s="1"/>
  <c r="H29" i="17"/>
  <c r="L10" i="17"/>
  <c r="L12" i="17" s="1"/>
  <c r="C35" i="18"/>
  <c r="C34" i="18"/>
  <c r="C26" i="30"/>
  <c r="D26" i="30" s="1"/>
  <c r="C28" i="30"/>
  <c r="D28" i="30" s="1"/>
  <c r="C27" i="30"/>
  <c r="D27" i="30" s="1"/>
  <c r="C35" i="19"/>
  <c r="C34" i="19"/>
  <c r="H34" i="19"/>
  <c r="J34" i="19" s="1"/>
  <c r="F34" i="19"/>
  <c r="O11" i="19"/>
  <c r="H31" i="22"/>
  <c r="K31" i="22" s="1"/>
  <c r="F35" i="19"/>
  <c r="D26" i="15"/>
  <c r="D23" i="15"/>
  <c r="E23" i="15" s="1"/>
  <c r="W26" i="4" s="1"/>
  <c r="H30" i="24"/>
  <c r="K30" i="24" s="1"/>
  <c r="L30" i="24"/>
  <c r="M30" i="24" s="1"/>
  <c r="E33" i="20"/>
  <c r="G33" i="20" s="1"/>
  <c r="H33" i="20" s="1"/>
  <c r="I33" i="20" s="1"/>
  <c r="C26" i="16"/>
  <c r="E27" i="30"/>
  <c r="F27" i="30" s="1"/>
  <c r="E28" i="30"/>
  <c r="F28" i="30" s="1"/>
  <c r="E26" i="30"/>
  <c r="F26" i="30" s="1"/>
  <c r="K26" i="30"/>
  <c r="L26" i="30" s="1"/>
  <c r="K28" i="30"/>
  <c r="L28" i="30" s="1"/>
  <c r="K27" i="30"/>
  <c r="L27" i="30" s="1"/>
  <c r="H32" i="27"/>
  <c r="J32" i="27" s="1"/>
  <c r="K32" i="27" s="1"/>
  <c r="L32" i="27" s="1"/>
  <c r="K29" i="26"/>
  <c r="L29" i="26" s="1"/>
  <c r="H29" i="26"/>
  <c r="J29" i="26" s="1"/>
  <c r="C34" i="23"/>
  <c r="C31" i="23"/>
  <c r="C33" i="23"/>
  <c r="C32" i="23"/>
  <c r="V9" i="25"/>
  <c r="T9" i="25"/>
  <c r="E23" i="16"/>
  <c r="W25" i="4" s="1"/>
  <c r="G36" i="20"/>
  <c r="H36" i="20" s="1"/>
  <c r="E38" i="20"/>
  <c r="G38" i="20" s="1"/>
  <c r="E20" i="14"/>
  <c r="T24" i="4" s="1"/>
  <c r="C32" i="18"/>
  <c r="C29" i="18"/>
  <c r="C31" i="18"/>
  <c r="C30" i="18"/>
  <c r="C36" i="22"/>
  <c r="P47" i="8"/>
  <c r="E33" i="27"/>
  <c r="K31" i="27"/>
  <c r="L31" i="27" s="1"/>
  <c r="H31" i="27"/>
  <c r="J31" i="27" s="1"/>
  <c r="E30" i="26"/>
  <c r="C32" i="24"/>
  <c r="L32" i="24" s="1"/>
  <c r="M32" i="24" s="1"/>
  <c r="C31" i="24"/>
  <c r="C30" i="24"/>
  <c r="C29" i="24"/>
  <c r="L29" i="24" s="1"/>
  <c r="M29" i="24" s="1"/>
  <c r="J12" i="18"/>
  <c r="C24" i="14"/>
  <c r="E24" i="14" s="1"/>
  <c r="X24" i="4" s="1"/>
  <c r="C23" i="14"/>
  <c r="C22" i="14"/>
  <c r="E22" i="14" s="1"/>
  <c r="V24" i="4" s="1"/>
  <c r="E21" i="14"/>
  <c r="U24" i="4" s="1"/>
  <c r="C25" i="14"/>
  <c r="E25" i="14" s="1"/>
  <c r="Y24" i="4" s="1"/>
  <c r="H32" i="20"/>
  <c r="I32" i="20" s="1"/>
  <c r="M12" i="27"/>
  <c r="O10" i="27" s="1"/>
  <c r="E31" i="24"/>
  <c r="Z32" i="4"/>
  <c r="C30" i="17"/>
  <c r="H30" i="17" s="1"/>
  <c r="C33" i="17"/>
  <c r="L10" i="18"/>
  <c r="L12" i="18" s="1"/>
  <c r="C34" i="22"/>
  <c r="C35" i="22"/>
  <c r="E26" i="14"/>
  <c r="Z24" i="4" s="1"/>
  <c r="D28" i="14"/>
  <c r="E28" i="14" s="1"/>
  <c r="AB24" i="4" s="1"/>
  <c r="C41" i="4"/>
  <c r="T41" i="4"/>
  <c r="J9" i="25" a="1"/>
  <c r="J9" i="25" s="1"/>
  <c r="I9" i="25" a="1"/>
  <c r="I9" i="25" s="1"/>
  <c r="I9" i="27" a="1"/>
  <c r="I9" i="27" s="1"/>
  <c r="J9" i="24" a="1"/>
  <c r="J9" i="24" s="1"/>
  <c r="I9" i="22" a="1"/>
  <c r="I9" i="22" s="1"/>
  <c r="I9" i="26" a="1"/>
  <c r="I9" i="26" s="1"/>
  <c r="I9" i="24" a="1"/>
  <c r="I9" i="24" s="1"/>
  <c r="J9" i="22" a="1"/>
  <c r="J9" i="22" s="1"/>
  <c r="G28" i="30"/>
  <c r="H28" i="30" s="1"/>
  <c r="G26" i="30"/>
  <c r="H26" i="30" s="1"/>
  <c r="G27" i="30"/>
  <c r="H27" i="30" s="1"/>
  <c r="G8" i="30" l="1"/>
  <c r="C8" i="29"/>
  <c r="I30" i="17"/>
  <c r="W27" i="4"/>
  <c r="C28" i="16"/>
  <c r="D27" i="16"/>
  <c r="C27" i="16"/>
  <c r="L31" i="22"/>
  <c r="M31" i="22" s="1"/>
  <c r="S14" i="20"/>
  <c r="S18" i="20" s="1"/>
  <c r="S12" i="20"/>
  <c r="S17" i="20" s="1"/>
  <c r="E35" i="17"/>
  <c r="G35" i="17" s="1"/>
  <c r="G33" i="17"/>
  <c r="H33" i="17" s="1"/>
  <c r="H36" i="23"/>
  <c r="K35" i="19"/>
  <c r="L35" i="19" s="1"/>
  <c r="E34" i="18"/>
  <c r="H29" i="18"/>
  <c r="H31" i="26"/>
  <c r="J31" i="26" s="1"/>
  <c r="K31" i="26"/>
  <c r="L31" i="26" s="1"/>
  <c r="G33" i="18"/>
  <c r="H33" i="18" s="1"/>
  <c r="E35" i="18"/>
  <c r="G35" i="18" s="1"/>
  <c r="H35" i="18" s="1"/>
  <c r="I37" i="23"/>
  <c r="AB32" i="4"/>
  <c r="H30" i="26"/>
  <c r="J30" i="26" s="1"/>
  <c r="K30" i="26"/>
  <c r="L30" i="26" s="1"/>
  <c r="H32" i="22"/>
  <c r="K32" i="22" s="1"/>
  <c r="H32" i="26"/>
  <c r="J32" i="26" s="1"/>
  <c r="K32" i="26" s="1"/>
  <c r="L32" i="26" s="1"/>
  <c r="K34" i="19"/>
  <c r="L34" i="19" s="1"/>
  <c r="G34" i="18"/>
  <c r="H34" i="18" s="1"/>
  <c r="H31" i="18"/>
  <c r="L29" i="25"/>
  <c r="M29" i="25" s="1"/>
  <c r="E26" i="16"/>
  <c r="Z25" i="4" s="1"/>
  <c r="I32" i="17"/>
  <c r="Y27" i="4"/>
  <c r="O11" i="27"/>
  <c r="O12" i="27" s="1"/>
  <c r="K27" i="25"/>
  <c r="L27" i="25" s="1"/>
  <c r="G17" i="25" s="1"/>
  <c r="H34" i="25"/>
  <c r="L34" i="25" s="1"/>
  <c r="M34" i="25" s="1"/>
  <c r="H33" i="24"/>
  <c r="K33" i="24" s="1"/>
  <c r="L33" i="24"/>
  <c r="M33" i="24" s="1"/>
  <c r="E35" i="24"/>
  <c r="H33" i="22"/>
  <c r="K33" i="22" s="1"/>
  <c r="E35" i="22"/>
  <c r="E36" i="27"/>
  <c r="K35" i="27" s="1"/>
  <c r="L35" i="27" s="1"/>
  <c r="H27" i="27"/>
  <c r="E34" i="27"/>
  <c r="AB30" i="4"/>
  <c r="T30" i="4"/>
  <c r="AA30" i="4"/>
  <c r="C30" i="4"/>
  <c r="X30" i="4"/>
  <c r="Z30" i="4"/>
  <c r="Y30" i="4"/>
  <c r="V30" i="4"/>
  <c r="W30" i="4"/>
  <c r="U30" i="4"/>
  <c r="I34" i="23"/>
  <c r="Y32" i="4"/>
  <c r="H27" i="26"/>
  <c r="E36" i="26"/>
  <c r="K35" i="26" s="1"/>
  <c r="L35" i="26" s="1"/>
  <c r="E34" i="26"/>
  <c r="I30" i="23"/>
  <c r="U32" i="4"/>
  <c r="H33" i="25"/>
  <c r="K33" i="25" s="1"/>
  <c r="E35" i="25"/>
  <c r="E36" i="24"/>
  <c r="H27" i="24"/>
  <c r="E36" i="22"/>
  <c r="H27" i="22"/>
  <c r="E34" i="22"/>
  <c r="E8" i="30"/>
  <c r="E26" i="15"/>
  <c r="Z26" i="4" s="1"/>
  <c r="D28" i="15"/>
  <c r="E28" i="15" s="1"/>
  <c r="AB26" i="4" s="1"/>
  <c r="I28" i="18"/>
  <c r="U28" i="4"/>
  <c r="E27" i="15"/>
  <c r="AA26" i="4" s="1"/>
  <c r="H32" i="23"/>
  <c r="E35" i="26"/>
  <c r="H35" i="26" s="1"/>
  <c r="J35" i="26" s="1"/>
  <c r="I31" i="23"/>
  <c r="V32" i="4"/>
  <c r="C8" i="30"/>
  <c r="E27" i="14"/>
  <c r="AA24" i="4" s="1"/>
  <c r="G34" i="17"/>
  <c r="H34" i="17" s="1"/>
  <c r="E34" i="17"/>
  <c r="C34" i="17"/>
  <c r="C35" i="17"/>
  <c r="V11" i="25"/>
  <c r="H31" i="24"/>
  <c r="K31" i="24" s="1"/>
  <c r="L31" i="24"/>
  <c r="M31" i="24" s="1"/>
  <c r="H33" i="27"/>
  <c r="J33" i="27" s="1"/>
  <c r="K33" i="27"/>
  <c r="L33" i="27" s="1"/>
  <c r="E35" i="27"/>
  <c r="H35" i="27" s="1"/>
  <c r="J35" i="27" s="1"/>
  <c r="H30" i="18"/>
  <c r="E28" i="16"/>
  <c r="AB25" i="4" s="1"/>
  <c r="H38" i="20"/>
  <c r="I29" i="17"/>
  <c r="V27" i="4"/>
  <c r="H32" i="18"/>
  <c r="L30" i="25"/>
  <c r="M30" i="25" s="1"/>
  <c r="S15" i="20"/>
  <c r="H30" i="19"/>
  <c r="J30" i="19" s="1"/>
  <c r="K30" i="19"/>
  <c r="L30" i="19" s="1"/>
  <c r="H33" i="23"/>
  <c r="E8" i="29"/>
  <c r="S13" i="20"/>
  <c r="I34" i="17" l="1"/>
  <c r="AA27" i="4"/>
  <c r="V28" i="4"/>
  <c r="I29" i="18"/>
  <c r="I32" i="18"/>
  <c r="Y28" i="4"/>
  <c r="K27" i="24"/>
  <c r="L27" i="24" s="1"/>
  <c r="G17" i="24" s="1"/>
  <c r="H34" i="24"/>
  <c r="L34" i="24" s="1"/>
  <c r="M34" i="24" s="1"/>
  <c r="J27" i="26"/>
  <c r="K27" i="26" s="1"/>
  <c r="H34" i="26"/>
  <c r="J34" i="26" s="1"/>
  <c r="K34" i="26" s="1"/>
  <c r="L34" i="26" s="1"/>
  <c r="I36" i="23"/>
  <c r="AA32" i="4"/>
  <c r="L35" i="22"/>
  <c r="H35" i="22"/>
  <c r="K35" i="22" s="1"/>
  <c r="I35" i="18"/>
  <c r="AB28" i="4"/>
  <c r="I33" i="17"/>
  <c r="Z27" i="4"/>
  <c r="E27" i="16"/>
  <c r="AA25" i="4" s="1"/>
  <c r="X32" i="4"/>
  <c r="I33" i="23"/>
  <c r="I33" i="18"/>
  <c r="Z28" i="4"/>
  <c r="H35" i="17"/>
  <c r="H35" i="25"/>
  <c r="K35" i="25" s="1"/>
  <c r="L35" i="25"/>
  <c r="M35" i="25" s="1"/>
  <c r="L33" i="22"/>
  <c r="I31" i="18"/>
  <c r="X28" i="4"/>
  <c r="J27" i="27"/>
  <c r="K27" i="27" s="1"/>
  <c r="H34" i="27"/>
  <c r="J34" i="27" s="1"/>
  <c r="K34" i="27" s="1"/>
  <c r="L34" i="27" s="1"/>
  <c r="I34" i="18"/>
  <c r="AA28" i="4"/>
  <c r="I30" i="18"/>
  <c r="W28" i="4"/>
  <c r="I32" i="23"/>
  <c r="W32" i="4"/>
  <c r="L33" i="25"/>
  <c r="M33" i="25" s="1"/>
  <c r="K27" i="22"/>
  <c r="L27" i="22" s="1"/>
  <c r="G17" i="22" s="1"/>
  <c r="A31" i="4" s="1"/>
  <c r="H34" i="22"/>
  <c r="L34" i="22" s="1"/>
  <c r="H35" i="24"/>
  <c r="K35" i="24" s="1"/>
  <c r="L32" i="22"/>
  <c r="M32" i="22" s="1"/>
  <c r="L27" i="27" l="1"/>
  <c r="G17" i="27"/>
  <c r="U31" i="4"/>
  <c r="AB31" i="4"/>
  <c r="T31" i="4"/>
  <c r="Y31" i="4"/>
  <c r="AA31" i="4"/>
  <c r="Z31" i="4"/>
  <c r="X31" i="4"/>
  <c r="W31" i="4"/>
  <c r="V31" i="4"/>
  <c r="C31" i="4"/>
  <c r="I35" i="17"/>
  <c r="AB27" i="4"/>
  <c r="L35" i="24"/>
  <c r="M35" i="24" s="1"/>
  <c r="L27" i="26"/>
  <c r="G17" i="26"/>
  <c r="A48" i="4" l="1"/>
  <c r="C48" i="4" s="1"/>
  <c r="A47" i="4"/>
  <c r="AA48" i="4" l="1"/>
  <c r="X47" i="4"/>
  <c r="X48" i="4"/>
  <c r="T47" i="4"/>
  <c r="AB47" i="4"/>
  <c r="W48" i="4"/>
  <c r="V48" i="4"/>
  <c r="AA47" i="4"/>
  <c r="C47" i="4"/>
  <c r="T48" i="4"/>
  <c r="Y47" i="4"/>
  <c r="AB48" i="4"/>
  <c r="Z47" i="4"/>
  <c r="Z48" i="4"/>
  <c r="W47" i="4"/>
  <c r="Y48" i="4"/>
  <c r="V47" i="4"/>
  <c r="U48" i="4"/>
  <c r="U47" i="4"/>
  <c r="A1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1" authorId="0" shapeId="0" xr:uid="{00000000-0006-0000-0300-000001000000}">
      <text>
        <r>
          <rPr>
            <sz val="10"/>
            <color rgb="FF000000"/>
            <rFont val="Arial"/>
            <scheme val="minor"/>
          </rPr>
          <t>======
ID#AAABfiDc_Q0
Steinfurth    (2025-03-11 13:49:58)
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extLst>
    <ext xmlns:r="http://schemas.openxmlformats.org/officeDocument/2006/relationships" uri="GoogleSheetsCustomDataVersion2">
      <go:sheetsCustomData xmlns:go="http://customooxmlschemas.google.com/" r:id="rId1" roundtripDataSignature="AMtx7mjfVHrLinwWVj0FNM1t62/KZwPL7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1" authorId="0" shapeId="0" xr:uid="{00000000-0006-0000-0600-000001000000}">
      <text>
        <r>
          <rPr>
            <sz val="10"/>
            <color rgb="FF000000"/>
            <rFont val="Arial"/>
            <scheme val="minor"/>
          </rPr>
          <t>======
ID#AAABfiDc_PY
Dan Jones    (2025-03-11 13:49:58)
Used for Impact Attenuator Attachment &amp; AI Plate Calcs Only</t>
        </r>
      </text>
    </comment>
  </commentList>
  <extLst>
    <ext xmlns:r="http://schemas.openxmlformats.org/officeDocument/2006/relationships" uri="GoogleSheetsCustomDataVersion2">
      <go:sheetsCustomData xmlns:go="http://customooxmlschemas.google.com/" r:id="rId1" roundtripDataSignature="AMtx7mgeM5lzNtk8F4vAJfZErgSMPYJCO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V51" authorId="0" shapeId="0" xr:uid="{00000000-0006-0000-0700-000002000000}">
      <text>
        <r>
          <rPr>
            <sz val="10"/>
            <color rgb="FF000000"/>
            <rFont val="Arial"/>
            <scheme val="minor"/>
          </rPr>
          <t>======
ID#AAABfiDc_PI
Dan    (2025-03-11 13:49:58)
Area under curve up to panel failure/end of test</t>
        </r>
      </text>
    </comment>
    <comment ref="C54" authorId="0" shapeId="0" xr:uid="{00000000-0006-0000-0700-000001000000}">
      <text>
        <r>
          <rPr>
            <sz val="10"/>
            <color rgb="FF000000"/>
            <rFont val="Arial"/>
            <scheme val="minor"/>
          </rPr>
          <t>======
ID#AAABfiDc_P4
Dan    (2025-03-11 13:49:58)
Area under curve up to panel failure/end of test</t>
        </r>
      </text>
    </comment>
  </commentList>
  <extLst>
    <ext xmlns:r="http://schemas.openxmlformats.org/officeDocument/2006/relationships" uri="GoogleSheetsCustomDataVersion2">
      <go:sheetsCustomData xmlns:go="http://customooxmlschemas.google.com/" r:id="rId1" roundtripDataSignature="AMtx7mgJtPJxuQ2hyOWsKMp10p9zjcWvX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000-000002000000}">
      <text>
        <r>
          <rPr>
            <sz val="10"/>
            <color rgb="FF000000"/>
            <rFont val="Arial"/>
            <scheme val="minor"/>
          </rPr>
          <t>======
ID#AAABfiDc_Q8
Dan Jones    (2025-03-11 13:49:58)
This is the side closest to the driver</t>
        </r>
      </text>
    </comment>
    <comment ref="B21" authorId="0" shapeId="0" xr:uid="{00000000-0006-0000-1000-000001000000}">
      <text>
        <r>
          <rPr>
            <sz val="10"/>
            <color rgb="FF000000"/>
            <rFont val="Arial"/>
            <scheme val="minor"/>
          </rPr>
          <t>======
ID#AAABfiDc_RA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FWJOP1WHYpuiFF9ZbPXWAJxpFH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100-000002000000}">
      <text>
        <r>
          <rPr>
            <sz val="10"/>
            <color rgb="FF000000"/>
            <rFont val="Arial"/>
            <scheme val="minor"/>
          </rPr>
          <t>======
ID#AAABfiDc_RY
Dan Jones    (2025-03-11 13:49:58)
This is the side closest to the driver</t>
        </r>
      </text>
    </comment>
    <comment ref="B21" authorId="0" shapeId="0" xr:uid="{00000000-0006-0000-1100-000001000000}">
      <text>
        <r>
          <rPr>
            <sz val="10"/>
            <color rgb="FF000000"/>
            <rFont val="Arial"/>
            <scheme val="minor"/>
          </rPr>
          <t>======
ID#AAABfiDc_Rk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vHEWANuyQqYRgdVB4GWFGghFzd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200-000001000000}">
      <text>
        <r>
          <rPr>
            <sz val="10"/>
            <color rgb="FF000000"/>
            <rFont val="Arial"/>
            <scheme val="minor"/>
          </rPr>
          <t>======
ID#AAABfiDc_Qg
Dan Jones    (2025-03-11 13:49:58)
This is the side closest to the driver</t>
        </r>
      </text>
    </comment>
    <comment ref="B21" authorId="0" shapeId="0" xr:uid="{00000000-0006-0000-1200-000002000000}">
      <text>
        <r>
          <rPr>
            <sz val="10"/>
            <color rgb="FF000000"/>
            <rFont val="Arial"/>
            <scheme val="minor"/>
          </rPr>
          <t>======
ID#AAABfiDc_Pc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MKe/ybO0hD/d+6oT/XIgZbrzwo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7" authorId="0" shapeId="0" xr:uid="{00000000-0006-0000-1300-000006000000}">
      <text>
        <r>
          <rPr>
            <sz val="10"/>
            <color rgb="FF000000"/>
            <rFont val="Arial"/>
            <scheme val="minor"/>
          </rPr>
          <t>======
ID#AAABfiDc_PM
Dan Jones    (2025-03-11 13:49:58)
Max allowable depth from rules</t>
        </r>
      </text>
    </comment>
    <comment ref="E15" authorId="0" shapeId="0" xr:uid="{00000000-0006-0000-1300-000003000000}">
      <text>
        <r>
          <rPr>
            <sz val="10"/>
            <color rgb="FF000000"/>
            <rFont val="Arial"/>
            <scheme val="minor"/>
          </rPr>
          <t>======
ID#AAABfiDc_QU
Tuitert, Jet    (2025-03-11 13:49:58)
Please fill out the bulkhead's maximum width.</t>
        </r>
      </text>
    </comment>
    <comment ref="E16" authorId="0" shapeId="0" xr:uid="{00000000-0006-0000-1300-000002000000}">
      <text>
        <r>
          <rPr>
            <sz val="10"/>
            <color rgb="FF000000"/>
            <rFont val="Arial"/>
            <scheme val="minor"/>
          </rPr>
          <t>======
ID#AAABfiDc_QQ
Tuitert, Jet    (2025-03-11 13:49:58)
Please fill out the bulkhead's maximum height.</t>
        </r>
      </text>
    </comment>
    <comment ref="B23" authorId="0" shapeId="0" xr:uid="{00000000-0006-0000-1300-000001000000}">
      <text>
        <r>
          <rPr>
            <sz val="10"/>
            <color rgb="FF000000"/>
            <rFont val="Arial"/>
            <scheme val="minor"/>
          </rPr>
          <t>======
ID#AAABfiDc_RE
Dan Jones    (2025-03-11 13:49:58)
This is the side closest to the driver</t>
        </r>
      </text>
    </comment>
    <comment ref="B24" authorId="0" shapeId="0" xr:uid="{00000000-0006-0000-1300-000004000000}">
      <text>
        <r>
          <rPr>
            <sz val="10"/>
            <color rgb="FF000000"/>
            <rFont val="Arial"/>
            <scheme val="minor"/>
          </rPr>
          <t>======
ID#AAABfiDc_QY
Dan Jones    (2025-03-11 13:49:58)
This is the side outboard of the driver</t>
        </r>
      </text>
    </comment>
    <comment ref="F25" authorId="0" shapeId="0" xr:uid="{00000000-0006-0000-1300-000005000000}">
      <text>
        <r>
          <rPr>
            <sz val="10"/>
            <color rgb="FF000000"/>
            <rFont val="Arial"/>
            <scheme val="minor"/>
          </rPr>
          <t>======
ID#AAABfiDc_QM
Dan Jones    (2025-03-11 13:49:58)
Calculated from bulkhead and cutout sizes entered in cells L15 to L19</t>
        </r>
      </text>
    </comment>
  </commentList>
  <extLst>
    <ext xmlns:r="http://schemas.openxmlformats.org/officeDocument/2006/relationships" uri="GoogleSheetsCustomDataVersion2">
      <go:sheetsCustomData xmlns:go="http://customooxmlschemas.google.com/" r:id="rId1" roundtripDataSignature="AMtx7mjaZIkvkhTnbLngZGr0T0L5m4IoH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1400-000001000000}">
      <text>
        <r>
          <rPr>
            <sz val="10"/>
            <color rgb="FF000000"/>
            <rFont val="Arial"/>
            <scheme val="minor"/>
          </rPr>
          <t>======
ID#AAABfiDc_Qw
Dan    (2025-03-11 13:49:58)
Minimum 100mm</t>
        </r>
      </text>
    </comment>
    <comment ref="D27" authorId="0" shapeId="0" xr:uid="{00000000-0006-0000-1400-000002000000}">
      <text>
        <r>
          <rPr>
            <sz val="10"/>
            <color rgb="FF000000"/>
            <rFont val="Arial"/>
            <scheme val="minor"/>
          </rPr>
          <t>======
ID#AAABfiDc_P0
Dan    (2025-03-11 13:49:58)
Minimum 200mm</t>
        </r>
      </text>
    </comment>
  </commentList>
  <extLst>
    <ext xmlns:r="http://schemas.openxmlformats.org/officeDocument/2006/relationships" uri="GoogleSheetsCustomDataVersion2">
      <go:sheetsCustomData xmlns:go="http://customooxmlschemas.google.com/" r:id="rId1" roundtripDataSignature="AMtx7mgJJty4VkOU1Pq1S/HJTeDt8DEya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500-000001000000}">
      <text>
        <r>
          <rPr>
            <sz val="10"/>
            <color rgb="FF000000"/>
            <rFont val="Arial"/>
            <scheme val="minor"/>
          </rPr>
          <t>======
ID#AAABfiDc_QA
Dan Jones    (2025-03-11 13:49:58)
This is the side closest to the driver</t>
        </r>
      </text>
    </comment>
    <comment ref="B21" authorId="0" shapeId="0" xr:uid="{00000000-0006-0000-1500-000002000000}">
      <text>
        <r>
          <rPr>
            <sz val="10"/>
            <color rgb="FF000000"/>
            <rFont val="Arial"/>
            <scheme val="minor"/>
          </rPr>
          <t>======
ID#AAABfiDc_P8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i3m7O5Wp5phV5EW9lVIZGx0fqJ4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17" authorId="0" shapeId="0" xr:uid="{00000000-0006-0000-1600-000001000000}">
      <text>
        <r>
          <rPr>
            <sz val="10"/>
            <color rgb="FF000000"/>
            <rFont val="Arial"/>
            <scheme val="minor"/>
          </rPr>
          <t>======
ID#AAABfiDc_R4
l.katan@formula-student.nl    (2025-03-11 13:49:58)
Length of the SHB.
If divided into multiple sections, enter the longest section to which a harness strap is attached to.</t>
        </r>
      </text>
    </comment>
    <comment ref="B18" authorId="0" shapeId="0" xr:uid="{00000000-0006-0000-1600-000003000000}">
      <text>
        <r>
          <rPr>
            <sz val="10"/>
            <color rgb="FF000000"/>
            <rFont val="Arial"/>
            <scheme val="minor"/>
          </rPr>
          <t>======
ID#AAABfiDc_Qs
l.katan@formula-student.nl    (2025-03-11 13:49:58)
Distance from shoulder harness strap centerline to nearest node centerline</t>
        </r>
      </text>
    </comment>
    <comment ref="B22" authorId="0" shapeId="0" xr:uid="{00000000-0006-0000-1600-000004000000}">
      <text>
        <r>
          <rPr>
            <sz val="10"/>
            <color rgb="FF000000"/>
            <rFont val="Arial"/>
            <scheme val="minor"/>
          </rPr>
          <t>======
ID#AAABfiDc_Qk
Dan Jones    (2025-03-11 13:49:58)
This is the side closest to the driver</t>
        </r>
      </text>
    </comment>
    <comment ref="B23" authorId="0" shapeId="0" xr:uid="{00000000-0006-0000-1600-000002000000}">
      <text>
        <r>
          <rPr>
            <sz val="10"/>
            <color rgb="FF000000"/>
            <rFont val="Arial"/>
            <scheme val="minor"/>
          </rPr>
          <t>======
ID#AAABfiDc_RI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HWckcsTdCgPOvm8M1q15tjRESzA=="/>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700-000001000000}">
      <text>
        <r>
          <rPr>
            <sz val="10"/>
            <color rgb="FF000000"/>
            <rFont val="Arial"/>
            <scheme val="minor"/>
          </rPr>
          <t>======
ID#AAABfiDc_Rc
Dan Jones    (2025-03-11 13:49:58)
This is the side closest to the driver</t>
        </r>
      </text>
    </comment>
    <comment ref="B21" authorId="0" shapeId="0" xr:uid="{00000000-0006-0000-1700-000002000000}">
      <text>
        <r>
          <rPr>
            <sz val="10"/>
            <color rgb="FF000000"/>
            <rFont val="Arial"/>
            <scheme val="minor"/>
          </rPr>
          <t>======
ID#AAABfiDc_RM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g2HGasIsFFrLoa55KCSAKcfq3cX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800-000001000000}">
      <text>
        <r>
          <rPr>
            <sz val="10"/>
            <color rgb="FF000000"/>
            <rFont val="Arial"/>
            <scheme val="minor"/>
          </rPr>
          <t>======
ID#AAABfiDc_Rg
Dan Jones    (2025-03-11 13:49:58)
This is the side closest to the driver</t>
        </r>
      </text>
    </comment>
    <comment ref="B21" authorId="0" shapeId="0" xr:uid="{00000000-0006-0000-1800-000002000000}">
      <text>
        <r>
          <rPr>
            <sz val="10"/>
            <color rgb="FF000000"/>
            <rFont val="Arial"/>
            <scheme val="minor"/>
          </rPr>
          <t>======
ID#AAABfiDc_Qc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jGJ1ck8wWPs2fEzy4xZRQ+WlqTyw=="/>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900-000001000000}">
      <text>
        <r>
          <rPr>
            <sz val="10"/>
            <color rgb="FF000000"/>
            <rFont val="Arial"/>
            <scheme val="minor"/>
          </rPr>
          <t>======
ID#AAABfiDc_RQ
Dan Jones    (2025-03-11 13:49:58)
This is the side closest to the driver</t>
        </r>
      </text>
    </comment>
    <comment ref="B21" authorId="0" shapeId="0" xr:uid="{00000000-0006-0000-1900-000002000000}">
      <text>
        <r>
          <rPr>
            <sz val="10"/>
            <color rgb="FF000000"/>
            <rFont val="Arial"/>
            <scheme val="minor"/>
          </rPr>
          <t>======
ID#AAABfiDc_QI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uX4yFLd6yTHspzUoIYKy75VZwFg=="/>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0" authorId="0" shapeId="0" xr:uid="{00000000-0006-0000-1A00-000002000000}">
      <text>
        <r>
          <rPr>
            <sz val="10"/>
            <color rgb="FF000000"/>
            <rFont val="Arial"/>
            <scheme val="minor"/>
          </rPr>
          <t>======
ID#AAABfiDc_Ro
Dan Jones    (2025-03-11 13:49:58)
This is the side closest to the driver</t>
        </r>
      </text>
    </comment>
    <comment ref="B21" authorId="0" shapeId="0" xr:uid="{00000000-0006-0000-1A00-000001000000}">
      <text>
        <r>
          <rPr>
            <sz val="10"/>
            <color rgb="FF000000"/>
            <rFont val="Arial"/>
            <scheme val="minor"/>
          </rPr>
          <t>======
ID#AAABfiDc_R0
Dan Jones    (2025-03-11 13:49:58)
This is the side outboard of the driver</t>
        </r>
      </text>
    </comment>
  </commentList>
  <extLst>
    <ext xmlns:r="http://schemas.openxmlformats.org/officeDocument/2006/relationships" uri="GoogleSheetsCustomDataVersion2">
      <go:sheetsCustomData xmlns:go="http://customooxmlschemas.google.com/" r:id="rId1" roundtripDataSignature="AMtx7mhBNwJBsQdVzjKCpM0In9oIaCxwnQ=="/>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U11" authorId="0" shapeId="0" xr:uid="{00000000-0006-0000-1B00-000001000000}">
      <text>
        <r>
          <rPr>
            <sz val="10"/>
            <color rgb="FF000000"/>
            <rFont val="Arial"/>
            <scheme val="minor"/>
          </rPr>
          <t>======
ID#AAABfiDc_Rw
l.katan@formula-student.nl    (2025-03-11 13:49:58)
Length of the tube.
If divided into multiple sections, enter the longest section to which a harness strap is attached to.</t>
        </r>
      </text>
    </comment>
    <comment ref="U12" authorId="0" shapeId="0" xr:uid="{00000000-0006-0000-1B00-000002000000}">
      <text>
        <r>
          <rPr>
            <sz val="10"/>
            <color rgb="FF000000"/>
            <rFont val="Arial"/>
            <scheme val="minor"/>
          </rPr>
          <t>======
ID#AAABfiDc_Pk
l.katan@formula-student.nl    (2025-03-11 13:49:58)
Distance from shoulder harness strap centerline to nearest node centerline
For monocoque, enter zero</t>
        </r>
      </text>
    </comment>
  </commentList>
  <extLst>
    <ext xmlns:r="http://schemas.openxmlformats.org/officeDocument/2006/relationships" uri="GoogleSheetsCustomDataVersion2">
      <go:sheetsCustomData xmlns:go="http://customooxmlschemas.google.com/" r:id="rId1" roundtripDataSignature="AMtx7micqGgL45I/FO4Hd+Vyi5ejIOsBBA=="/>
    </ext>
  </extL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2000000}">
      <text>
        <r>
          <rPr>
            <sz val="10"/>
            <color rgb="FF000000"/>
            <rFont val="Arial"/>
            <scheme val="minor"/>
          </rPr>
          <t>======
ID#AAABfiDc_QE
Dan    (2025-03-11 13:49:58)
A minimum of two attachment points per side are required</t>
        </r>
      </text>
    </comment>
    <comment ref="C4" authorId="0" shapeId="0" xr:uid="{00000000-0006-0000-1C00-000003000000}">
      <text>
        <r>
          <rPr>
            <sz val="10"/>
            <color rgb="FF000000"/>
            <rFont val="Arial"/>
            <scheme val="minor"/>
          </rPr>
          <t>======
ID#AAABfiDc_Pg
Dan    (2025-03-11 13:49:58)
Set to "NO" if the main hoop bracing is attached to tubes</t>
        </r>
      </text>
    </comment>
    <comment ref="B12" authorId="0" shapeId="0" xr:uid="{00000000-0006-0000-1C00-000001000000}">
      <text>
        <r>
          <rPr>
            <sz val="10"/>
            <color rgb="FF000000"/>
            <rFont val="Arial"/>
            <scheme val="minor"/>
          </rPr>
          <t>======
ID#AAABfiDc_Q4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gYf5RSBbhqNJpi5IYcqCKjGg2XHg=="/>
    </ext>
  </extL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D00-000002000000}">
      <text>
        <r>
          <rPr>
            <sz val="10"/>
            <color rgb="FF000000"/>
            <rFont val="Arial"/>
            <scheme val="minor"/>
          </rPr>
          <t>======
ID#AAABfiDc_Po
Dan    (2025-03-11 13:49:58)
A minimum of three attachment points per side are required for hoops that aren’t fully laminated into the chassis</t>
        </r>
      </text>
    </comment>
    <comment ref="C4" authorId="0" shapeId="0" xr:uid="{00000000-0006-0000-1D00-000003000000}">
      <text>
        <r>
          <rPr>
            <sz val="10"/>
            <color rgb="FF000000"/>
            <rFont val="Arial"/>
            <scheme val="minor"/>
          </rPr>
          <t>======
ID#AAABfiDc_PQ
Dan    (2025-03-11 13:49:58)
This affects the minimum bracket to hoop weld length to prove equivalence to a welded side impact tube to hoop joint</t>
        </r>
      </text>
    </comment>
    <comment ref="B12" authorId="0" shapeId="0" xr:uid="{00000000-0006-0000-1D00-000001000000}">
      <text>
        <r>
          <rPr>
            <sz val="10"/>
            <color rgb="FF000000"/>
            <rFont val="Arial"/>
            <scheme val="minor"/>
          </rPr>
          <t>======
ID#AAABfiDc_Ps
Steinfurth    (2025-03-11 13:49:58)
PROVE BY PICTURES
The roll hoop tubing attachments must not be further away than 50mm.</t>
        </r>
      </text>
    </comment>
  </commentList>
  <extLst>
    <ext xmlns:r="http://schemas.openxmlformats.org/officeDocument/2006/relationships" uri="GoogleSheetsCustomDataVersion2">
      <go:sheetsCustomData xmlns:go="http://customooxmlschemas.google.com/" r:id="rId1" roundtripDataSignature="AMtx7mjeGrONqNM28eG7763011IHSjMJRA=="/>
    </ext>
  </extL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E00-000002000000}">
      <text>
        <r>
          <rPr>
            <sz val="10"/>
            <color rgb="FF000000"/>
            <rFont val="Arial"/>
            <scheme val="minor"/>
          </rPr>
          <t>======
ID#AAABfiDc_RU
Dan    (2025-03-11 13:49:58)
Set to "YES" if a removable rear panel/plate is present (through which the TSAC can be removed).</t>
        </r>
      </text>
    </comment>
    <comment ref="F5" authorId="0" shapeId="0" xr:uid="{00000000-0006-0000-1E00-000001000000}">
      <text>
        <r>
          <rPr>
            <sz val="10"/>
            <color rgb="FF000000"/>
            <rFont val="Arial"/>
            <scheme val="minor"/>
          </rPr>
          <t>======
ID#AAABfiDc_Rs
Dan    (2025-03-11 13:49:58)
Set to "YES" if a removable rear panel/plate is present (that is NOT the AIP or a removable rear panel/plate protecting the Accumulator/Tractive System 
as mentioned above).</t>
        </r>
      </text>
    </comment>
    <comment ref="B48" authorId="0" shapeId="0" xr:uid="{00000000-0006-0000-1E00-000003000000}">
      <text>
        <r>
          <rPr>
            <sz val="10"/>
            <color rgb="FF000000"/>
            <rFont val="Arial"/>
            <scheme val="minor"/>
          </rPr>
          <t>======
ID#AAABfiDc_Pw
Dan    (2025-03-11 13:49:58)
Failure of AIP</t>
        </r>
      </text>
    </comment>
    <comment ref="B49" authorId="0" shapeId="0" xr:uid="{00000000-0006-0000-1E00-000004000000}">
      <text>
        <r>
          <rPr>
            <sz val="10"/>
            <color rgb="FF000000"/>
            <rFont val="Arial"/>
            <scheme val="minor"/>
          </rPr>
          <t>======
ID#AAABfiDc_PU
Dan    (2025-03-11 13:49:58)
Failure of Front Bulkhead</t>
        </r>
      </text>
    </comment>
  </commentList>
  <extLst>
    <ext xmlns:r="http://schemas.openxmlformats.org/officeDocument/2006/relationships" uri="GoogleSheetsCustomDataVersion2">
      <go:sheetsCustomData xmlns:go="http://customooxmlschemas.google.com/" r:id="rId1" roundtripDataSignature="AMtx7minGoqPWB45nuEk+ktrpmw4bxRGcg=="/>
    </ext>
  </extL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300-000001000000}">
      <text>
        <r>
          <rPr>
            <sz val="10"/>
            <color rgb="FF000000"/>
            <rFont val="Arial"/>
            <scheme val="minor"/>
          </rPr>
          <t>======
ID#AAABfiDc_Qo
Dan Jones    (2025-03-11 13:49:58)
About the weakest axis</t>
        </r>
      </text>
    </comment>
  </commentList>
  <extLst>
    <ext xmlns:r="http://schemas.openxmlformats.org/officeDocument/2006/relationships" uri="GoogleSheetsCustomDataVersion2">
      <go:sheetsCustomData xmlns:go="http://customooxmlschemas.google.com/" r:id="rId1" roundtripDataSignature="AMtx7mgjgvO8ol9/eIIJ5KSMVMXtxQ0UpQ=="/>
    </ext>
  </extLst>
</comments>
</file>

<file path=xl/sharedStrings.xml><?xml version="1.0" encoding="utf-8"?>
<sst xmlns="http://schemas.openxmlformats.org/spreadsheetml/2006/main" count="2914" uniqueCount="1080">
  <si>
    <t>V1.1</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</si>
  <si>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</si>
  <si>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</si>
  <si>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</si>
  <si>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</si>
  <si>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</si>
  <si>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</si>
  <si>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</si>
  <si>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</si>
  <si>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</si>
  <si>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</si>
  <si>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</si>
  <si>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</si>
  <si>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</si>
  <si>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</si>
  <si>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</si>
  <si>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2025 rules</t>
  </si>
  <si>
    <t>- All TAB's that included TSAC specific data removed from SES and moved into seperate document ASES</t>
  </si>
  <si>
    <t>- TAB A2.2 Signficant Changes now requires information on chassis type (first year vehicle or re-used chassis under A2.2.3 exemption)</t>
  </si>
  <si>
    <t>- TAB T3.5.9 Shear Tests: skin thicknesses directly refer to base laminate and includes own logic of calculation of perimeter shear strength. (Implementation of T3.5.10)</t>
  </si>
  <si>
    <t>- TAB Other 1 Matt'l Shear: no change - old 'own' input still required. So, if teams wants to deviate from used logic in TAB T3.5.9 Shear Tests, use this Tab.</t>
  </si>
  <si>
    <t>- TAB MaterialData: T3.2.4 update incorporated, resulting in minor changes to TABs T3.8 Main Hoop Tubing &amp; T3.9 Front Hoop Tubing</t>
  </si>
  <si>
    <t>- TAB T3.5 Laminate Test: rig compliance minimum value required to be 85% (previously 75%), rig compliance as stand-alone requirement to pass testing for SES</t>
  </si>
  <si>
    <t>- TAB T3.5 Laminate Test: rig compliance relation to gradient calculation removed</t>
  </si>
  <si>
    <t>- Applied T3.4.1: 'only ... if the flat panel EI equivalency exceeds 60% of the minimum requirements' incorporated in cell format and warning message</t>
  </si>
  <si>
    <t>- New TAB T3.15.7 for physical testing of blind inserts</t>
  </si>
  <si>
    <t>- TAB T3.5 Laminate Test, T3.5 FBHS, T3.5 FBH: incorporated failure message for T3.5.3</t>
  </si>
  <si>
    <t>- Updated T3.4.4 failure message for all laminate testing Tabs</t>
  </si>
  <si>
    <t>- TAB T4.5 Harness Attachments: data format (unit) and pass criteria issue resolved</t>
  </si>
  <si>
    <t>- TAB EV5.5.8 TSAC Attachments: updated, to comply with T9.3.1 &amp;  EV5.5.8, EV5.5.11, EV5.5.13</t>
  </si>
  <si>
    <t>- References to Rules updated</t>
  </si>
  <si>
    <t>- A2.2 Significant Changes renamed to A2.2 First year vehicle, updated call for information in sheet</t>
  </si>
  <si>
    <t>- TAB's T3.5 FBHS - Different Layups: rig compliance minimum value set (85%) and rig compliance relation to gradient calculation removed, in consistency with T3.5 Laminate Test</t>
  </si>
  <si>
    <t>- TAB T3.5 FBHS / FBH: fixed formatting issue with core thickness (cell turns red with core thickness inconsistency, warning is displayed)</t>
  </si>
  <si>
    <t>- TAB T3.5.9 Shear Tests: correction reference skin thicknesses, changed editeable cells, default still linked to laminate sheet</t>
  </si>
  <si>
    <t>- Guidance Notes: fixed 2 links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</si>
  <si>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</si>
  <si>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</si>
  <si>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</si>
  <si>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</si>
  <si>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</si>
  <si>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</si>
  <si>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</si>
  <si>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</si>
  <si>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rPr>
      <t xml:space="preserve">In the event that the FS Technical Committee requests additional information or calculations, </t>
    </r>
    <r>
      <rPr>
        <b/>
        <sz val="10"/>
        <color rgb="FFFF0000"/>
        <rFont val="Arial"/>
      </rPr>
      <t>teams have seven days from the date of request</t>
    </r>
    <r>
      <rPr>
        <sz val="10"/>
        <color rgb="FFFF0000"/>
        <rFont val="Arial"/>
      </rPr>
      <t xml:space="preserve"> to submit the requested information.</t>
    </r>
  </si>
  <si>
    <t>University Name</t>
  </si>
  <si>
    <t>Ecole Centrale Lyon</t>
  </si>
  <si>
    <t>Car No.(s) &amp; Event(s)</t>
  </si>
  <si>
    <t>81 FSCH/FSS/FSF</t>
  </si>
  <si>
    <t>Team Contact</t>
  </si>
  <si>
    <t>Ayman Rachidi</t>
  </si>
  <si>
    <t>Email Address</t>
  </si>
  <si>
    <t>ayman.rachidi@etu.ec-lyon.fr</t>
  </si>
  <si>
    <t>Faculty Advisor</t>
  </si>
  <si>
    <t>Sylvie Milleret</t>
  </si>
  <si>
    <t>sylvie.milleret@ec-lyon.fr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</si>
  <si>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</si>
  <si>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</si>
  <si>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</si>
  <si>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</si>
  <si>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</si>
  <si>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</si>
  <si>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</si>
  <si>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</si>
  <si>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</si>
  <si>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</si>
  <si>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</si>
  <si>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</si>
  <si>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</si>
  <si>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</si>
  <si>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</si>
  <si>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</si>
  <si>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</si>
  <si>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</si>
  <si>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</si>
  <si>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</si>
  <si>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</si>
  <si>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</si>
  <si>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</si>
  <si>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</si>
  <si>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</si>
  <si>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</si>
  <si>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</si>
  <si>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</si>
  <si>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</si>
  <si>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</si>
  <si>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</si>
  <si>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</si>
  <si>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</si>
  <si>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</si>
  <si>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</si>
  <si>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25CrMo4</t>
  </si>
  <si>
    <t>T3.9</t>
  </si>
  <si>
    <t>Front Roll Hoop Tubing</t>
  </si>
  <si>
    <t>T3.10</t>
  </si>
  <si>
    <t>Main Roll Hoop Bracing Tubing</t>
  </si>
  <si>
    <t>T3.10.5</t>
  </si>
  <si>
    <t>Main Hoop Bracing Support - Tube Frames</t>
  </si>
  <si>
    <t>T3.11</t>
  </si>
  <si>
    <t>Front Hoop Bracing - Tube Frames</t>
  </si>
  <si>
    <t>T3.12</t>
  </si>
  <si>
    <t>Front Bulkhead - Tube Frames</t>
  </si>
  <si>
    <t>T3.13</t>
  </si>
  <si>
    <t>Front Bulkhead Support - Tube Frames</t>
  </si>
  <si>
    <t>T3.14</t>
  </si>
  <si>
    <t>Side Impact Structure - Tube Frames</t>
  </si>
  <si>
    <t>T5.5</t>
  </si>
  <si>
    <t>Shoulder Harness Bar</t>
  </si>
  <si>
    <t>T3.16.3</t>
  </si>
  <si>
    <t>Impact Attenuator Anti-Intrusion Plate</t>
  </si>
  <si>
    <t>Standard IA - Steel</t>
  </si>
  <si>
    <t>T3.11/T3.5</t>
  </si>
  <si>
    <t>Front Hoop Bracing - Monocoques</t>
  </si>
  <si>
    <t>NA</t>
  </si>
  <si>
    <t>T3.12/T3.5</t>
  </si>
  <si>
    <t>Front Bulkhead - Monocoques</t>
  </si>
  <si>
    <t>T3.13/T3.5</t>
  </si>
  <si>
    <t>Front Bulkhead Support - Monocoques</t>
  </si>
  <si>
    <t>T3.14/T3.5</t>
  </si>
  <si>
    <t>Side Impact Structure - Monocoques, Side</t>
  </si>
  <si>
    <t>Side Impact Structure - Monocoques, Floor</t>
  </si>
  <si>
    <t>T3.10.5/T3.5</t>
  </si>
  <si>
    <t>Main Hoop Bracing Support - Monocoques</t>
  </si>
  <si>
    <t>T3.15</t>
  </si>
  <si>
    <t>Main Hoop &amp; MH Bracing Attachments</t>
  </si>
  <si>
    <t>Front Hoop &amp; FH Bracing Attachments</t>
  </si>
  <si>
    <t>T4.5</t>
  </si>
  <si>
    <t>Safety Harness Attachment</t>
  </si>
  <si>
    <t>15CrMo4 and Steel</t>
  </si>
  <si>
    <t>N/A</t>
  </si>
  <si>
    <t>T3.15.6/T3.16.5</t>
  </si>
  <si>
    <t>Attachment Plates/Panels - Monocoques</t>
  </si>
  <si>
    <t>T3.15.7</t>
  </si>
  <si>
    <t>Blind Insert Attachments</t>
  </si>
  <si>
    <t>EV5.5.8/13</t>
  </si>
  <si>
    <t>EV5.5.8 TSAC attachments</t>
  </si>
  <si>
    <t>T1.2.1/T4.8</t>
  </si>
  <si>
    <t>Firewall</t>
  </si>
  <si>
    <t>Aluminium 1</t>
  </si>
  <si>
    <t>EV4.4/EV5.5</t>
  </si>
  <si>
    <t>Attachment Checklist (make sure all are included in your report)</t>
  </si>
  <si>
    <t>Receipt, letter of donation or proof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</si>
  <si>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</si>
  <si>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</si>
  <si>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</si>
  <si>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</si>
  <si>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</si>
  <si>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</si>
  <si>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</si>
  <si>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</si>
  <si>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</si>
  <si>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</si>
  <si>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</si>
  <si>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</si>
  <si>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</si>
  <si>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</si>
  <si>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</si>
  <si>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</si>
  <si>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</si>
  <si>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</si>
  <si>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color theme="1"/>
        <rFont val="Arial"/>
      </rPr>
      <t xml:space="preserve">Please attach pictures of the frame and/or monocoque in the table below for review during the SES process. 
</t>
    </r>
    <r>
      <rPr>
        <b/>
        <sz val="10"/>
        <color theme="1"/>
        <rFont val="Arial"/>
      </rPr>
      <t>All tubes/lay-ups must be colour coded to show outer diameter and wall thickness</t>
    </r>
    <r>
      <rPr>
        <sz val="10"/>
        <color theme="1"/>
        <rFont val="Arial"/>
      </rPr>
      <t xml:space="preserve">. Three view drawings and isometric views of the structure (CAD, FEA models, etc) are acceptable. </t>
    </r>
    <r>
      <rPr>
        <b/>
        <sz val="10"/>
        <color theme="1"/>
        <rFont val="Arial"/>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</si>
  <si>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</si>
  <si>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</si>
  <si>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</si>
  <si>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</si>
  <si>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</si>
  <si>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</si>
  <si>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</si>
  <si>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Yes</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</si>
  <si>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</si>
  <si>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</si>
  <si>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</si>
  <si>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</si>
  <si>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</si>
  <si>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</si>
  <si>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</si>
  <si>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</si>
  <si>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</si>
  <si>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</si>
  <si>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</si>
  <si>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</si>
  <si>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</si>
  <si>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</si>
  <si>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</si>
  <si>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</si>
  <si>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</si>
  <si>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</si>
  <si>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</si>
  <si>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Location of all HV components and compliance of T,7,3,1</t>
  </si>
  <si>
    <t>Note that the requirements on whether a vehicle can be called 'new' have been updated (see A2.2.2 &amp; A2.2.3)!</t>
  </si>
  <si>
    <t>Please select chassis type:</t>
  </si>
  <si>
    <t>A2.2.2 - First year vehicle</t>
  </si>
  <si>
    <t>First day onsite of first competition (past/future):</t>
  </si>
  <si>
    <t>11 July 2025</t>
  </si>
  <si>
    <t>Exemption under:</t>
  </si>
  <si>
    <t>Additional comments:</t>
  </si>
  <si>
    <t>Note : we submitted the same chassis for the 2024 SES, however we withdrew from every competition and therefore the chassis has never been
onsite of its first competition. The car's first formula student will be FSCH 2025 as we didn't participate in any Formula Student last year</t>
  </si>
  <si>
    <t>New chassis :</t>
  </si>
  <si>
    <t>Old chassis :</t>
  </si>
  <si>
    <t>Missing triangulation at the rear of the car, different tubes OD. We can provide pictures of the 2 chassis next to each oher if necessary</t>
  </si>
  <si>
    <t>Material Data Sheet</t>
  </si>
  <si>
    <t>Material Spreadsheet Code</t>
  </si>
  <si>
    <t>Steel</t>
  </si>
  <si>
    <t>Steel 2</t>
  </si>
  <si>
    <t>Aluminium 2</t>
  </si>
  <si>
    <t>Composite 1</t>
  </si>
  <si>
    <t>Other 1</t>
  </si>
  <si>
    <t>Other 2</t>
  </si>
  <si>
    <t>Other 3</t>
  </si>
  <si>
    <t>Other 4</t>
  </si>
  <si>
    <t>Other 5</t>
  </si>
  <si>
    <t>Other 6</t>
  </si>
  <si>
    <t>Other 7</t>
  </si>
  <si>
    <t>Other 8</t>
  </si>
  <si>
    <t>Other 9</t>
  </si>
  <si>
    <t>Other 10</t>
  </si>
  <si>
    <t>Other 11</t>
  </si>
  <si>
    <t>Other 12</t>
  </si>
  <si>
    <t>Material name</t>
  </si>
  <si>
    <t>Lower Grade Steel</t>
  </si>
  <si>
    <t>T3.5_Laminate</t>
  </si>
  <si>
    <t>Colour in Chassis Pics</t>
  </si>
  <si>
    <t>All</t>
  </si>
  <si>
    <t>Youngs Modulus, E</t>
  </si>
  <si>
    <t>2.10E+11</t>
  </si>
  <si>
    <t>Yield strength, Pa</t>
  </si>
  <si>
    <t>7.81E+08</t>
  </si>
  <si>
    <t>UTS, Pa</t>
  </si>
  <si>
    <t>8.84E+08</t>
  </si>
  <si>
    <t>Yield strength, welded, Pa</t>
  </si>
  <si>
    <t>UTS welded, Pa</t>
  </si>
  <si>
    <t>UTS shear, Pa</t>
  </si>
  <si>
    <t>2.19E+08</t>
  </si>
  <si>
    <t xml:space="preserve">● Steel properties based on baseline steel  and are given in Rule T3.2.4. </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</si>
  <si>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</si>
  <si>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</si>
  <si>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</si>
  <si>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color theme="1"/>
        <rFont val="Arial"/>
      </rPr>
      <t xml:space="preserve">Please use the following abbreviations for your specific lamiante structure </t>
    </r>
    <r>
      <rPr>
        <b/>
        <sz val="10"/>
        <color rgb="FFFF0000"/>
        <rFont val="Arial"/>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</si>
  <si>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</si>
  <si>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</si>
  <si>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</si>
  <si>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</si>
  <si>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</si>
  <si>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</si>
  <si>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</si>
  <si>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</si>
  <si>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</si>
  <si>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</si>
  <si>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</si>
  <si>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</si>
  <si>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</si>
  <si>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</si>
  <si>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</si>
  <si>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</si>
  <si>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</si>
  <si>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T3.5.5 wrt. identifiable pictures!</t>
  </si>
  <si>
    <r>
      <rPr>
        <sz val="10"/>
        <color theme="1"/>
        <rFont val="Verdana"/>
      </rPr>
      <t xml:space="preserve">Figure 1: Test setup - Laminate Panel for </t>
    </r>
    <r>
      <rPr>
        <sz val="10"/>
        <color rgb="FFFF0000"/>
        <rFont val="Verdana"/>
      </rPr>
      <t>vertical Side impact structure</t>
    </r>
  </si>
  <si>
    <r>
      <rPr>
        <sz val="10"/>
        <color theme="1"/>
        <rFont val="Verdana"/>
      </rPr>
      <t xml:space="preserve">Figure 3: Test setup - </t>
    </r>
    <r>
      <rPr>
        <sz val="10"/>
        <color rgb="FFFF0000"/>
        <rFont val="Verdana"/>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</si>
  <si>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</si>
  <si>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</si>
  <si>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</si>
  <si>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</si>
  <si>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</si>
  <si>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color theme="1"/>
        <rFont val="Verdana"/>
      </rPr>
      <t xml:space="preserve">Figure 2: Load Deflection Curve for </t>
    </r>
    <r>
      <rPr>
        <sz val="10"/>
        <color rgb="FFFF0000"/>
        <rFont val="Verdana"/>
      </rPr>
      <t>vertical Side impact structure</t>
    </r>
  </si>
  <si>
    <r>
      <rPr>
        <sz val="10"/>
        <color theme="1"/>
        <rFont val="Verdana"/>
      </rPr>
      <t xml:space="preserve">Figure 4: Load Deflection Curve - </t>
    </r>
    <r>
      <rPr>
        <sz val="10"/>
        <color rgb="FFFF0000"/>
        <rFont val="Verdana"/>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</si>
  <si>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</si>
  <si>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</si>
  <si>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</si>
  <si>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</si>
  <si>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</si>
  <si>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t>Gradient (N/mm)</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</si>
  <si>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</si>
  <si>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</si>
  <si>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</si>
  <si>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</si>
  <si>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</si>
  <si>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</si>
  <si>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t>Enter value for force at panel failure (max 12.7 mm deflection) or maximum tested force.</t>
  </si>
  <si>
    <t>Absorbed energy upto 12.7mm of deflection</t>
  </si>
  <si>
    <r>
      <rPr>
        <sz val="10"/>
        <color theme="1"/>
        <rFont val="Verdana"/>
      </rPr>
      <t>y</t>
    </r>
    <r>
      <rPr>
        <vertAlign val="subscript"/>
        <sz val="10"/>
        <color theme="1"/>
        <rFont val="Verdana"/>
      </rPr>
      <t>max</t>
    </r>
    <r>
      <rPr>
        <sz val="10"/>
        <color theme="1"/>
        <rFont val="Verdana"/>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</si>
  <si>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</si>
  <si>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</si>
  <si>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</si>
  <si>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</si>
  <si>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</si>
  <si>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</si>
  <si>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</si>
  <si>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</si>
  <si>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rPr>
        <sz val="10"/>
        <color theme="1"/>
        <rFont val="Verdana"/>
      </rPr>
      <t>Theoretical EI (N.mm</t>
    </r>
    <r>
      <rPr>
        <vertAlign val="superscript"/>
        <sz val="10"/>
        <color theme="1"/>
        <rFont val="Verdana"/>
      </rPr>
      <t>2</t>
    </r>
    <r>
      <rPr>
        <sz val="10"/>
        <color theme="1"/>
        <rFont val="Verdana"/>
      </rPr>
      <t>)</t>
    </r>
  </si>
  <si>
    <t>n</t>
  </si>
  <si>
    <t>Number of Tubes</t>
  </si>
  <si>
    <r>
      <rPr>
        <sz val="10"/>
        <color theme="1"/>
        <rFont val="Verdana"/>
      </rPr>
      <t>Tested EI (N.mm</t>
    </r>
    <r>
      <rPr>
        <vertAlign val="superscript"/>
        <sz val="10"/>
        <color theme="1"/>
        <rFont val="Verdana"/>
      </rPr>
      <t>2</t>
    </r>
    <r>
      <rPr>
        <sz val="10"/>
        <color theme="1"/>
        <rFont val="Verdana"/>
      </rPr>
      <t>)</t>
    </r>
  </si>
  <si>
    <t>%</t>
  </si>
  <si>
    <t>Enter details of test setup, panel core and skin thicknesses below</t>
  </si>
  <si>
    <r>
      <rPr>
        <sz val="10"/>
        <color theme="1"/>
        <rFont val="Verdana"/>
      </rPr>
      <t>D</t>
    </r>
    <r>
      <rPr>
        <vertAlign val="subscript"/>
        <sz val="10"/>
        <color theme="1"/>
        <rFont val="Verdana"/>
      </rPr>
      <t>o</t>
    </r>
    <r>
      <rPr>
        <sz val="10"/>
        <color theme="1"/>
        <rFont val="Verdana"/>
      </rPr>
      <t xml:space="preserve"> (mm)</t>
    </r>
  </si>
  <si>
    <t>Tube Outer Diameter</t>
  </si>
  <si>
    <t>Rig Compliance (N/mm)</t>
  </si>
  <si>
    <t>Panel Support Span</t>
  </si>
  <si>
    <r>
      <rPr>
        <sz val="10"/>
        <color theme="1"/>
        <rFont val="Verdana"/>
      </rPr>
      <t>D</t>
    </r>
    <r>
      <rPr>
        <vertAlign val="subscript"/>
        <sz val="10"/>
        <color theme="1"/>
        <rFont val="Verdana"/>
      </rPr>
      <t>i</t>
    </r>
    <r>
      <rPr>
        <sz val="10"/>
        <color theme="1"/>
        <rFont val="Verdana"/>
      </rPr>
      <t xml:space="preserve"> (mm)</t>
    </r>
  </si>
  <si>
    <t>Tube Inner Diameter</t>
  </si>
  <si>
    <t>h (mm)</t>
  </si>
  <si>
    <t>Panel Height (should be 275mm)</t>
  </si>
  <si>
    <t>b (mm)</t>
  </si>
  <si>
    <t>Core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</si>
  <si>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</si>
  <si>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</si>
  <si>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</si>
  <si>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t>Second moment of area</t>
  </si>
  <si>
    <t>E (GPa)</t>
  </si>
  <si>
    <t>Skin modulus of elasticity</t>
  </si>
  <si>
    <r>
      <rPr>
        <sz val="8"/>
        <color theme="1"/>
        <rFont val="Arial"/>
      </rPr>
      <t>σ</t>
    </r>
    <r>
      <rPr>
        <vertAlign val="subscript"/>
        <sz val="8"/>
        <color theme="1"/>
        <rFont val="Verdana"/>
      </rPr>
      <t>UTS</t>
    </r>
    <r>
      <rPr>
        <sz val="10"/>
        <color theme="1"/>
        <rFont val="Verdana"/>
      </rPr>
      <t>(MPa)</t>
    </r>
  </si>
  <si>
    <t>UTS of skins</t>
  </si>
  <si>
    <t>Paste in logged data from test below (no pictures of data):</t>
  </si>
  <si>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</si>
  <si>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</si>
  <si>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</si>
  <si>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</si>
  <si>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</si>
  <si>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</si>
  <si>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</si>
  <si>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</si>
  <si>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</si>
  <si>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</si>
  <si>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</si>
  <si>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</si>
  <si>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</si>
  <si>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rPr>
        <sz val="10"/>
        <color theme="1"/>
        <rFont val="Verdana"/>
      </rPr>
      <t xml:space="preserve">Figure 1: Test setup - Laminate Panel for </t>
    </r>
    <r>
      <rPr>
        <sz val="10"/>
        <color rgb="FFFF0000"/>
        <rFont val="Verdana"/>
      </rPr>
      <t>Front Bulkhead Support</t>
    </r>
  </si>
  <si>
    <r>
      <rPr>
        <sz val="10"/>
        <color theme="1"/>
        <rFont val="Verdana"/>
      </rPr>
      <t xml:space="preserve">Figure 3: Test setup - </t>
    </r>
    <r>
      <rPr>
        <sz val="10"/>
        <color rgb="FFFF0000"/>
        <rFont val="Verdana"/>
      </rPr>
      <t>Steel tube as required for baseline design (T3.2)</t>
    </r>
  </si>
  <si>
    <r>
      <rPr>
        <sz val="10"/>
        <color theme="1"/>
        <rFont val="Verdana"/>
      </rPr>
      <t xml:space="preserve">Figure 2: Load Deflection Curve for </t>
    </r>
    <r>
      <rPr>
        <sz val="10"/>
        <color rgb="FFFF0000"/>
        <rFont val="Verdana"/>
      </rPr>
      <t>Front Bulkhead Support</t>
    </r>
  </si>
  <si>
    <r>
      <rPr>
        <sz val="10"/>
        <color theme="1"/>
        <rFont val="Verdana"/>
      </rPr>
      <t xml:space="preserve">Figure 4: Load Deflection Curve - </t>
    </r>
    <r>
      <rPr>
        <sz val="10"/>
        <color rgb="FFFF0000"/>
        <rFont val="Verdana"/>
      </rPr>
      <t>Steel tube as required for baseline design (T3.2)</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</si>
  <si>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</si>
  <si>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</si>
  <si>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</si>
  <si>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</si>
  <si>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</si>
  <si>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</si>
  <si>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</si>
  <si>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</si>
  <si>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</si>
  <si>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</si>
  <si>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</si>
  <si>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</si>
  <si>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</si>
  <si>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</si>
  <si>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</si>
  <si>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</si>
  <si>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</si>
  <si>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</si>
  <si>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</si>
  <si>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FBH LAYUP LAMINATE TEST RESULTS</t>
  </si>
  <si>
    <r>
      <rPr>
        <sz val="10"/>
        <color theme="1"/>
        <rFont val="Verdana"/>
      </rPr>
      <t xml:space="preserve">Figure 1: Test setup - Laminate Panel for </t>
    </r>
    <r>
      <rPr>
        <sz val="10"/>
        <color rgb="FFFF0000"/>
        <rFont val="Verdana"/>
      </rPr>
      <t>Front Bulkhead</t>
    </r>
  </si>
  <si>
    <t>Figure 3: Test setup - Steel tube(s) as required for baseline design</t>
  </si>
  <si>
    <r>
      <rPr>
        <sz val="10"/>
        <color theme="1"/>
        <rFont val="Verdana"/>
      </rPr>
      <t xml:space="preserve">Figure 2: Load Deflection Curve for </t>
    </r>
    <r>
      <rPr>
        <sz val="10"/>
        <color rgb="FFFF0000"/>
        <rFont val="Verdana"/>
      </rPr>
      <t xml:space="preserve">Front Bulkhead </t>
    </r>
  </si>
  <si>
    <t>Figure 4: Load Deflection Curve - Steel Tube(s) as required for baseline design</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</si>
  <si>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</si>
  <si>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</si>
  <si>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</si>
  <si>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</si>
  <si>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</si>
  <si>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</si>
  <si>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</si>
  <si>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</si>
  <si>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</si>
  <si>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</si>
  <si>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</si>
  <si>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</si>
  <si>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</si>
  <si>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</si>
  <si>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</si>
  <si>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</si>
  <si>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</si>
  <si>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</si>
  <si>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</si>
  <si>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SES - DIFFERENT LAYUP LAMINATE TEST RESULTS</t>
  </si>
  <si>
    <t xml:space="preserve"> SES - DIFFERENT LAYUP RIG COMPLIANCE TEST RESULTS</t>
  </si>
  <si>
    <r>
      <rPr>
        <sz val="10"/>
        <color theme="1"/>
        <rFont val="Verdana"/>
      </rPr>
      <t>Figure 1: Test setup - Laminate Panel [</t>
    </r>
    <r>
      <rPr>
        <sz val="10"/>
        <color rgb="FFFF0000"/>
        <rFont val="Verdana"/>
      </rPr>
      <t>Your Structure</t>
    </r>
    <r>
      <rPr>
        <sz val="10"/>
        <color theme="1"/>
        <rFont val="Verdana"/>
      </rPr>
      <t>]</t>
    </r>
  </si>
  <si>
    <t>Figure 3: Test setup - Steel tube(s)</t>
  </si>
  <si>
    <r>
      <rPr>
        <sz val="10"/>
        <color theme="1"/>
        <rFont val="Verdana"/>
      </rPr>
      <t>Figure 2: Load Deflection Curve [</t>
    </r>
    <r>
      <rPr>
        <sz val="10"/>
        <color rgb="FFFF0000"/>
        <rFont val="Verdana"/>
      </rPr>
      <t>Your Structure</t>
    </r>
    <r>
      <rPr>
        <sz val="10"/>
        <color theme="1"/>
        <rFont val="Verdana"/>
      </rPr>
      <t>]</t>
    </r>
  </si>
  <si>
    <t>Figure 4: Load Deflection Curve - Steel Tube(s)</t>
  </si>
  <si>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</si>
  <si>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</si>
  <si>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1 </t>
    </r>
    <r>
      <rPr>
        <sz val="10"/>
        <color theme="1"/>
        <rFont val="Verdana"/>
      </rPr>
      <t>(mm)</t>
    </r>
  </si>
  <si>
    <r>
      <rPr>
        <sz val="10"/>
        <color theme="1"/>
        <rFont val="Verdana"/>
      </rPr>
      <t>y</t>
    </r>
    <r>
      <rPr>
        <vertAlign val="subscript"/>
        <sz val="10"/>
        <color theme="1"/>
        <rFont val="Verdana"/>
      </rPr>
      <t>1</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</si>
  <si>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</si>
  <si>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</si>
  <si>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x</t>
    </r>
    <r>
      <rPr>
        <vertAlign val="subscript"/>
        <sz val="10"/>
        <color theme="1"/>
        <rFont val="Verdana"/>
      </rPr>
      <t xml:space="preserve">2 </t>
    </r>
    <r>
      <rPr>
        <sz val="10"/>
        <color theme="1"/>
        <rFont val="Verdana"/>
      </rPr>
      <t>(mm)</t>
    </r>
  </si>
  <si>
    <r>
      <rPr>
        <sz val="10"/>
        <color theme="1"/>
        <rFont val="Verdana"/>
      </rPr>
      <t>y</t>
    </r>
    <r>
      <rPr>
        <vertAlign val="subscript"/>
        <sz val="10"/>
        <color theme="1"/>
        <rFont val="Verdana"/>
      </rPr>
      <t>2</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</si>
  <si>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</si>
  <si>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Theoretical EI (N.mm</t>
    </r>
    <r>
      <rPr>
        <vertAlign val="superscript"/>
        <sz val="10"/>
        <color theme="1"/>
        <rFont val="Verdana"/>
      </rPr>
      <t>2</t>
    </r>
    <r>
      <rPr>
        <sz val="10"/>
        <color theme="1"/>
        <rFont val="Verdana"/>
      </rPr>
      <t>)</t>
    </r>
  </si>
  <si>
    <r>
      <rPr>
        <sz val="10"/>
        <color theme="1"/>
        <rFont val="Verdana"/>
      </rPr>
      <t>Tested EI (N.mm</t>
    </r>
    <r>
      <rPr>
        <vertAlign val="superscript"/>
        <sz val="10"/>
        <color theme="1"/>
        <rFont val="Verdana"/>
      </rPr>
      <t>2</t>
    </r>
    <r>
      <rPr>
        <sz val="10"/>
        <color theme="1"/>
        <rFont val="Verdana"/>
      </rPr>
      <t>)</t>
    </r>
  </si>
  <si>
    <r>
      <rPr>
        <sz val="10"/>
        <color theme="1"/>
        <rFont val="Verdana"/>
      </rPr>
      <t>D</t>
    </r>
    <r>
      <rPr>
        <vertAlign val="subscript"/>
        <sz val="10"/>
        <color theme="1"/>
        <rFont val="Verdana"/>
      </rPr>
      <t>o</t>
    </r>
    <r>
      <rPr>
        <sz val="10"/>
        <color theme="1"/>
        <rFont val="Verdana"/>
      </rPr>
      <t xml:space="preserve"> (mm)</t>
    </r>
  </si>
  <si>
    <r>
      <rPr>
        <sz val="10"/>
        <color theme="1"/>
        <rFont val="Verdana"/>
      </rPr>
      <t>D</t>
    </r>
    <r>
      <rPr>
        <vertAlign val="subscript"/>
        <sz val="10"/>
        <color theme="1"/>
        <rFont val="Verdana"/>
      </rPr>
      <t>i</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</si>
  <si>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</si>
  <si>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</si>
  <si>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I (mm</t>
    </r>
    <r>
      <rPr>
        <vertAlign val="superscript"/>
        <sz val="10"/>
        <color theme="1"/>
        <rFont val="Verdana"/>
      </rPr>
      <t>4</t>
    </r>
    <r>
      <rPr>
        <sz val="10"/>
        <color theme="1"/>
        <rFont val="Verdana"/>
      </rPr>
      <t>)</t>
    </r>
  </si>
  <si>
    <r>
      <rPr>
        <sz val="8"/>
        <color theme="1"/>
        <rFont val="Arial"/>
      </rPr>
      <t>σ</t>
    </r>
    <r>
      <rPr>
        <vertAlign val="subscript"/>
        <sz val="8"/>
        <color theme="1"/>
        <rFont val="Verdana"/>
      </rPr>
      <t>UTS</t>
    </r>
    <r>
      <rPr>
        <sz val="10"/>
        <color theme="1"/>
        <rFont val="Verdana"/>
      </rPr>
      <t>(MPa)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</si>
  <si>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</si>
  <si>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</si>
  <si>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T3.5.10 PERIMETER SHEAR TEST RESULTS</t>
  </si>
  <si>
    <t>(This is for Front Bulkhead Support)</t>
  </si>
  <si>
    <t>(This is for  Side Impact Structure)</t>
  </si>
  <si>
    <r>
      <rPr>
        <sz val="10"/>
        <color theme="1"/>
        <rFont val="Verdana"/>
      </rPr>
      <t xml:space="preserve">Figure 1: Test setup </t>
    </r>
    <r>
      <rPr>
        <sz val="10"/>
        <color rgb="FFFF0000"/>
        <rFont val="Verdana"/>
      </rPr>
      <t>Front Bulkhead Support</t>
    </r>
  </si>
  <si>
    <r>
      <rPr>
        <sz val="10"/>
        <color theme="1"/>
        <rFont val="Verdana"/>
      </rPr>
      <t xml:space="preserve">Figure 1: Test setup </t>
    </r>
    <r>
      <rPr>
        <sz val="10"/>
        <color rgb="FFFF0000"/>
        <rFont val="Verdana"/>
      </rPr>
      <t>Side Impact Structure</t>
    </r>
  </si>
  <si>
    <r>
      <rPr>
        <sz val="10"/>
        <color theme="1"/>
        <rFont val="Verdana"/>
      </rPr>
      <t xml:space="preserve">Figure 2: Load Deflection Curve </t>
    </r>
    <r>
      <rPr>
        <sz val="10"/>
        <color rgb="FFFF0000"/>
        <rFont val="Verdana"/>
      </rPr>
      <t>Front Bulkhead Support</t>
    </r>
  </si>
  <si>
    <r>
      <rPr>
        <sz val="10"/>
        <color theme="1"/>
        <rFont val="Verdana"/>
      </rPr>
      <t xml:space="preserve">Figure 2: Load Deflection Curve </t>
    </r>
    <r>
      <rPr>
        <sz val="10"/>
        <color rgb="FFFF0000"/>
        <rFont val="Verdana"/>
      </rPr>
      <t>Side Impact Structure</t>
    </r>
  </si>
  <si>
    <r>
      <rPr>
        <sz val="10"/>
        <color rgb="FF000000"/>
        <rFont val="Verdana"/>
      </rPr>
      <t xml:space="preserve">Enter values for force at </t>
    </r>
    <r>
      <rPr>
        <b/>
        <sz val="10"/>
        <color rgb="FF000000"/>
        <rFont val="Verdana"/>
      </rPr>
      <t>lower and higher peak</t>
    </r>
    <r>
      <rPr>
        <sz val="10"/>
        <color rgb="FF000000"/>
        <rFont val="Verdana"/>
      </rPr>
      <t xml:space="preserve"> (see guidance notes)</t>
    </r>
  </si>
  <si>
    <t>Enter values for force at lower and higher peak (see guidance notes)</t>
  </si>
  <si>
    <t>Link to GUIDANCE NOTES for laminated structures</t>
  </si>
  <si>
    <t>Lower Peak (N)</t>
  </si>
  <si>
    <t>(Determines Shear Strength for T3.14 where appropriate)</t>
  </si>
  <si>
    <t>(Determines Shear Strength for T3.15.2)</t>
  </si>
  <si>
    <t>Higher Peak (N)</t>
  </si>
  <si>
    <t>Enter details of skin thickness</t>
  </si>
  <si>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</si>
  <si>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1</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</si>
  <si>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</si>
  <si>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r>
      <rPr>
        <sz val="10"/>
        <color theme="1"/>
        <rFont val="Verdana"/>
      </rPr>
      <t>t</t>
    </r>
    <r>
      <rPr>
        <vertAlign val="subscript"/>
        <sz val="10"/>
        <color theme="1"/>
        <rFont val="Verdana"/>
      </rPr>
      <t>2</t>
    </r>
    <r>
      <rPr>
        <sz val="10"/>
        <color theme="1"/>
        <rFont val="Verdana"/>
      </rPr>
      <t xml:space="preserve"> (mm)</t>
    </r>
  </si>
  <si>
    <t>t (mm)</t>
  </si>
  <si>
    <t>t_1</t>
  </si>
  <si>
    <t>Skin Thickness corresponding with highest peak</t>
  </si>
  <si>
    <t>t_2</t>
  </si>
  <si>
    <r>
      <rPr>
        <sz val="10"/>
        <color theme="1"/>
        <rFont val="Arial"/>
      </rPr>
      <t>σ</t>
    </r>
    <r>
      <rPr>
        <vertAlign val="subscript"/>
        <sz val="10"/>
        <color theme="1"/>
        <rFont val="Verdana"/>
      </rPr>
      <t>shear</t>
    </r>
    <r>
      <rPr>
        <sz val="10"/>
        <color theme="1"/>
        <rFont val="Verdana"/>
      </rPr>
      <t xml:space="preserve"> (Mpa)</t>
    </r>
  </si>
  <si>
    <t>Shear strength of skin, used for attachment calcs where appropriate</t>
  </si>
  <si>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</si>
  <si>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</si>
  <si>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</si>
  <si>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 xml:space="preserve"> SES - OTHER MATERIAL "X" SHEAR TEST RESULTS</t>
  </si>
  <si>
    <t>(This is for default for Front Bulkhead initially)</t>
  </si>
  <si>
    <r>
      <rPr>
        <sz val="10"/>
        <color theme="1"/>
        <rFont val="Verdana"/>
      </rPr>
      <t>Figure 1: Test setup [</t>
    </r>
    <r>
      <rPr>
        <sz val="10"/>
        <color rgb="FFFF0000"/>
        <rFont val="Verdana"/>
      </rPr>
      <t>Your Structure (default is Front Bulkhead)</t>
    </r>
    <r>
      <rPr>
        <sz val="10"/>
        <color theme="1"/>
        <rFont val="Verdana"/>
      </rPr>
      <t>]</t>
    </r>
  </si>
  <si>
    <r>
      <rPr>
        <sz val="10"/>
        <color theme="1"/>
        <rFont val="Verdana"/>
      </rPr>
      <t>Figure 2: Load Deflection Curve [</t>
    </r>
    <r>
      <rPr>
        <sz val="10"/>
        <color rgb="FFFF0000"/>
        <rFont val="Verdana"/>
      </rPr>
      <t>Your Structure (default is Front Bulkhead)</t>
    </r>
    <r>
      <rPr>
        <sz val="10"/>
        <color theme="1"/>
        <rFont val="Verdana"/>
      </rPr>
      <t>]</t>
    </r>
  </si>
  <si>
    <r>
      <rPr>
        <sz val="10"/>
        <color rgb="FF000000"/>
        <rFont val="Verdana"/>
      </rPr>
      <t>Enter value for force at</t>
    </r>
    <r>
      <rPr>
        <b/>
        <sz val="10"/>
        <color rgb="FF000000"/>
        <rFont val="Verdana"/>
      </rPr>
      <t xml:space="preserve"> lower peak</t>
    </r>
    <r>
      <rPr>
        <sz val="10"/>
        <color rgb="FF000000"/>
        <rFont val="Verdana"/>
      </rPr>
      <t xml:space="preserve"> (see monocoque guidance tab)</t>
    </r>
  </si>
  <si>
    <r>
      <rPr>
        <sz val="10"/>
        <color theme="1"/>
        <rFont val="Verdana"/>
      </rPr>
      <t>y</t>
    </r>
    <r>
      <rPr>
        <vertAlign val="subscript"/>
        <sz val="10"/>
        <color theme="1"/>
        <rFont val="Verdana"/>
      </rPr>
      <t>max</t>
    </r>
    <r>
      <rPr>
        <sz val="10"/>
        <color theme="1"/>
        <rFont val="Verdana"/>
      </rPr>
      <t xml:space="preserve"> (N)</t>
    </r>
  </si>
  <si>
    <r>
      <rPr>
        <sz val="10"/>
        <color theme="1"/>
        <rFont val="Verdana"/>
      </rPr>
      <t>t</t>
    </r>
    <r>
      <rPr>
        <sz val="10"/>
        <color theme="1"/>
        <rFont val="Verdana"/>
      </rPr>
      <t xml:space="preserve"> (mm)</t>
    </r>
  </si>
  <si>
    <r>
      <rPr>
        <sz val="10"/>
        <color theme="1"/>
        <rFont val="Arial"/>
      </rPr>
      <t>σ</t>
    </r>
    <r>
      <rPr>
        <vertAlign val="subscript"/>
        <sz val="10"/>
        <color theme="1"/>
        <rFont val="Verdana"/>
      </rPr>
      <t>shear</t>
    </r>
    <r>
      <rPr>
        <sz val="10"/>
        <color theme="1"/>
        <rFont val="Verdana"/>
      </rPr>
      <t xml:space="preserve"> (Mpa)</t>
    </r>
  </si>
  <si>
    <r>
      <rPr>
        <sz val="10"/>
        <color theme="1"/>
        <rFont val="Verdana"/>
      </rPr>
      <t xml:space="preserve">The given units are mandatory. </t>
    </r>
    <r>
      <rPr>
        <b/>
        <sz val="10"/>
        <color theme="1"/>
        <rFont val="Verdana"/>
      </rPr>
      <t>Paste as values with correct decimal separator.</t>
    </r>
  </si>
  <si>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</si>
  <si>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</si>
  <si>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</si>
  <si>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</si>
  <si>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</si>
  <si>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</si>
  <si>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</si>
  <si>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</si>
  <si>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</si>
  <si>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</si>
  <si>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</si>
  <si>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</si>
  <si>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</si>
  <si>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</si>
  <si>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</si>
  <si>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</si>
  <si>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</si>
  <si>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</si>
  <si>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</si>
  <si>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</si>
  <si>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</si>
  <si>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Main Hoop Bracing - Note: Only Steel may be used</t>
  </si>
  <si>
    <t>Front Hoop Structural Equivalency</t>
  </si>
  <si>
    <t>CAD Screenshots / Images proving all dimensions</t>
  </si>
  <si>
    <t>CAD Screenshots / Images proving all dimensions and any additional proof (heat treatment by professional company incl. receipt) must be appended below</t>
  </si>
  <si>
    <t>Main Hoop Bracing Supports</t>
  </si>
  <si>
    <t>Enter construction type</t>
  </si>
  <si>
    <t>Your Composite</t>
  </si>
  <si>
    <t>Your Total</t>
  </si>
  <si>
    <t>Outer</t>
  </si>
  <si>
    <t>Inner</t>
  </si>
  <si>
    <t>b (m)</t>
  </si>
  <si>
    <t>Tubing Type</t>
  </si>
  <si>
    <t>h (m)</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</si>
  <si>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</si>
  <si>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</si>
  <si>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</si>
  <si>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</si>
  <si>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</si>
  <si>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</si>
  <si>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</si>
  <si>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</si>
  <si>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Centroid (m)</t>
  </si>
  <si>
    <r>
      <rPr>
        <sz val="10"/>
        <color theme="1"/>
        <rFont val="Arial"/>
      </rPr>
      <t>Ic</t>
    </r>
    <r>
      <rPr>
        <vertAlign val="subscript"/>
        <sz val="10"/>
        <color theme="1"/>
        <rFont val="Arial"/>
      </rPr>
      <t>12</t>
    </r>
    <r>
      <rPr>
        <sz val="10"/>
        <color theme="1"/>
        <rFont val="Arial"/>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</si>
  <si>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</si>
  <si>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</si>
  <si>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</si>
  <si>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</si>
  <si>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</si>
  <si>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</si>
  <si>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</si>
  <si>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t>
  </si>
  <si>
    <t>Link to GUIDANCE NOTES for anisotropic laminates</t>
  </si>
  <si>
    <t>Front Hoop Bracing</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</si>
  <si>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</si>
  <si>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</si>
  <si>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</si>
  <si>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</si>
  <si>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</si>
  <si>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</si>
  <si>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</si>
  <si>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</si>
  <si>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</si>
  <si>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Panel height,mm (half width across top of chassis)</t>
  </si>
  <si>
    <t>&gt;100, should be green</t>
  </si>
  <si>
    <t>Link to guidance notes for laminated structures</t>
  </si>
  <si>
    <t>Front Bulkhead Support Structure</t>
  </si>
  <si>
    <t>Your Tube type 1</t>
  </si>
  <si>
    <t>Your Tube type 2</t>
  </si>
  <si>
    <t>Your Tube type 3</t>
  </si>
  <si>
    <t>Your Tubes Total</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</si>
  <si>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</si>
  <si>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</si>
  <si>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</si>
  <si>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</si>
  <si>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</si>
  <si>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</si>
  <si>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</si>
  <si>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</si>
  <si>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</si>
  <si>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</si>
  <si>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</si>
  <si>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</si>
  <si>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Front Bulkhead</t>
  </si>
  <si>
    <t>Monocoque Bulkhead Dimensions</t>
  </si>
  <si>
    <t>BH</t>
  </si>
  <si>
    <t>Bulkhead Height</t>
  </si>
  <si>
    <r>
      <rPr>
        <sz val="10"/>
        <color theme="1"/>
        <rFont val="Arial"/>
      </rPr>
      <t>b</t>
    </r>
    <r>
      <rPr>
        <vertAlign val="subscript"/>
        <sz val="10"/>
        <color theme="1"/>
        <rFont val="Arial"/>
      </rPr>
      <t>3</t>
    </r>
    <r>
      <rPr>
        <sz val="10"/>
        <color theme="1"/>
        <rFont val="Arial"/>
      </rPr>
      <t xml:space="preserve"> (m)</t>
    </r>
  </si>
  <si>
    <t>Cutout Height</t>
  </si>
  <si>
    <r>
      <rPr>
        <sz val="10"/>
        <color theme="1"/>
        <rFont val="Arial"/>
      </rPr>
      <t>h</t>
    </r>
    <r>
      <rPr>
        <vertAlign val="subscript"/>
        <sz val="10"/>
        <color theme="1"/>
        <rFont val="Arial"/>
      </rPr>
      <t>1</t>
    </r>
    <r>
      <rPr>
        <sz val="10"/>
        <color theme="1"/>
        <rFont val="Arial"/>
      </rPr>
      <t xml:space="preserve"> (m)</t>
    </r>
  </si>
  <si>
    <r>
      <rPr>
        <sz val="10"/>
        <color theme="1"/>
        <rFont val="Arial"/>
      </rPr>
      <t>b</t>
    </r>
    <r>
      <rPr>
        <vertAlign val="subscript"/>
        <sz val="10"/>
        <color theme="1"/>
        <rFont val="Arial"/>
      </rPr>
      <t>4</t>
    </r>
    <r>
      <rPr>
        <sz val="10"/>
        <color theme="1"/>
        <rFont val="Arial"/>
      </rPr>
      <t xml:space="preserve"> (m)</t>
    </r>
  </si>
  <si>
    <r>
      <rPr>
        <sz val="10"/>
        <color theme="1"/>
        <rFont val="Arial"/>
      </rPr>
      <t>h</t>
    </r>
    <r>
      <rPr>
        <vertAlign val="subscript"/>
        <sz val="10"/>
        <color theme="1"/>
        <rFont val="Arial"/>
      </rPr>
      <t>2</t>
    </r>
    <r>
      <rPr>
        <sz val="10"/>
        <color theme="1"/>
        <rFont val="Arial"/>
      </rPr>
      <t xml:space="preserve"> (m)</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</si>
  <si>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</si>
  <si>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</si>
  <si>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</si>
  <si>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</si>
  <si>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A</t>
    </r>
    <r>
      <rPr>
        <vertAlign val="subscript"/>
        <sz val="10"/>
        <color theme="1"/>
        <rFont val="Arial"/>
      </rPr>
      <t>3</t>
    </r>
    <r>
      <rPr>
        <sz val="10"/>
        <color theme="1"/>
        <rFont val="Arial"/>
      </rPr>
      <t xml:space="preserve"> (m^2)</t>
    </r>
  </si>
  <si>
    <r>
      <rPr>
        <sz val="10"/>
        <color theme="1"/>
        <rFont val="Arial"/>
      </rPr>
      <t>I</t>
    </r>
    <r>
      <rPr>
        <vertAlign val="subscript"/>
        <sz val="10"/>
        <color theme="1"/>
        <rFont val="Arial"/>
      </rPr>
      <t>3</t>
    </r>
    <r>
      <rPr>
        <sz val="10"/>
        <color theme="1"/>
        <rFont val="Arial"/>
      </rPr>
      <t xml:space="preserve"> (m^4)</t>
    </r>
  </si>
  <si>
    <t>Cutout Width</t>
  </si>
  <si>
    <r>
      <rPr>
        <sz val="10"/>
        <color theme="1"/>
        <rFont val="Arial"/>
      </rPr>
      <t>A</t>
    </r>
    <r>
      <rPr>
        <vertAlign val="subscript"/>
        <sz val="10"/>
        <color theme="1"/>
        <rFont val="Arial"/>
      </rPr>
      <t>4</t>
    </r>
    <r>
      <rPr>
        <sz val="10"/>
        <color theme="1"/>
        <rFont val="Arial"/>
      </rPr>
      <t xml:space="preserve"> (m^2)</t>
    </r>
  </si>
  <si>
    <r>
      <rPr>
        <sz val="10"/>
        <color theme="1"/>
        <rFont val="Arial"/>
      </rPr>
      <t>I</t>
    </r>
    <r>
      <rPr>
        <vertAlign val="subscript"/>
        <sz val="10"/>
        <color theme="1"/>
        <rFont val="Arial"/>
      </rPr>
      <t>4</t>
    </r>
    <r>
      <rPr>
        <sz val="10"/>
        <color theme="1"/>
        <rFont val="Arial"/>
      </rPr>
      <t xml:space="preserve"> (m^4)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</si>
  <si>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</si>
  <si>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</si>
  <si>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t>Bulkhead Width</t>
  </si>
  <si>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</si>
  <si>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</si>
  <si>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x</t>
    </r>
    <r>
      <rPr>
        <vertAlign val="subscript"/>
        <sz val="10"/>
        <color theme="1"/>
        <rFont val="Arial"/>
      </rPr>
      <t xml:space="preserve">3 </t>
    </r>
    <r>
      <rPr>
        <sz val="10"/>
        <color theme="1"/>
        <rFont val="Arial"/>
      </rPr>
      <t>(m)</t>
    </r>
  </si>
  <si>
    <r>
      <rPr>
        <sz val="10"/>
        <color theme="1"/>
        <rFont val="Arial"/>
      </rPr>
      <t>Ic</t>
    </r>
    <r>
      <rPr>
        <vertAlign val="subscript"/>
        <sz val="10"/>
        <color theme="1"/>
        <rFont val="Arial"/>
      </rPr>
      <t>3</t>
    </r>
    <r>
      <rPr>
        <sz val="10"/>
        <color theme="1"/>
        <rFont val="Arial"/>
      </rPr>
      <t xml:space="preserve"> (m^4)</t>
    </r>
  </si>
  <si>
    <t>Bulkhead Width (tubes only)</t>
  </si>
  <si>
    <t>Bulkhead Width, mm</t>
  </si>
  <si>
    <r>
      <rPr>
        <sz val="10"/>
        <color theme="1"/>
        <rFont val="Arial"/>
      </rPr>
      <t>x</t>
    </r>
    <r>
      <rPr>
        <vertAlign val="subscript"/>
        <sz val="10"/>
        <color theme="1"/>
        <rFont val="Arial"/>
      </rPr>
      <t xml:space="preserve">4 </t>
    </r>
    <r>
      <rPr>
        <sz val="10"/>
        <color theme="1"/>
        <rFont val="Arial"/>
      </rPr>
      <t>(m)</t>
    </r>
  </si>
  <si>
    <r>
      <rPr>
        <sz val="10"/>
        <color theme="1"/>
        <rFont val="Arial"/>
      </rPr>
      <t>Ic</t>
    </r>
    <r>
      <rPr>
        <vertAlign val="subscript"/>
        <sz val="10"/>
        <color theme="1"/>
        <rFont val="Arial"/>
      </rPr>
      <t>4</t>
    </r>
    <r>
      <rPr>
        <sz val="10"/>
        <color theme="1"/>
        <rFont val="Arial"/>
      </rPr>
      <t xml:space="preserve"> (m^4)</t>
    </r>
  </si>
  <si>
    <t>Bulkhead</t>
  </si>
  <si>
    <t>Front Bulkhead Support</t>
  </si>
  <si>
    <t>Bulkhead Height (tubes only)</t>
  </si>
  <si>
    <t>Bulkhead Height, mm</t>
  </si>
  <si>
    <t>Cutout Width, mm</t>
  </si>
  <si>
    <r>
      <rPr>
        <sz val="10"/>
        <color theme="1"/>
        <rFont val="Arial"/>
      </rPr>
      <t>Ic</t>
    </r>
    <r>
      <rPr>
        <vertAlign val="subscript"/>
        <sz val="10"/>
        <color theme="1"/>
        <rFont val="Arial"/>
      </rPr>
      <t>12</t>
    </r>
    <r>
      <rPr>
        <sz val="10"/>
        <color theme="1"/>
        <rFont val="Arial"/>
      </rPr>
      <t xml:space="preserve"> (m^4)</t>
    </r>
  </si>
  <si>
    <t>Cutout Height, mm</t>
  </si>
  <si>
    <r>
      <rPr>
        <sz val="10"/>
        <color theme="1"/>
        <rFont val="Arial"/>
      </rPr>
      <t>Ic</t>
    </r>
    <r>
      <rPr>
        <vertAlign val="subscript"/>
        <sz val="10"/>
        <color theme="1"/>
        <rFont val="Arial"/>
      </rPr>
      <t>34</t>
    </r>
    <r>
      <rPr>
        <sz val="10"/>
        <color theme="1"/>
        <rFont val="Arial"/>
      </rPr>
      <t xml:space="preserve"> (m^4)</t>
    </r>
  </si>
  <si>
    <r>
      <rPr>
        <sz val="10"/>
        <color theme="1"/>
        <rFont val="Arial"/>
      </rPr>
      <t>E</t>
    </r>
    <r>
      <rPr>
        <vertAlign val="subscript"/>
        <sz val="10"/>
        <color theme="1"/>
        <rFont val="Arial"/>
      </rPr>
      <t>34</t>
    </r>
  </si>
  <si>
    <t>Perimeter shear, N (monocoques only)</t>
  </si>
  <si>
    <t>CAD Screenshots / Images proving all panel dimensions must be appended below</t>
  </si>
  <si>
    <t>Impact Attenuator and Anti-Intrusion Plate</t>
  </si>
  <si>
    <t>Impact Attenuator (T3.16.2)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</si>
  <si>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</si>
  <si>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</si>
  <si>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</si>
  <si>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</si>
  <si>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</si>
  <si>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</si>
  <si>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</si>
  <si>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</si>
  <si>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</si>
  <si>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</si>
  <si>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</si>
  <si>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</si>
  <si>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Height of IA volume : 234,96 +99,56 - 100= 234,52</t>
  </si>
  <si>
    <t>Side Impact Structure</t>
  </si>
  <si>
    <t>Upper SIS Member</t>
  </si>
  <si>
    <t>Composite Side (Vertical)</t>
  </si>
  <si>
    <t>Composite Floor (Horizontal)</t>
  </si>
  <si>
    <t>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</si>
  <si>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</si>
  <si>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</si>
  <si>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</si>
  <si>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</si>
  <si>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</si>
  <si>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</si>
  <si>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</si>
  <si>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</si>
  <si>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</si>
  <si>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 or Bent / Multipiece Upper Member?</t>
  </si>
  <si>
    <t>Bent/Multi</t>
  </si>
  <si>
    <t>Floor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</si>
  <si>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</si>
  <si>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</si>
  <si>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</si>
  <si>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</si>
  <si>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</si>
  <si>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</si>
  <si>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</si>
  <si>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</si>
  <si>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t>Panel height (vertical Side)/half width (Horiz. Floor),mm</t>
  </si>
  <si>
    <r>
      <rPr>
        <sz val="10"/>
        <color theme="1"/>
        <rFont val="Arial"/>
      </rPr>
      <t>Ic</t>
    </r>
    <r>
      <rPr>
        <vertAlign val="subscript"/>
        <sz val="10"/>
        <color theme="1"/>
        <rFont val="Arial"/>
      </rPr>
      <t>12</t>
    </r>
    <r>
      <rPr>
        <sz val="10"/>
        <color theme="1"/>
        <rFont val="Arial"/>
      </rPr>
      <t xml:space="preserve"> (m^4)</t>
    </r>
  </si>
  <si>
    <t>Shoulder Harness Bar Equivalency</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</si>
  <si>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</si>
  <si>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</si>
  <si>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</si>
  <si>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</si>
  <si>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x</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</si>
  <si>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</si>
  <si>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x</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</si>
  <si>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</si>
  <si>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</si>
  <si>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</si>
  <si>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</si>
  <si>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</si>
  <si>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</si>
  <si>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</si>
  <si>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</si>
  <si>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</si>
  <si>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</si>
  <si>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</si>
  <si>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</si>
  <si>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</si>
  <si>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</si>
  <si>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</si>
  <si>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</si>
  <si>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</si>
  <si>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</si>
  <si>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</si>
  <si>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</si>
  <si>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</si>
  <si>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</si>
  <si>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</si>
  <si>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</si>
  <si>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</si>
  <si>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</si>
  <si>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</si>
  <si>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</si>
  <si>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We counted 2 horizontals tubes (up and down), and 5 diagonals tubes by following the examples in the T1.1 Guidance Notes</t>
  </si>
  <si>
    <t>Accumulator Container &amp; Tractive System Protection Structure rear</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</si>
  <si>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</si>
  <si>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</si>
  <si>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</si>
  <si>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</si>
  <si>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</si>
  <si>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</si>
  <si>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</si>
  <si>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</si>
  <si>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</si>
  <si>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Straight</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</si>
  <si>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</si>
  <si>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</si>
  <si>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</si>
  <si>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</si>
  <si>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z</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</si>
  <si>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</si>
  <si>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z</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</si>
  <si>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</si>
  <si>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</si>
  <si>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&gt; 100, should be green</t>
  </si>
  <si>
    <t>We counted the three horizontal tubes and the diagonal one at the bottom.</t>
  </si>
  <si>
    <t>Accumulator Protection</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</si>
  <si>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</si>
  <si>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</si>
  <si>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</si>
  <si>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</si>
  <si>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</si>
  <si>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</si>
  <si>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</si>
  <si>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</si>
  <si>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</si>
  <si>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Alternative designs as per side/rear and floor division similarly to TAB T3.15 T3.5 SIS are allowed. Copy the 'T3.15 T3.5 SIS' TAB and rename accordingly. </t>
  </si>
  <si>
    <t>Include and clearly mark your design in the space below:</t>
  </si>
  <si>
    <r>
      <rPr>
        <sz val="10"/>
        <color theme="1"/>
        <rFont val="Arial"/>
      </rPr>
      <t>A</t>
    </r>
    <r>
      <rPr>
        <vertAlign val="subscript"/>
        <sz val="10"/>
        <color theme="1"/>
        <rFont val="Arial"/>
      </rPr>
      <t>1</t>
    </r>
    <r>
      <rPr>
        <sz val="10"/>
        <color theme="1"/>
        <rFont val="Arial"/>
      </rPr>
      <t xml:space="preserve"> (m^2)</t>
    </r>
  </si>
  <si>
    <r>
      <rPr>
        <sz val="10"/>
        <color theme="1"/>
        <rFont val="Arial"/>
      </rPr>
      <t>I</t>
    </r>
    <r>
      <rPr>
        <vertAlign val="subscript"/>
        <sz val="10"/>
        <color theme="1"/>
        <rFont val="Arial"/>
      </rPr>
      <t xml:space="preserve">1 </t>
    </r>
    <r>
      <rPr>
        <sz val="10"/>
        <color theme="1"/>
        <rFont val="Arial"/>
      </rPr>
      <t>(m^4)</t>
    </r>
  </si>
  <si>
    <r>
      <rPr>
        <sz val="10"/>
        <color theme="1"/>
        <rFont val="Arial"/>
      </rPr>
      <t>A</t>
    </r>
    <r>
      <rPr>
        <vertAlign val="subscript"/>
        <sz val="10"/>
        <color theme="1"/>
        <rFont val="Arial"/>
      </rPr>
      <t>2</t>
    </r>
    <r>
      <rPr>
        <sz val="10"/>
        <color theme="1"/>
        <rFont val="Arial"/>
      </rPr>
      <t xml:space="preserve"> (m^2)</t>
    </r>
  </si>
  <si>
    <r>
      <rPr>
        <sz val="10"/>
        <color theme="1"/>
        <rFont val="Arial"/>
      </rPr>
      <t>I</t>
    </r>
    <r>
      <rPr>
        <vertAlign val="subscript"/>
        <sz val="10"/>
        <color theme="1"/>
        <rFont val="Arial"/>
      </rPr>
      <t xml:space="preserve">2 </t>
    </r>
    <r>
      <rPr>
        <sz val="10"/>
        <color theme="1"/>
        <rFont val="Arial"/>
      </rPr>
      <t>(m^4)</t>
    </r>
  </si>
  <si>
    <r>
      <rPr>
        <sz val="10"/>
        <color theme="1"/>
        <rFont val="Arial"/>
      </rPr>
      <t>y</t>
    </r>
    <r>
      <rPr>
        <vertAlign val="subscript"/>
        <sz val="10"/>
        <color theme="1"/>
        <rFont val="Arial"/>
      </rPr>
      <t>1</t>
    </r>
    <r>
      <rPr>
        <sz val="10"/>
        <color theme="1"/>
        <rFont val="Arial"/>
      </rPr>
      <t xml:space="preserve"> (m)</t>
    </r>
  </si>
  <si>
    <r>
      <rPr>
        <sz val="10"/>
        <color theme="1"/>
        <rFont val="Arial"/>
      </rPr>
      <t>Ic</t>
    </r>
    <r>
      <rPr>
        <vertAlign val="subscript"/>
        <sz val="10"/>
        <color theme="1"/>
        <rFont val="Arial"/>
      </rPr>
      <t>1</t>
    </r>
    <r>
      <rPr>
        <sz val="10"/>
        <color theme="1"/>
        <rFont val="Arial"/>
      </rPr>
      <t xml:space="preserve"> (m^4)</t>
    </r>
  </si>
  <si>
    <r>
      <rPr>
        <sz val="10"/>
        <color theme="1"/>
        <rFont val="Arial"/>
      </rPr>
      <t>y</t>
    </r>
    <r>
      <rPr>
        <vertAlign val="subscript"/>
        <sz val="10"/>
        <color theme="1"/>
        <rFont val="Arial"/>
      </rPr>
      <t xml:space="preserve">2 </t>
    </r>
    <r>
      <rPr>
        <sz val="10"/>
        <color theme="1"/>
        <rFont val="Arial"/>
      </rPr>
      <t>(m)</t>
    </r>
  </si>
  <si>
    <r>
      <rPr>
        <sz val="10"/>
        <color theme="1"/>
        <rFont val="Arial"/>
      </rPr>
      <t>Ic</t>
    </r>
    <r>
      <rPr>
        <vertAlign val="subscript"/>
        <sz val="10"/>
        <color theme="1"/>
        <rFont val="Arial"/>
      </rPr>
      <t>2</t>
    </r>
    <r>
      <rPr>
        <sz val="10"/>
        <color theme="1"/>
        <rFont val="Arial"/>
      </rPr>
      <t xml:space="preserve"> (m^4)</t>
    </r>
  </si>
  <si>
    <r>
      <rPr>
        <sz val="10"/>
        <color theme="1"/>
        <rFont val="Arial"/>
      </rPr>
      <t>Ic</t>
    </r>
    <r>
      <rPr>
        <vertAlign val="subscript"/>
        <sz val="10"/>
        <color theme="1"/>
        <rFont val="Arial"/>
      </rPr>
      <t>12</t>
    </r>
    <r>
      <rPr>
        <sz val="10"/>
        <color theme="1"/>
        <rFont val="Arial"/>
      </rPr>
      <t xml:space="preserve"> (m^4)</t>
    </r>
  </si>
  <si>
    <t xml:space="preserve"> STRUCTURAL EQUIVALENCY SPREADSHEET - HARNESS ATTACHMENT TEST RESULTS</t>
  </si>
  <si>
    <t>[Tubing Only] Calculation</t>
  </si>
  <si>
    <t>Lap belt only</t>
  </si>
  <si>
    <t>&lt;-- Selection Drop-down</t>
  </si>
  <si>
    <t>Anti-submarine</t>
  </si>
  <si>
    <t>I m^4</t>
  </si>
  <si>
    <t>Deflection, mm</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</si>
  <si>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</si>
  <si>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</si>
  <si>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</si>
  <si>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</si>
  <si>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</si>
  <si>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</si>
  <si>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</si>
  <si>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</si>
  <si>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</si>
  <si>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</si>
  <si>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</si>
  <si>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</si>
  <si>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</si>
  <si>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</si>
  <si>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</si>
  <si>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WARNING : Our brackets are not exactly in the middle of the tube but are close to it. Since compliance is ensured for the worst-case scenario (when positioned in the middle), it is also acceptable in our real case.</t>
  </si>
  <si>
    <t>Shoulder Harness Attachment</t>
  </si>
  <si>
    <t>Enter value for force at failure or maximum tested force</t>
  </si>
  <si>
    <t>(&gt;= 13000N)</t>
  </si>
  <si>
    <r>
      <rPr>
        <sz val="10"/>
        <color theme="1"/>
        <rFont val="Verdana"/>
      </rPr>
      <t>y</t>
    </r>
    <r>
      <rPr>
        <vertAlign val="subscript"/>
        <sz val="10"/>
        <color theme="1"/>
        <rFont val="Verdana"/>
      </rPr>
      <t>max</t>
    </r>
    <r>
      <rPr>
        <sz val="10"/>
        <color theme="1"/>
        <rFont val="Verdana"/>
      </rPr>
      <t xml:space="preserve"> (N)</t>
    </r>
  </si>
  <si>
    <t>Show the distance between the Lap Belt &amp; Anti-submarine Belt Attachment</t>
  </si>
  <si>
    <t>Lap Belt Attachment</t>
  </si>
  <si>
    <r>
      <rPr>
        <sz val="10"/>
        <color theme="1"/>
        <rFont val="Verdana"/>
      </rPr>
      <t>y</t>
    </r>
    <r>
      <rPr>
        <vertAlign val="subscript"/>
        <sz val="10"/>
        <color theme="1"/>
        <rFont val="Verdana"/>
      </rPr>
      <t>max</t>
    </r>
    <r>
      <rPr>
        <sz val="10"/>
        <color theme="1"/>
        <rFont val="Verdana"/>
      </rPr>
      <t xml:space="preserve"> (N)</t>
    </r>
  </si>
  <si>
    <t>Anti-submarine Belt Attachment</t>
  </si>
  <si>
    <t>(&gt;= 6500N)</t>
  </si>
  <si>
    <r>
      <rPr>
        <sz val="10"/>
        <color theme="1"/>
        <rFont val="Verdana"/>
      </rPr>
      <t>y</t>
    </r>
    <r>
      <rPr>
        <vertAlign val="subscript"/>
        <sz val="10"/>
        <color theme="1"/>
        <rFont val="Verdana"/>
      </rPr>
      <t>max</t>
    </r>
    <r>
      <rPr>
        <sz val="10"/>
        <color theme="1"/>
        <rFont val="Verdana"/>
      </rPr>
      <t xml:space="preserve"> (N)</t>
    </r>
  </si>
  <si>
    <t>Combined Lap Belt &amp; Anti-submarine Belt Attachment</t>
  </si>
  <si>
    <t>(&gt;= 19500N)</t>
  </si>
  <si>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</si>
  <si>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</si>
  <si>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</si>
  <si>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F 
(N)</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</si>
  <si>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</si>
  <si>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</si>
  <si>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</si>
  <si>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</si>
  <si>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</si>
  <si>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</si>
  <si>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</si>
  <si>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</si>
  <si>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</si>
  <si>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</si>
  <si>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</si>
  <si>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</si>
  <si>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</si>
  <si>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</si>
  <si>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</si>
  <si>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</si>
  <si>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</si>
  <si>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</si>
  <si>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</si>
  <si>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</si>
  <si>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</si>
  <si>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</si>
  <si>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</si>
  <si>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</si>
  <si>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</si>
  <si>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</si>
  <si>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</si>
  <si>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</si>
  <si>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</si>
  <si>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</si>
  <si>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</si>
  <si>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</si>
  <si>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</si>
  <si>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</si>
  <si>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</si>
  <si>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</si>
  <si>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</si>
  <si>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</si>
  <si>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</si>
  <si>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</si>
  <si>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</si>
  <si>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</si>
  <si>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</si>
  <si>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</si>
  <si>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</si>
  <si>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</si>
  <si>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</si>
  <si>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</si>
  <si>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</si>
  <si>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</si>
  <si>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</si>
  <si>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</si>
  <si>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</si>
  <si>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</si>
  <si>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</si>
  <si>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</si>
  <si>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</si>
  <si>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</si>
  <si>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</si>
  <si>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Bolted Primary Structure Attachments - T3.15.7 - Axial Pull Out</t>
  </si>
  <si>
    <t>Bolted Primary Structure Attachments - T3.15.7 - Perpendicular / Weakest Radial</t>
  </si>
  <si>
    <t>Example:</t>
  </si>
  <si>
    <t>Axial pull-out</t>
  </si>
  <si>
    <t>Perpendicular / weakest radial direction</t>
  </si>
  <si>
    <t>(&gt;= 15000N)</t>
  </si>
  <si>
    <r>
      <rPr>
        <sz val="10"/>
        <color theme="1"/>
        <rFont val="Verdana"/>
      </rPr>
      <t>y</t>
    </r>
    <r>
      <rPr>
        <vertAlign val="subscript"/>
        <sz val="10"/>
        <color theme="1"/>
        <rFont val="Verdana"/>
      </rPr>
      <t>max</t>
    </r>
    <r>
      <rPr>
        <sz val="10"/>
        <color theme="1"/>
        <rFont val="Verdana"/>
      </rPr>
      <t xml:space="preserve"> (N)</t>
    </r>
  </si>
  <si>
    <r>
      <rPr>
        <sz val="10"/>
        <color theme="1"/>
        <rFont val="Verdana"/>
      </rPr>
      <t>y</t>
    </r>
    <r>
      <rPr>
        <vertAlign val="subscript"/>
        <sz val="10"/>
        <color theme="1"/>
        <rFont val="Verdana"/>
      </rPr>
      <t>max</t>
    </r>
    <r>
      <rPr>
        <sz val="10"/>
        <color theme="1"/>
        <rFont val="Verdana"/>
      </rPr>
      <t xml:space="preserve"> (N)</t>
    </r>
  </si>
  <si>
    <r>
      <rPr>
        <sz val="10"/>
        <color theme="1"/>
        <rFont val="Verdana"/>
      </rPr>
      <t xml:space="preserve">The given units are mandatory. </t>
    </r>
    <r>
      <rPr>
        <b/>
        <sz val="10"/>
        <color theme="1"/>
        <rFont val="Verdana"/>
      </rPr>
      <t>Paste as values with correct decimal separator.</t>
    </r>
  </si>
  <si>
    <r>
      <rPr>
        <sz val="10"/>
        <color theme="1"/>
        <rFont val="Verdana"/>
      </rPr>
      <t xml:space="preserve">The given units are mandatory. </t>
    </r>
    <r>
      <rPr>
        <b/>
        <sz val="10"/>
        <color theme="1"/>
        <rFont val="Verdana"/>
      </rPr>
      <t>Paste as values with correct decimal separator.</t>
    </r>
  </si>
  <si>
    <t>TSAC overall mass, kg</t>
  </si>
  <si>
    <t>Number of TSAC attachments</t>
  </si>
  <si>
    <t>Please use this tab to prove that your TSAC attachments are compliant with EV 5.5.8.</t>
  </si>
  <si>
    <t xml:space="preserve">The tabs or brackets on the TSAC itself are not within the scope of this sheet. However, </t>
  </si>
  <si>
    <t>they shall be shown for context.</t>
  </si>
  <si>
    <t>Vehicle coordinate system according to ISO 8855-2011.</t>
  </si>
  <si>
    <t>Direction X</t>
  </si>
  <si>
    <t>Direction Y</t>
  </si>
  <si>
    <t>Direction Z</t>
  </si>
  <si>
    <t>Firewall Status</t>
  </si>
  <si>
    <t>Insulation type</t>
  </si>
  <si>
    <t>Isolation method</t>
  </si>
  <si>
    <t>Proof shown below?</t>
  </si>
  <si>
    <t>Heat insulation</t>
  </si>
  <si>
    <t>Conduction isolation</t>
  </si>
  <si>
    <t>No direct contact</t>
  </si>
  <si>
    <t>Convection insulation 
Minimum air gap [mm]</t>
  </si>
  <si>
    <t>Radiation insulation</t>
  </si>
  <si>
    <t>Solid metal shield with thickness &gt;0.4mm</t>
  </si>
  <si>
    <t>Fire retardant 
standard used</t>
  </si>
  <si>
    <t>UL94 V-0</t>
  </si>
  <si>
    <t>Concept described?</t>
  </si>
  <si>
    <t>Material and layup description</t>
  </si>
  <si>
    <t>thickness [mm]</t>
  </si>
  <si>
    <t>[CV-only]</t>
  </si>
  <si>
    <t>Used thickness of rated material</t>
  </si>
  <si>
    <t>First layer</t>
  </si>
  <si>
    <t>First layer thickness</t>
  </si>
  <si>
    <t>[EV-only]</t>
  </si>
  <si>
    <t>Second layer</t>
  </si>
  <si>
    <t>Nomex 410 Thermal Insulation</t>
  </si>
  <si>
    <t>Insert technical data sheets proving the values entered above:</t>
  </si>
  <si>
    <r>
      <rPr>
        <b/>
        <sz val="10"/>
        <color theme="1"/>
        <rFont val="Arial"/>
      </rPr>
      <t xml:space="preserve">Datasheet fire resistant material &amp; heat insulation proof. </t>
    </r>
    <r>
      <rPr>
        <b/>
        <sz val="10"/>
        <color rgb="FFFF0000"/>
        <rFont val="Arial"/>
      </rPr>
      <t>Describe the concept of the firewall and show drawings/pictures.</t>
    </r>
  </si>
  <si>
    <t xml:space="preserve">Concept description. Insulating tape is used along the legnth of the tubes to fill any holes.
</t>
  </si>
  <si>
    <t>Minimal air gap : 96,953mm</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</si>
  <si>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</si>
  <si>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</si>
  <si>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</si>
  <si>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</si>
  <si>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</si>
  <si>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</si>
  <si>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</si>
  <si>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</si>
  <si>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</si>
  <si>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</si>
  <si>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</si>
  <si>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</si>
  <si>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</si>
  <si>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</si>
  <si>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</si>
  <si>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</si>
  <si>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</si>
  <si>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</si>
  <si>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</si>
  <si>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</si>
  <si>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</si>
  <si>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</si>
  <si>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</si>
  <si>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</si>
  <si>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</si>
  <si>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</si>
  <si>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</si>
  <si>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</si>
  <si>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</si>
  <si>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</si>
  <si>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</si>
  <si>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</si>
  <si>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</si>
  <si>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</si>
  <si>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</si>
  <si>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t>Welding tests ran by A2M Industries :</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</si>
  <si>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</si>
  <si>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Tubes receipt :</t>
  </si>
  <si>
    <t>Filler material : 25CrMo4</t>
  </si>
  <si>
    <t>TIG Welding</t>
  </si>
  <si>
    <r>
      <rPr>
        <sz val="10"/>
        <color theme="1"/>
        <rFont val="Arial"/>
      </rPr>
      <t xml:space="preserve">Please use this sheet to show your </t>
    </r>
    <r>
      <rPr>
        <b/>
        <sz val="10"/>
        <color theme="1"/>
        <rFont val="Arial"/>
      </rPr>
      <t>proof of equivalency for alloyed steel (T3.3.3)</t>
    </r>
    <r>
      <rPr>
        <sz val="10"/>
        <color theme="1"/>
        <rFont val="Arial"/>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</si>
  <si>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</si>
  <si>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</si>
  <si>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</si>
  <si>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</si>
  <si>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</si>
  <si>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</si>
  <si>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</si>
  <si>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</si>
  <si>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</si>
  <si>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</si>
  <si>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</si>
  <si>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</si>
  <si>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</si>
  <si>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</si>
  <si>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</si>
  <si>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</si>
  <si>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</si>
  <si>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</si>
  <si>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</si>
  <si>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</si>
  <si>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</si>
  <si>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</si>
  <si>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</si>
  <si>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</si>
  <si>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</si>
  <si>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</si>
  <si>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</si>
  <si>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</si>
  <si>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</si>
  <si>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</si>
  <si>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</si>
  <si>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</si>
  <si>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</si>
  <si>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</si>
  <si>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</si>
  <si>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</si>
  <si>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</si>
  <si>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</si>
  <si>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</si>
  <si>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</si>
  <si>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</si>
  <si>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</si>
  <si>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</si>
  <si>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</si>
  <si>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</si>
  <si>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</si>
  <si>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</si>
  <si>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</si>
  <si>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</si>
  <si>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</si>
  <si>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</si>
  <si>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</si>
  <si>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</si>
  <si>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color theme="1"/>
        <rFont val="Verdana"/>
      </rPr>
      <t xml:space="preserve">monocoque </t>
    </r>
    <r>
      <rPr>
        <b/>
        <sz val="10"/>
        <color theme="1"/>
        <rFont val="Verdana"/>
      </rPr>
      <t>skins</t>
    </r>
    <r>
      <rPr>
        <sz val="10"/>
        <color theme="1"/>
        <rFont val="Verdana"/>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</si>
  <si>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</si>
  <si>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</si>
  <si>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</si>
  <si>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</si>
  <si>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</si>
  <si>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</si>
  <si>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</si>
  <si>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</si>
  <si>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</si>
  <si>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</si>
  <si>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</si>
  <si>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</si>
  <si>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</si>
  <si>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</si>
  <si>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</si>
  <si>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</si>
  <si>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</si>
  <si>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</si>
  <si>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</si>
  <si>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</si>
  <si>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</si>
  <si>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</si>
  <si>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</si>
  <si>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</si>
  <si>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</si>
  <si>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</si>
  <si>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</si>
  <si>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</si>
  <si>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</si>
  <si>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</si>
  <si>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</si>
  <si>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</si>
  <si>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</si>
  <si>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</si>
  <si>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</si>
  <si>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</si>
  <si>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</si>
  <si>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</si>
  <si>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</si>
  <si>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</si>
  <si>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</si>
  <si>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</si>
  <si>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</si>
  <si>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</si>
  <si>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</si>
  <si>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</si>
  <si>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</si>
  <si>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</si>
  <si>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</si>
  <si>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</si>
  <si>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</si>
  <si>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</si>
  <si>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</si>
  <si>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</si>
  <si>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</si>
  <si>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</si>
  <si>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Make sure to include BOTH peaks. If only one peak is distinguisable (often in case of</t>
  </si>
  <si>
    <t xml:space="preserve">assymetrical laminates), use the skin thickness of the thicker skin to derive perimeter shear </t>
  </si>
  <si>
    <t>strength.</t>
  </si>
  <si>
    <t>Note: in case of assymetrical laminates, the thinner skin must face the punch.</t>
  </si>
  <si>
    <t>Note: If the first peak is higher than the second then it can be used for the punch through</t>
  </si>
  <si>
    <t>strength requirement.</t>
  </si>
  <si>
    <t>When entering peak loads please ensure they are in accordance with the image below:</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</si>
  <si>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</si>
  <si>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</si>
  <si>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</si>
  <si>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</si>
  <si>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</si>
  <si>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</si>
  <si>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</si>
  <si>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color theme="1"/>
        <rFont val="Verdana"/>
      </rPr>
      <t xml:space="preserve">Attachments for </t>
    </r>
    <r>
      <rPr>
        <b/>
        <sz val="10"/>
        <color theme="1"/>
        <rFont val="Verdana"/>
      </rPr>
      <t>LAP BELTS</t>
    </r>
    <r>
      <rPr>
        <sz val="10"/>
        <color theme="1"/>
        <rFont val="Verdana"/>
      </rPr>
      <t xml:space="preserve"> and </t>
    </r>
    <r>
      <rPr>
        <b/>
        <sz val="10"/>
        <color theme="1"/>
        <rFont val="Verdana"/>
      </rPr>
      <t>ANTI-SUBMARINGE BELTS</t>
    </r>
    <r>
      <rPr>
        <sz val="10"/>
        <color theme="1"/>
        <rFont val="Verdana"/>
      </rPr>
      <t xml:space="preserve"> on steel tube frames using </t>
    </r>
  </si>
  <si>
    <t xml:space="preserve">unalloyed carbon steel (T3.2.2)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</si>
  <si>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</si>
  <si>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</si>
  <si>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</si>
  <si>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</si>
  <si>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</si>
  <si>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</si>
  <si>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</si>
  <si>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</si>
  <si>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</si>
  <si>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color theme="1"/>
        <rFont val="Verdana"/>
      </rPr>
      <t xml:space="preserve">The bending calculations for the </t>
    </r>
    <r>
      <rPr>
        <b/>
        <sz val="10"/>
        <color theme="1"/>
        <rFont val="Verdana"/>
      </rPr>
      <t>SHOULDER HARNESS BAR</t>
    </r>
    <r>
      <rPr>
        <sz val="10"/>
        <color theme="1"/>
        <rFont val="Verdana"/>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</si>
  <si>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</si>
  <si>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</si>
  <si>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</si>
  <si>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</si>
  <si>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</si>
  <si>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</si>
  <si>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</si>
  <si>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</si>
  <si>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</si>
  <si>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</si>
  <si>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T3.14 with exception of: “must connect the</t>
  </si>
  <si>
    <t>main hoop and front hoop” and must follow T 3.15 when having bolted attachments.</t>
  </si>
  <si>
    <t>Side-impact zone must be connected from main hoop to rear-impact zone.</t>
  </si>
  <si>
    <t>3. Monocoques:</t>
  </si>
  <si>
    <t>2. Tubular Frame cars with motors laying outside the primary structure according</t>
  </si>
  <si>
    <r>
      <rPr>
        <u/>
        <sz val="10"/>
        <color theme="1"/>
        <rFont val="Verdana"/>
      </rPr>
      <t>rule</t>
    </r>
    <r>
      <rPr>
        <b/>
        <u/>
        <sz val="10"/>
        <color rgb="FFFF0000"/>
        <rFont val="Verdana"/>
      </rPr>
      <t xml:space="preserve"> </t>
    </r>
    <r>
      <rPr>
        <b/>
        <u/>
        <sz val="10"/>
        <color theme="1"/>
        <rFont val="Verdana"/>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</si>
  <si>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</si>
  <si>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</si>
  <si>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</si>
  <si>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</si>
  <si>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</si>
  <si>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</si>
  <si>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</si>
  <si>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</si>
  <si>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</si>
  <si>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</si>
  <si>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</si>
  <si>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</si>
  <si>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ATTACHMENT GUIDANCE NOTES</t>
  </si>
  <si>
    <t>Please note:</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</si>
  <si>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</si>
  <si>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</si>
  <si>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</si>
  <si>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</si>
  <si>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</si>
  <si>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</si>
  <si>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</si>
  <si>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</si>
  <si>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</si>
  <si>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</si>
  <si>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</si>
  <si>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</si>
  <si>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</si>
  <si>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</si>
  <si>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</si>
  <si>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</si>
  <si>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</si>
  <si>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</si>
  <si>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</si>
  <si>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</si>
  <si>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</si>
  <si>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</si>
  <si>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</si>
  <si>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</si>
  <si>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</si>
  <si>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</si>
  <si>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</si>
  <si>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</si>
  <si>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</si>
  <si>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</si>
  <si>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</si>
  <si>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</si>
  <si>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</si>
  <si>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</si>
  <si>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</si>
  <si>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</si>
  <si>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</si>
  <si>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</si>
  <si>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</si>
  <si>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</si>
  <si>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</si>
  <si>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</si>
  <si>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(T3.13.1)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</si>
  <si>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</si>
  <si>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</si>
  <si>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</si>
  <si>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</si>
  <si>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</si>
  <si>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</si>
  <si>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T3.7.2 is respected since all the inner radiuses are over 75mm and the radius of each tube is 15mm, therefore all the bending radiuses are over 90mm.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</si>
</sst>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m/yyyy"/>
    <numFmt numFmtId="165" formatCode="0.0"/>
    <numFmt numFmtId="166" formatCode="0.000"/>
    <numFmt numFmtId="167" formatCode="0.0000"/>
    <numFmt numFmtId="168" formatCode="0.000E+00"/>
    <numFmt numFmtId="169" formatCode="0.E+00"/>
    <numFmt numFmtId="170" formatCode="0.0000E+00"/>
  </numFmts>
  <fonts count="77">
    <font>
      <sz val="10"/>
      <color rgb="FF000000"/>
      <name val="Arial"/>
      <scheme val="minor"/>
    </font>
    <font>
      <b/>
      <sz val="10"/>
      <color theme="1"/>
      <name val="Arial"/>
    </font>
    <font>
      <sz val="10"/>
      <color theme="1"/>
      <name val="Arial"/>
    </font>
    <font>
      <sz val="10"/>
      <name val="Arial"/>
    </font>
    <font>
      <b/>
      <sz val="10"/>
      <color rgb="FFFF0000"/>
      <name val="Arial"/>
    </font>
    <font>
      <b/>
      <sz val="10"/>
      <color rgb="FF0066CC"/>
      <name val="Arial"/>
    </font>
    <font>
      <sz val="10"/>
      <color rgb="FFFF0000"/>
      <name val="Arial"/>
    </font>
    <font>
      <sz val="10"/>
      <color rgb="FF000000"/>
      <name val="Arial"/>
    </font>
    <font>
      <u/>
      <sz val="10"/>
      <color theme="10"/>
      <name val="Arial"/>
    </font>
    <font>
      <sz val="8"/>
      <color theme="1"/>
      <name val="Arial"/>
    </font>
    <font>
      <u/>
      <sz val="10"/>
      <color rgb="FF0000FF"/>
      <name val="Arial"/>
    </font>
    <font>
      <u/>
      <sz val="10"/>
      <color rgb="FF0000FF"/>
      <name val="Arial"/>
    </font>
    <font>
      <u/>
      <sz val="10"/>
      <color theme="10"/>
      <name val="Arial"/>
    </font>
    <font>
      <u/>
      <sz val="10"/>
      <color theme="10"/>
      <name val="Arial"/>
    </font>
    <font>
      <b/>
      <sz val="10"/>
      <color theme="1"/>
      <name val="Noto Sans Symbols"/>
    </font>
    <font>
      <u/>
      <sz val="10"/>
      <color rgb="FF0000FF"/>
      <name val="Arial"/>
    </font>
    <font>
      <sz val="11"/>
      <color rgb="FF444444"/>
      <name val="Arial"/>
    </font>
    <font>
      <sz val="10"/>
      <color theme="1"/>
      <name val="Arial"/>
      <scheme val="minor"/>
    </font>
    <font>
      <b/>
      <sz val="10"/>
      <color rgb="FF242424"/>
      <name val="Arial"/>
    </font>
    <font>
      <b/>
      <sz val="14"/>
      <color theme="1"/>
      <name val="Arial"/>
    </font>
    <font>
      <u/>
      <sz val="10"/>
      <color rgb="FF0000FF"/>
      <name val="Arial"/>
    </font>
    <font>
      <u/>
      <sz val="10"/>
      <color rgb="FF0000FF"/>
      <name val="Arial"/>
    </font>
    <font>
      <sz val="10"/>
      <color rgb="FFFF0000"/>
      <name val="Arial"/>
    </font>
    <font>
      <u/>
      <sz val="10"/>
      <color rgb="FF0000FF"/>
      <name val="Arial"/>
    </font>
    <font>
      <u/>
      <sz val="10"/>
      <color rgb="FF0000FF"/>
      <name val="Arial"/>
    </font>
    <font>
      <sz val="10"/>
      <color theme="1"/>
      <name val="Arial"/>
    </font>
    <font>
      <sz val="10"/>
      <color theme="0"/>
      <name val="Arial"/>
    </font>
    <font>
      <sz val="10"/>
      <color rgb="FFFFFFFF"/>
      <name val="Arial"/>
    </font>
    <font>
      <sz val="10"/>
      <color theme="1"/>
      <name val="Verdana"/>
    </font>
    <font>
      <b/>
      <sz val="10"/>
      <color theme="1"/>
      <name val="Verdana"/>
    </font>
    <font>
      <sz val="10"/>
      <color rgb="FFFFFFFF"/>
      <name val="Verdana"/>
    </font>
    <font>
      <b/>
      <sz val="10"/>
      <color rgb="FFFF0000"/>
      <name val="Verdana"/>
    </font>
    <font>
      <sz val="9"/>
      <color theme="1"/>
      <name val="Arial"/>
    </font>
    <font>
      <sz val="11"/>
      <color theme="1"/>
      <name val="Calibri"/>
    </font>
    <font>
      <sz val="11"/>
      <color theme="0"/>
      <name val="Calibri"/>
    </font>
    <font>
      <sz val="10"/>
      <color rgb="FFFF0000"/>
      <name val="Verdana"/>
    </font>
    <font>
      <sz val="11"/>
      <color rgb="FFFABF8F"/>
      <name val="Calibri"/>
    </font>
    <font>
      <u/>
      <sz val="10"/>
      <color rgb="FF0000FF"/>
      <name val="Arial"/>
    </font>
    <font>
      <sz val="10"/>
      <color rgb="FF000000"/>
      <name val="Verdana"/>
    </font>
    <font>
      <u/>
      <sz val="10"/>
      <color rgb="FF0000FF"/>
      <name val="Arial"/>
    </font>
    <font>
      <sz val="11"/>
      <color rgb="FFFF0000"/>
      <name val="Calibri"/>
    </font>
    <font>
      <b/>
      <sz val="12"/>
      <color theme="1"/>
      <name val="Arial"/>
    </font>
    <font>
      <b/>
      <sz val="11"/>
      <color rgb="FF444444"/>
      <name val="Aptos Narrow"/>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theme="10"/>
      <name val="Arial"/>
    </font>
    <font>
      <u/>
      <sz val="10"/>
      <color rgb="FF0000FF"/>
      <name val="Arial"/>
    </font>
    <font>
      <u/>
      <sz val="10"/>
      <color rgb="FF0000FF"/>
      <name val="Arial"/>
    </font>
    <font>
      <b/>
      <sz val="10"/>
      <color rgb="FF000000"/>
      <name val="Arial"/>
    </font>
    <font>
      <u/>
      <sz val="10"/>
      <color theme="10"/>
      <name val="Arial"/>
    </font>
    <font>
      <u/>
      <sz val="10"/>
      <color rgb="FF0000FF"/>
      <name val="Arial"/>
    </font>
    <font>
      <u/>
      <sz val="10"/>
      <color rgb="FF0000FF"/>
      <name val="Arial"/>
    </font>
    <font>
      <sz val="11"/>
      <color rgb="FF444444"/>
      <name val="Calibri"/>
    </font>
    <font>
      <u/>
      <sz val="10"/>
      <color theme="10"/>
      <name val="Arial"/>
    </font>
    <font>
      <b/>
      <sz val="11"/>
      <color theme="1"/>
      <name val="Arial"/>
    </font>
    <font>
      <u/>
      <sz val="10"/>
      <color rgb="FF0000FF"/>
      <name val="Arial"/>
    </font>
    <font>
      <u/>
      <sz val="10"/>
      <color rgb="FF0000FF"/>
      <name val="Arial"/>
    </font>
    <font>
      <u/>
      <sz val="10"/>
      <color theme="10"/>
      <name val="Arial"/>
    </font>
    <font>
      <sz val="10"/>
      <color rgb="FF595959"/>
      <name val="Arial"/>
    </font>
    <font>
      <u/>
      <sz val="10"/>
      <color rgb="FF0000FF"/>
      <name val="Arial"/>
    </font>
    <font>
      <u/>
      <sz val="10"/>
      <color theme="10"/>
      <name val="Arial"/>
    </font>
    <font>
      <sz val="11"/>
      <color rgb="FF000000"/>
      <name val="Calibri"/>
    </font>
    <font>
      <u/>
      <sz val="10"/>
      <color theme="1"/>
      <name val="Verdana"/>
    </font>
    <font>
      <sz val="14"/>
      <color rgb="FFFF0000"/>
      <name val="Verdana"/>
    </font>
    <font>
      <sz val="14"/>
      <color rgb="FFFF0000"/>
      <name val="Arial"/>
    </font>
    <font>
      <sz val="26"/>
      <color theme="1"/>
      <name val="Arial"/>
    </font>
    <font>
      <u/>
      <sz val="10"/>
      <color rgb="FF0000FF"/>
      <name val="Arial"/>
    </font>
    <font>
      <vertAlign val="subscript"/>
      <sz val="10"/>
      <color theme="1"/>
      <name val="Verdana"/>
    </font>
    <font>
      <vertAlign val="superscript"/>
      <sz val="10"/>
      <color theme="1"/>
      <name val="Verdana"/>
    </font>
    <font>
      <vertAlign val="subscript"/>
      <sz val="8"/>
      <color theme="1"/>
      <name val="Verdana"/>
    </font>
    <font>
      <b/>
      <sz val="10"/>
      <color rgb="FF000000"/>
      <name val="Verdana"/>
    </font>
    <font>
      <vertAlign val="subscript"/>
      <sz val="10"/>
      <color theme="1"/>
      <name val="Arial"/>
    </font>
    <font>
      <b/>
      <u/>
      <sz val="10"/>
      <color rgb="FFFF0000"/>
      <name val="Verdana"/>
    </font>
    <font>
      <b/>
      <u/>
      <sz val="10"/>
      <color theme="1"/>
      <name val="Verdana"/>
    </font>
  </fonts>
  <fills count="22">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C0C0C0"/>
        <bgColor rgb="FFC0C0C0"/>
      </patternFill>
    </fill>
    <fill>
      <patternFill patternType="solid">
        <fgColor rgb="FF969696"/>
        <bgColor rgb="FF969696"/>
      </patternFill>
    </fill>
    <fill>
      <patternFill patternType="solid">
        <fgColor rgb="FFFFFFFF"/>
        <bgColor rgb="FFFFFFFF"/>
      </patternFill>
    </fill>
    <fill>
      <patternFill patternType="solid">
        <fgColor rgb="FF008000"/>
        <bgColor rgb="FF008000"/>
      </patternFill>
    </fill>
    <fill>
      <patternFill patternType="solid">
        <fgColor theme="9"/>
        <bgColor theme="9"/>
      </patternFill>
    </fill>
    <fill>
      <patternFill patternType="solid">
        <fgColor rgb="FF33CCCC"/>
        <bgColor rgb="FF33CCCC"/>
      </patternFill>
    </fill>
    <fill>
      <patternFill patternType="solid">
        <fgColor rgb="FFFF0000"/>
        <bgColor rgb="FFFF0000"/>
      </patternFill>
    </fill>
    <fill>
      <patternFill patternType="solid">
        <fgColor rgb="FF000000"/>
        <bgColor rgb="FF000000"/>
      </patternFill>
    </fill>
    <fill>
      <patternFill patternType="solid">
        <fgColor rgb="FF993300"/>
        <bgColor rgb="FF993300"/>
      </patternFill>
    </fill>
    <fill>
      <patternFill patternType="solid">
        <fgColor rgb="FF00CCFF"/>
        <bgColor rgb="FF00CCFF"/>
      </patternFill>
    </fill>
    <fill>
      <patternFill patternType="solid">
        <fgColor rgb="FF00B050"/>
        <bgColor rgb="FF00B050"/>
      </patternFill>
    </fill>
    <fill>
      <patternFill patternType="solid">
        <fgColor rgb="FF974806"/>
        <bgColor rgb="FF974806"/>
      </patternFill>
    </fill>
    <fill>
      <patternFill patternType="solid">
        <fgColor rgb="FF808080"/>
        <bgColor rgb="FF808080"/>
      </patternFill>
    </fill>
    <fill>
      <patternFill patternType="solid">
        <fgColor rgb="FFBFBFBF"/>
        <bgColor rgb="FFBFBFBF"/>
      </patternFill>
    </fill>
    <fill>
      <patternFill patternType="solid">
        <fgColor rgb="FFD8D8D8"/>
        <bgColor rgb="FFD8D8D8"/>
      </patternFill>
    </fill>
    <fill>
      <patternFill patternType="solid">
        <fgColor theme="0"/>
        <bgColor rgb="FFFFFF00"/>
      </patternFill>
    </fill>
    <fill>
      <patternFill patternType="solid">
        <fgColor rgb="FFFFFF00"/>
        <bgColor indexed="64"/>
      </patternFill>
    </fill>
    <fill>
      <patternFill patternType="solid">
        <fgColor rgb="FFFFFF00"/>
        <bgColor rgb="FFFFFFFF"/>
      </patternFill>
    </fill>
  </fills>
  <borders count="98">
    <border>
      <left/>
      <right/>
      <top/>
      <bottom/>
      <diagonal/>
    </border>
    <border>
      <left style="thin">
        <color rgb="FF000000"/>
      </left>
      <right/>
      <top style="thin">
        <color rgb="FF000000"/>
      </top>
      <bottom/>
      <diagonal/>
    </border>
    <border>
      <left/>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right style="thin">
        <color rgb="FF000000"/>
      </right>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top style="thin">
        <color rgb="FF000000"/>
      </top>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right/>
      <top/>
      <bottom/>
      <diagonal/>
    </border>
    <border>
      <left/>
      <right/>
      <top/>
      <bottom/>
      <diagonal/>
    </border>
    <border>
      <left/>
      <right/>
      <top/>
      <bottom/>
      <diagonal/>
    </border>
    <border>
      <left/>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771">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2" borderId="3" xfId="0" applyFont="1" applyFill="1" applyBorder="1"/>
    <xf numFmtId="0" fontId="2" fillId="2" borderId="4" xfId="0" applyFont="1" applyFill="1" applyBorder="1"/>
    <xf numFmtId="0" fontId="2" fillId="2" borderId="2" xfId="0" applyFont="1" applyFill="1" applyBorder="1"/>
    <xf numFmtId="0" fontId="2" fillId="2" borderId="5" xfId="0" applyFont="1" applyFill="1" applyBorder="1"/>
    <xf numFmtId="0" fontId="2" fillId="2" borderId="6" xfId="0" applyFont="1" applyFill="1" applyBorder="1"/>
    <xf numFmtId="0" fontId="2" fillId="2" borderId="5" xfId="0" applyFont="1" applyFill="1" applyBorder="1" applyAlignment="1">
      <alignment horizontal="left"/>
    </xf>
    <xf numFmtId="0" fontId="2" fillId="2" borderId="2" xfId="0" applyFont="1" applyFill="1" applyBorder="1" applyAlignment="1">
      <alignment horizontal="left"/>
    </xf>
    <xf numFmtId="0" fontId="4" fillId="2" borderId="5" xfId="0" applyFont="1" applyFill="1" applyBorder="1" applyAlignment="1">
      <alignment horizontal="left"/>
    </xf>
    <xf numFmtId="0" fontId="5" fillId="2" borderId="5" xfId="0" applyFont="1" applyFill="1" applyBorder="1" applyAlignment="1">
      <alignment horizontal="left"/>
    </xf>
    <xf numFmtId="0" fontId="2" fillId="2" borderId="2" xfId="0" applyFont="1" applyFill="1" applyBorder="1" applyAlignment="1">
      <alignment horizontal="left" wrapText="1"/>
    </xf>
    <xf numFmtId="0" fontId="2" fillId="2" borderId="6" xfId="0" applyFont="1" applyFill="1" applyBorder="1" applyAlignment="1">
      <alignment horizontal="left" wrapText="1"/>
    </xf>
    <xf numFmtId="0" fontId="1" fillId="2" borderId="5" xfId="0" applyFont="1" applyFill="1" applyBorder="1"/>
    <xf numFmtId="0" fontId="1" fillId="2" borderId="6" xfId="0" applyFont="1" applyFill="1" applyBorder="1"/>
    <xf numFmtId="0" fontId="2" fillId="2" borderId="5" xfId="0" applyFont="1" applyFill="1" applyBorder="1" applyAlignment="1">
      <alignment horizontal="center"/>
    </xf>
    <xf numFmtId="0" fontId="2" fillId="2" borderId="2" xfId="0" quotePrefix="1" applyFont="1" applyFill="1" applyBorder="1"/>
    <xf numFmtId="0" fontId="2" fillId="0" borderId="0" xfId="0" quotePrefix="1" applyFont="1"/>
    <xf numFmtId="0" fontId="2" fillId="2" borderId="14" xfId="0" applyFont="1" applyFill="1" applyBorder="1"/>
    <xf numFmtId="0" fontId="2" fillId="2" borderId="15" xfId="0" applyFont="1" applyFill="1" applyBorder="1"/>
    <xf numFmtId="0" fontId="2" fillId="2" borderId="16" xfId="0" applyFont="1" applyFill="1" applyBorder="1"/>
    <xf numFmtId="0" fontId="4" fillId="0" borderId="0" xfId="0" applyFont="1"/>
    <xf numFmtId="0" fontId="6" fillId="0" borderId="0" xfId="0" applyFont="1"/>
    <xf numFmtId="0" fontId="2" fillId="0" borderId="17" xfId="0" applyFont="1" applyBorder="1"/>
    <xf numFmtId="0" fontId="1" fillId="0" borderId="18" xfId="0" applyFont="1" applyBorder="1" applyAlignment="1">
      <alignment horizontal="center"/>
    </xf>
    <xf numFmtId="0" fontId="1" fillId="0" borderId="18" xfId="0" applyFont="1" applyBorder="1"/>
    <xf numFmtId="0" fontId="2" fillId="3" borderId="19" xfId="0" applyFont="1" applyFill="1" applyBorder="1" applyAlignment="1">
      <alignment horizontal="center"/>
    </xf>
    <xf numFmtId="0" fontId="2" fillId="3" borderId="19" xfId="0" applyFont="1" applyFill="1" applyBorder="1"/>
    <xf numFmtId="164" fontId="2" fillId="3" borderId="19" xfId="0" applyNumberFormat="1" applyFont="1" applyFill="1" applyBorder="1"/>
    <xf numFmtId="0" fontId="1" fillId="0" borderId="0" xfId="0" applyFont="1"/>
    <xf numFmtId="0" fontId="1" fillId="0" borderId="0" xfId="0" applyFont="1" applyAlignment="1">
      <alignment horizontal="center"/>
    </xf>
    <xf numFmtId="1" fontId="2" fillId="0" borderId="0" xfId="0" applyNumberFormat="1" applyFont="1"/>
    <xf numFmtId="0" fontId="2" fillId="0" borderId="0" xfId="0" applyFont="1"/>
    <xf numFmtId="0" fontId="2" fillId="0" borderId="20" xfId="0" applyFont="1" applyBorder="1" applyAlignment="1">
      <alignment horizontal="center"/>
    </xf>
    <xf numFmtId="0" fontId="7" fillId="0" borderId="23" xfId="0" applyFont="1" applyBorder="1"/>
    <xf numFmtId="0" fontId="2" fillId="0" borderId="24" xfId="0" applyFont="1" applyBorder="1"/>
    <xf numFmtId="0" fontId="2" fillId="0" borderId="25" xfId="0" applyFont="1" applyBorder="1"/>
    <xf numFmtId="0" fontId="10" fillId="0" borderId="0" xfId="0" applyFont="1"/>
    <xf numFmtId="165" fontId="2" fillId="0" borderId="22" xfId="0" applyNumberFormat="1" applyFont="1" applyBorder="1" applyAlignment="1">
      <alignment horizontal="center"/>
    </xf>
    <xf numFmtId="165" fontId="2" fillId="0" borderId="18" xfId="0" applyNumberFormat="1" applyFont="1" applyBorder="1" applyAlignment="1">
      <alignment horizontal="center"/>
    </xf>
    <xf numFmtId="1" fontId="2" fillId="0" borderId="18" xfId="0" applyNumberFormat="1" applyFont="1" applyBorder="1" applyAlignment="1">
      <alignment horizontal="center"/>
    </xf>
    <xf numFmtId="0" fontId="2" fillId="0" borderId="18" xfId="0" applyFont="1" applyBorder="1"/>
    <xf numFmtId="165" fontId="2" fillId="0" borderId="18" xfId="0" applyNumberFormat="1" applyFont="1" applyBorder="1"/>
    <xf numFmtId="2" fontId="2" fillId="0" borderId="18" xfId="0" applyNumberFormat="1" applyFont="1" applyBorder="1"/>
    <xf numFmtId="0" fontId="2" fillId="0" borderId="22" xfId="0" applyFont="1" applyBorder="1" applyAlignment="1">
      <alignment horizontal="center"/>
    </xf>
    <xf numFmtId="0" fontId="2" fillId="0" borderId="18" xfId="0" applyFont="1" applyBorder="1" applyAlignment="1">
      <alignment horizontal="center"/>
    </xf>
    <xf numFmtId="165" fontId="2" fillId="0" borderId="31" xfId="0" applyNumberFormat="1" applyFont="1" applyBorder="1" applyAlignment="1">
      <alignment horizontal="center"/>
    </xf>
    <xf numFmtId="165" fontId="2" fillId="0" borderId="32" xfId="0" applyNumberFormat="1" applyFont="1" applyBorder="1" applyAlignment="1">
      <alignment horizontal="center"/>
    </xf>
    <xf numFmtId="2" fontId="2" fillId="0" borderId="32" xfId="0" applyNumberFormat="1" applyFont="1" applyBorder="1"/>
    <xf numFmtId="165" fontId="2" fillId="0" borderId="32" xfId="0" applyNumberFormat="1" applyFont="1" applyBorder="1"/>
    <xf numFmtId="1" fontId="2" fillId="0" borderId="32" xfId="0" applyNumberFormat="1" applyFont="1" applyBorder="1"/>
    <xf numFmtId="1" fontId="2" fillId="0" borderId="18" xfId="0" applyNumberFormat="1" applyFont="1" applyBorder="1"/>
    <xf numFmtId="0" fontId="2" fillId="0" borderId="33" xfId="0" applyFont="1" applyBorder="1"/>
    <xf numFmtId="0" fontId="2" fillId="0" borderId="24" xfId="0" applyFont="1" applyBorder="1" applyAlignment="1">
      <alignment vertical="top" textRotation="90"/>
    </xf>
    <xf numFmtId="0" fontId="14" fillId="0" borderId="0" xfId="0" applyFont="1" applyAlignment="1">
      <alignment horizontal="center"/>
    </xf>
    <xf numFmtId="0" fontId="15" fillId="0" borderId="0" xfId="0" applyFont="1" applyAlignment="1">
      <alignment horizontal="left"/>
    </xf>
    <xf numFmtId="0" fontId="2" fillId="0" borderId="18" xfId="0" applyFont="1" applyBorder="1" applyAlignment="1">
      <alignment vertical="center"/>
    </xf>
    <xf numFmtId="0" fontId="2" fillId="0" borderId="0" xfId="0" applyFont="1" applyAlignment="1">
      <alignment vertical="center"/>
    </xf>
    <xf numFmtId="0" fontId="2" fillId="0" borderId="0" xfId="0" applyFont="1" applyAlignment="1">
      <alignment vertical="top" textRotation="90"/>
    </xf>
    <xf numFmtId="0" fontId="2" fillId="0" borderId="0" xfId="0" applyFont="1" applyAlignment="1">
      <alignment horizontal="left"/>
    </xf>
    <xf numFmtId="0" fontId="16" fillId="0" borderId="0" xfId="0" applyFont="1"/>
    <xf numFmtId="0" fontId="4" fillId="0" borderId="0" xfId="0" applyFont="1" applyAlignment="1">
      <alignment horizontal="center" wrapText="1"/>
    </xf>
    <xf numFmtId="0" fontId="2" fillId="3" borderId="2" xfId="0" applyFont="1" applyFill="1" applyBorder="1"/>
    <xf numFmtId="0" fontId="2" fillId="3" borderId="2" xfId="0" applyFont="1" applyFill="1" applyBorder="1" applyAlignment="1">
      <alignment wrapText="1"/>
    </xf>
    <xf numFmtId="0" fontId="4" fillId="3" borderId="2" xfId="0" applyFont="1" applyFill="1" applyBorder="1"/>
    <xf numFmtId="0" fontId="17" fillId="0" borderId="0" xfId="0" applyFont="1"/>
    <xf numFmtId="0" fontId="2" fillId="7" borderId="41" xfId="0" applyFont="1" applyFill="1" applyBorder="1"/>
    <xf numFmtId="0" fontId="2" fillId="0" borderId="42" xfId="0" applyFont="1" applyBorder="1" applyAlignment="1">
      <alignment horizontal="left" vertical="center"/>
    </xf>
    <xf numFmtId="2" fontId="2" fillId="4" borderId="18" xfId="0" applyNumberFormat="1" applyFont="1" applyFill="1" applyBorder="1" applyAlignment="1">
      <alignment horizontal="center" vertical="center"/>
    </xf>
    <xf numFmtId="0" fontId="2" fillId="3" borderId="18" xfId="0" applyFont="1" applyFill="1" applyBorder="1" applyAlignment="1">
      <alignment horizontal="left" vertical="center" wrapText="1"/>
    </xf>
    <xf numFmtId="0" fontId="2" fillId="3" borderId="18" xfId="0" applyFont="1" applyFill="1" applyBorder="1" applyAlignment="1">
      <alignment horizontal="left" vertical="center"/>
    </xf>
    <xf numFmtId="165" fontId="2" fillId="4" borderId="18" xfId="0" applyNumberFormat="1" applyFont="1" applyFill="1" applyBorder="1" applyAlignment="1">
      <alignment horizontal="center" vertical="center"/>
    </xf>
    <xf numFmtId="0" fontId="2" fillId="3" borderId="43" xfId="0" applyFont="1" applyFill="1" applyBorder="1" applyAlignment="1">
      <alignment horizontal="left" vertical="center"/>
    </xf>
    <xf numFmtId="0" fontId="2" fillId="8" borderId="44" xfId="0" applyFont="1" applyFill="1" applyBorder="1"/>
    <xf numFmtId="0" fontId="1" fillId="0" borderId="28" xfId="0" applyFont="1" applyBorder="1"/>
    <xf numFmtId="0" fontId="2" fillId="0" borderId="0" xfId="0" applyFont="1" applyAlignment="1">
      <alignment wrapText="1"/>
    </xf>
    <xf numFmtId="0" fontId="2" fillId="9" borderId="44" xfId="0" applyFont="1" applyFill="1" applyBorder="1"/>
    <xf numFmtId="0" fontId="2" fillId="10" borderId="44" xfId="0" applyFont="1" applyFill="1" applyBorder="1"/>
    <xf numFmtId="0" fontId="2" fillId="0" borderId="28" xfId="0" applyFont="1" applyBorder="1"/>
    <xf numFmtId="0" fontId="2" fillId="0" borderId="0" xfId="0" applyFont="1" applyAlignment="1">
      <alignment horizontal="center"/>
    </xf>
    <xf numFmtId="0" fontId="2" fillId="3" borderId="44" xfId="0" applyFont="1" applyFill="1" applyBorder="1"/>
    <xf numFmtId="0" fontId="2" fillId="11" borderId="44" xfId="0" applyFont="1" applyFill="1" applyBorder="1"/>
    <xf numFmtId="0" fontId="2" fillId="12" borderId="44" xfId="0" applyFont="1" applyFill="1" applyBorder="1"/>
    <xf numFmtId="0" fontId="2" fillId="6" borderId="44" xfId="0" applyFont="1" applyFill="1" applyBorder="1"/>
    <xf numFmtId="0" fontId="2" fillId="6" borderId="42" xfId="0" applyFont="1" applyFill="1" applyBorder="1" applyAlignment="1">
      <alignment horizontal="left" vertical="center"/>
    </xf>
    <xf numFmtId="0" fontId="2" fillId="3" borderId="18" xfId="0" applyFont="1" applyFill="1" applyBorder="1" applyAlignment="1">
      <alignment horizontal="center" vertical="center"/>
    </xf>
    <xf numFmtId="0" fontId="2" fillId="0" borderId="30" xfId="0" applyFont="1" applyBorder="1" applyAlignment="1">
      <alignment horizontal="center" vertical="center"/>
    </xf>
    <xf numFmtId="0" fontId="2" fillId="6" borderId="45" xfId="0" applyFont="1" applyFill="1" applyBorder="1"/>
    <xf numFmtId="0" fontId="2" fillId="6" borderId="46" xfId="0" applyFont="1" applyFill="1" applyBorder="1" applyAlignment="1">
      <alignment horizontal="left" vertical="center"/>
    </xf>
    <xf numFmtId="0" fontId="2" fillId="3" borderId="47" xfId="0" applyFont="1" applyFill="1" applyBorder="1" applyAlignment="1">
      <alignment horizontal="center" vertical="center"/>
    </xf>
    <xf numFmtId="0" fontId="2" fillId="3" borderId="47" xfId="0" applyFont="1" applyFill="1" applyBorder="1" applyAlignment="1">
      <alignment horizontal="left" vertical="center" wrapText="1"/>
    </xf>
    <xf numFmtId="0" fontId="2" fillId="3" borderId="47" xfId="0" applyFont="1" applyFill="1" applyBorder="1" applyAlignment="1">
      <alignment horizontal="left" vertical="center"/>
    </xf>
    <xf numFmtId="0" fontId="2" fillId="3" borderId="48" xfId="0" applyFont="1" applyFill="1" applyBorder="1" applyAlignment="1">
      <alignment horizontal="left" vertical="center"/>
    </xf>
    <xf numFmtId="0" fontId="2" fillId="3" borderId="5" xfId="0" applyFont="1" applyFill="1" applyBorder="1"/>
    <xf numFmtId="0" fontId="2" fillId="3" borderId="6" xfId="0" applyFont="1" applyFill="1" applyBorder="1"/>
    <xf numFmtId="0" fontId="2" fillId="3" borderId="5" xfId="0" applyFont="1" applyFill="1" applyBorder="1" applyAlignment="1">
      <alignment horizontal="center"/>
    </xf>
    <xf numFmtId="0" fontId="2" fillId="3" borderId="2" xfId="0" applyFont="1" applyFill="1" applyBorder="1" applyAlignment="1">
      <alignment horizontal="center"/>
    </xf>
    <xf numFmtId="0" fontId="2" fillId="3" borderId="6" xfId="0" applyFont="1" applyFill="1" applyBorder="1" applyAlignment="1">
      <alignment horizontal="center"/>
    </xf>
    <xf numFmtId="0" fontId="2" fillId="3" borderId="14" xfId="0" applyFont="1" applyFill="1" applyBorder="1"/>
    <xf numFmtId="0" fontId="2" fillId="3" borderId="15" xfId="0" applyFont="1" applyFill="1" applyBorder="1"/>
    <xf numFmtId="0" fontId="2" fillId="3" borderId="15" xfId="0" applyFont="1" applyFill="1" applyBorder="1" applyAlignment="1">
      <alignment wrapText="1"/>
    </xf>
    <xf numFmtId="0" fontId="2" fillId="3" borderId="54" xfId="0" applyFont="1" applyFill="1" applyBorder="1"/>
    <xf numFmtId="0" fontId="2" fillId="3" borderId="57" xfId="0" applyFont="1" applyFill="1" applyBorder="1"/>
    <xf numFmtId="164" fontId="2" fillId="3" borderId="5" xfId="0" applyNumberFormat="1" applyFont="1" applyFill="1" applyBorder="1"/>
    <xf numFmtId="0" fontId="19" fillId="0" borderId="0" xfId="0" applyFont="1"/>
    <xf numFmtId="0" fontId="1" fillId="4" borderId="18" xfId="0" applyFont="1" applyFill="1" applyBorder="1"/>
    <xf numFmtId="0" fontId="1" fillId="4" borderId="62" xfId="0" applyFont="1" applyFill="1" applyBorder="1"/>
    <xf numFmtId="0" fontId="2" fillId="4" borderId="18" xfId="0" applyFont="1" applyFill="1" applyBorder="1"/>
    <xf numFmtId="0" fontId="20" fillId="4" borderId="18" xfId="0" applyFont="1" applyFill="1" applyBorder="1"/>
    <xf numFmtId="0" fontId="21" fillId="3" borderId="18" xfId="0" applyFont="1" applyFill="1" applyBorder="1" applyAlignment="1">
      <alignment horizontal="center"/>
    </xf>
    <xf numFmtId="0" fontId="22" fillId="3" borderId="18" xfId="0" applyFont="1" applyFill="1" applyBorder="1" applyAlignment="1">
      <alignment horizontal="center"/>
    </xf>
    <xf numFmtId="0" fontId="6" fillId="3" borderId="18" xfId="0" applyFont="1" applyFill="1" applyBorder="1" applyAlignment="1">
      <alignment horizontal="center"/>
    </xf>
    <xf numFmtId="0" fontId="6" fillId="3" borderId="18" xfId="0" applyFont="1" applyFill="1" applyBorder="1"/>
    <xf numFmtId="0" fontId="6" fillId="3" borderId="62" xfId="0" applyFont="1" applyFill="1" applyBorder="1"/>
    <xf numFmtId="0" fontId="23" fillId="3" borderId="18" xfId="0" applyFont="1" applyFill="1" applyBorder="1"/>
    <xf numFmtId="0" fontId="24" fillId="10" borderId="18" xfId="0" applyFont="1" applyFill="1" applyBorder="1" applyAlignment="1">
      <alignment horizontal="center"/>
    </xf>
    <xf numFmtId="0" fontId="2" fillId="13" borderId="18" xfId="0" applyFont="1" applyFill="1" applyBorder="1"/>
    <xf numFmtId="0" fontId="25" fillId="11" borderId="18" xfId="0" applyFont="1" applyFill="1" applyBorder="1"/>
    <xf numFmtId="0" fontId="2" fillId="14" borderId="18" xfId="0" applyFont="1" applyFill="1" applyBorder="1"/>
    <xf numFmtId="0" fontId="2" fillId="15" borderId="18" xfId="0" applyFont="1" applyFill="1" applyBorder="1"/>
    <xf numFmtId="0" fontId="2" fillId="8" borderId="18" xfId="0" applyFont="1" applyFill="1" applyBorder="1"/>
    <xf numFmtId="0" fontId="2" fillId="6" borderId="18" xfId="0" applyFont="1" applyFill="1" applyBorder="1"/>
    <xf numFmtId="0" fontId="2" fillId="2" borderId="18" xfId="0" applyFont="1" applyFill="1" applyBorder="1"/>
    <xf numFmtId="0" fontId="2" fillId="2" borderId="62" xfId="0" applyFont="1" applyFill="1" applyBorder="1"/>
    <xf numFmtId="11" fontId="2" fillId="4" borderId="18" xfId="0" applyNumberFormat="1" applyFont="1" applyFill="1" applyBorder="1"/>
    <xf numFmtId="11" fontId="2" fillId="3" borderId="18" xfId="0" applyNumberFormat="1" applyFont="1" applyFill="1" applyBorder="1"/>
    <xf numFmtId="11" fontId="2" fillId="5" borderId="18" xfId="0" applyNumberFormat="1" applyFont="1" applyFill="1" applyBorder="1"/>
    <xf numFmtId="11" fontId="25" fillId="3" borderId="18" xfId="0" applyNumberFormat="1" applyFont="1" applyFill="1" applyBorder="1" applyAlignment="1">
      <alignment horizontal="right"/>
    </xf>
    <xf numFmtId="11" fontId="2" fillId="3" borderId="62" xfId="0" applyNumberFormat="1" applyFont="1" applyFill="1" applyBorder="1"/>
    <xf numFmtId="11" fontId="2" fillId="0" borderId="0" xfId="0" applyNumberFormat="1" applyFont="1"/>
    <xf numFmtId="0" fontId="2" fillId="4" borderId="18" xfId="0" applyFont="1" applyFill="1" applyBorder="1" applyAlignment="1">
      <alignment horizontal="center"/>
    </xf>
    <xf numFmtId="11" fontId="2" fillId="5" borderId="18" xfId="0" applyNumberFormat="1" applyFont="1" applyFill="1" applyBorder="1" applyAlignment="1">
      <alignment horizontal="center"/>
    </xf>
    <xf numFmtId="11" fontId="25" fillId="5" borderId="18" xfId="0" applyNumberFormat="1" applyFont="1" applyFill="1" applyBorder="1" applyAlignment="1">
      <alignment horizontal="center"/>
    </xf>
    <xf numFmtId="11" fontId="2" fillId="5" borderId="62" xfId="0" applyNumberFormat="1" applyFont="1" applyFill="1" applyBorder="1" applyAlignment="1">
      <alignment horizontal="center"/>
    </xf>
    <xf numFmtId="11" fontId="2" fillId="0" borderId="0" xfId="0" applyNumberFormat="1" applyFont="1" applyAlignment="1">
      <alignment horizontal="center"/>
    </xf>
    <xf numFmtId="11" fontId="2" fillId="16" borderId="18" xfId="0" applyNumberFormat="1" applyFont="1" applyFill="1" applyBorder="1"/>
    <xf numFmtId="0" fontId="2" fillId="6" borderId="2" xfId="0" applyFont="1" applyFill="1" applyBorder="1"/>
    <xf numFmtId="0" fontId="26" fillId="0" borderId="18" xfId="0" applyFont="1" applyBorder="1"/>
    <xf numFmtId="0" fontId="27" fillId="0" borderId="28" xfId="0" applyFont="1" applyBorder="1"/>
    <xf numFmtId="0" fontId="2" fillId="0" borderId="29" xfId="0" applyFont="1" applyBorder="1"/>
    <xf numFmtId="0" fontId="2" fillId="3" borderId="1" xfId="0" applyFont="1" applyFill="1" applyBorder="1"/>
    <xf numFmtId="0" fontId="2" fillId="3" borderId="3" xfId="0" applyFont="1" applyFill="1" applyBorder="1"/>
    <xf numFmtId="0" fontId="2" fillId="3" borderId="4" xfId="0" applyFont="1" applyFill="1" applyBorder="1"/>
    <xf numFmtId="0" fontId="2" fillId="3" borderId="5" xfId="0" applyFont="1" applyFill="1" applyBorder="1" applyAlignment="1">
      <alignment wrapText="1"/>
    </xf>
    <xf numFmtId="0" fontId="2" fillId="3" borderId="6" xfId="0" applyFont="1" applyFill="1" applyBorder="1" applyAlignment="1">
      <alignment wrapText="1"/>
    </xf>
    <xf numFmtId="0" fontId="28" fillId="3" borderId="2" xfId="0" applyFont="1" applyFill="1" applyBorder="1"/>
    <xf numFmtId="0" fontId="2" fillId="3" borderId="14" xfId="0" applyFont="1" applyFill="1" applyBorder="1" applyAlignment="1">
      <alignment wrapText="1"/>
    </xf>
    <xf numFmtId="0" fontId="2" fillId="3" borderId="16" xfId="0" applyFont="1" applyFill="1" applyBorder="1" applyAlignment="1">
      <alignment wrapText="1"/>
    </xf>
    <xf numFmtId="0" fontId="2" fillId="3" borderId="16" xfId="0" applyFont="1" applyFill="1" applyBorder="1"/>
    <xf numFmtId="0" fontId="28" fillId="0" borderId="28" xfId="0" applyFont="1" applyBorder="1"/>
    <xf numFmtId="0" fontId="2" fillId="0" borderId="29" xfId="0" applyFont="1" applyBorder="1" applyAlignment="1">
      <alignment wrapText="1"/>
    </xf>
    <xf numFmtId="0" fontId="2" fillId="0" borderId="28" xfId="0" applyFont="1" applyBorder="1" applyAlignment="1">
      <alignment wrapText="1"/>
    </xf>
    <xf numFmtId="49" fontId="2" fillId="3" borderId="2" xfId="0" applyNumberFormat="1" applyFont="1" applyFill="1" applyBorder="1"/>
    <xf numFmtId="0" fontId="28" fillId="0" borderId="0" xfId="0" applyFont="1"/>
    <xf numFmtId="0" fontId="28" fillId="0" borderId="29" xfId="0" applyFont="1" applyBorder="1"/>
    <xf numFmtId="0" fontId="28" fillId="0" borderId="28" xfId="0" applyFont="1" applyBorder="1" applyAlignment="1">
      <alignment horizontal="left"/>
    </xf>
    <xf numFmtId="0" fontId="28" fillId="0" borderId="0" xfId="0" applyFont="1" applyAlignment="1">
      <alignment wrapText="1"/>
    </xf>
    <xf numFmtId="0" fontId="28" fillId="0" borderId="29" xfId="0" applyFont="1" applyBorder="1" applyAlignment="1">
      <alignment wrapText="1"/>
    </xf>
    <xf numFmtId="0" fontId="28" fillId="0" borderId="28" xfId="0" applyFont="1" applyBorder="1" applyAlignment="1">
      <alignment horizontal="right" wrapText="1"/>
    </xf>
    <xf numFmtId="0" fontId="28" fillId="0" borderId="0" xfId="0" applyFont="1" applyAlignment="1">
      <alignment horizontal="right" wrapText="1"/>
    </xf>
    <xf numFmtId="0" fontId="28" fillId="0" borderId="0" xfId="0" applyFont="1" applyAlignment="1">
      <alignment horizontal="right"/>
    </xf>
    <xf numFmtId="0" fontId="31" fillId="0" borderId="0" xfId="0" applyFont="1"/>
    <xf numFmtId="0" fontId="28" fillId="0" borderId="0" xfId="0" applyFont="1" applyAlignment="1">
      <alignment horizontal="center" wrapText="1"/>
    </xf>
    <xf numFmtId="0" fontId="28" fillId="0" borderId="28" xfId="0" applyFont="1" applyBorder="1" applyAlignment="1">
      <alignment wrapText="1"/>
    </xf>
    <xf numFmtId="11" fontId="30" fillId="0" borderId="0" xfId="0" applyNumberFormat="1" applyFont="1"/>
    <xf numFmtId="165" fontId="28" fillId="0" borderId="18" xfId="0" applyNumberFormat="1" applyFont="1" applyBorder="1"/>
    <xf numFmtId="0" fontId="28" fillId="0" borderId="29" xfId="0" applyFont="1" applyBorder="1" applyAlignment="1">
      <alignment horizontal="right"/>
    </xf>
    <xf numFmtId="0" fontId="28" fillId="0" borderId="28" xfId="0" applyFont="1" applyBorder="1" applyAlignment="1">
      <alignment horizontal="right"/>
    </xf>
    <xf numFmtId="0" fontId="29" fillId="0" borderId="28" xfId="0" applyFont="1" applyBorder="1" applyAlignment="1">
      <alignment horizontal="right"/>
    </xf>
    <xf numFmtId="0" fontId="28" fillId="0" borderId="0" xfId="0" applyFont="1" applyAlignment="1">
      <alignment horizontal="center"/>
    </xf>
    <xf numFmtId="0" fontId="28" fillId="0" borderId="30" xfId="0" applyFont="1" applyBorder="1" applyAlignment="1">
      <alignment wrapText="1"/>
    </xf>
    <xf numFmtId="0" fontId="9" fillId="0" borderId="17" xfId="0" applyFont="1" applyBorder="1" applyAlignment="1">
      <alignment horizontal="right"/>
    </xf>
    <xf numFmtId="0" fontId="28" fillId="0" borderId="17" xfId="0" applyFont="1" applyBorder="1"/>
    <xf numFmtId="0" fontId="28" fillId="0" borderId="17" xfId="0" applyFont="1" applyBorder="1" applyAlignment="1">
      <alignment wrapText="1"/>
    </xf>
    <xf numFmtId="0" fontId="28" fillId="0" borderId="31" xfId="0" applyFont="1" applyBorder="1" applyAlignment="1">
      <alignment wrapText="1"/>
    </xf>
    <xf numFmtId="0" fontId="28" fillId="0" borderId="30" xfId="0" applyFont="1" applyBorder="1"/>
    <xf numFmtId="0" fontId="28" fillId="0" borderId="31" xfId="0" applyFont="1" applyBorder="1"/>
    <xf numFmtId="0" fontId="29" fillId="0" borderId="28" xfId="0" applyFont="1" applyBorder="1"/>
    <xf numFmtId="0" fontId="2" fillId="0" borderId="18" xfId="0" applyFont="1" applyBorder="1" applyAlignment="1">
      <alignment horizontal="center" vertical="center" wrapText="1"/>
    </xf>
    <xf numFmtId="0" fontId="32" fillId="0" borderId="20" xfId="0" applyFont="1" applyBorder="1" applyAlignment="1">
      <alignment horizontal="left" vertical="center" wrapText="1"/>
    </xf>
    <xf numFmtId="0" fontId="32" fillId="0" borderId="18" xfId="0" applyFont="1" applyBorder="1" applyAlignment="1">
      <alignment horizontal="left" vertical="center" wrapText="1"/>
    </xf>
    <xf numFmtId="0" fontId="33" fillId="0" borderId="0" xfId="0" applyFont="1"/>
    <xf numFmtId="0" fontId="26" fillId="0" borderId="0" xfId="0" applyFont="1"/>
    <xf numFmtId="0" fontId="34" fillId="0" borderId="0" xfId="0" applyFont="1"/>
    <xf numFmtId="165" fontId="28" fillId="3" borderId="62" xfId="0" applyNumberFormat="1" applyFont="1" applyFill="1" applyBorder="1"/>
    <xf numFmtId="165" fontId="28" fillId="3" borderId="18" xfId="0" applyNumberFormat="1" applyFont="1" applyFill="1" applyBorder="1"/>
    <xf numFmtId="0" fontId="26" fillId="2" borderId="2" xfId="0" applyFont="1" applyFill="1" applyBorder="1"/>
    <xf numFmtId="0" fontId="28" fillId="3" borderId="1" xfId="0" applyFont="1" applyFill="1" applyBorder="1"/>
    <xf numFmtId="0" fontId="33" fillId="0" borderId="0" xfId="0" applyFont="1" applyAlignment="1">
      <alignment horizontal="center" vertical="center" wrapText="1"/>
    </xf>
    <xf numFmtId="165" fontId="28" fillId="3" borderId="14" xfId="0" applyNumberFormat="1" applyFont="1" applyFill="1" applyBorder="1"/>
    <xf numFmtId="165" fontId="28" fillId="3" borderId="33" xfId="0" applyNumberFormat="1" applyFont="1" applyFill="1" applyBorder="1"/>
    <xf numFmtId="2" fontId="26" fillId="2" borderId="2" xfId="0" applyNumberFormat="1" applyFont="1" applyFill="1" applyBorder="1"/>
    <xf numFmtId="0" fontId="28" fillId="3" borderId="5" xfId="0" applyFont="1" applyFill="1" applyBorder="1"/>
    <xf numFmtId="2" fontId="26" fillId="0" borderId="0" xfId="0" applyNumberFormat="1" applyFont="1"/>
    <xf numFmtId="165" fontId="26" fillId="0" borderId="0" xfId="0" applyNumberFormat="1" applyFont="1"/>
    <xf numFmtId="0" fontId="2" fillId="0" borderId="31" xfId="0" applyFont="1" applyBorder="1"/>
    <xf numFmtId="1" fontId="31" fillId="0" borderId="24" xfId="0" applyNumberFormat="1" applyFont="1" applyBorder="1"/>
    <xf numFmtId="1" fontId="35" fillId="0" borderId="24" xfId="0" applyNumberFormat="1" applyFont="1" applyBorder="1"/>
    <xf numFmtId="0" fontId="34" fillId="0" borderId="0" xfId="0" applyFont="1" applyAlignment="1">
      <alignment horizontal="center" vertical="center" wrapText="1"/>
    </xf>
    <xf numFmtId="0" fontId="36" fillId="0" borderId="0" xfId="0" applyFont="1" applyAlignment="1">
      <alignment horizontal="center" vertical="center" wrapText="1"/>
    </xf>
    <xf numFmtId="1" fontId="30" fillId="0" borderId="24" xfId="0" applyNumberFormat="1" applyFont="1" applyBorder="1"/>
    <xf numFmtId="0" fontId="35" fillId="3" borderId="2" xfId="0" applyFont="1" applyFill="1" applyBorder="1"/>
    <xf numFmtId="0" fontId="37" fillId="3" borderId="2" xfId="0" applyFont="1" applyFill="1" applyBorder="1"/>
    <xf numFmtId="0" fontId="28" fillId="0" borderId="23" xfId="0" applyFont="1" applyBorder="1"/>
    <xf numFmtId="0" fontId="2" fillId="0" borderId="24" xfId="0" applyFont="1" applyBorder="1" applyAlignment="1">
      <alignment wrapText="1"/>
    </xf>
    <xf numFmtId="0" fontId="2" fillId="0" borderId="25" xfId="0" applyFont="1" applyBorder="1" applyAlignment="1">
      <alignment wrapText="1"/>
    </xf>
    <xf numFmtId="0" fontId="38" fillId="0" borderId="28" xfId="0" applyFont="1" applyBorder="1"/>
    <xf numFmtId="0" fontId="39" fillId="6" borderId="2" xfId="0" applyFont="1" applyFill="1" applyBorder="1"/>
    <xf numFmtId="0" fontId="35" fillId="0" borderId="30" xfId="0" applyFont="1" applyBorder="1"/>
    <xf numFmtId="0" fontId="28" fillId="0" borderId="24" xfId="0" applyFont="1" applyBorder="1" applyAlignment="1">
      <alignment horizontal="center"/>
    </xf>
    <xf numFmtId="0" fontId="40" fillId="0" borderId="0" xfId="0" applyFont="1" applyAlignment="1">
      <alignment horizontal="center" vertical="center" wrapText="1"/>
    </xf>
    <xf numFmtId="0" fontId="41" fillId="0" borderId="0" xfId="0" applyFont="1"/>
    <xf numFmtId="0" fontId="2" fillId="3" borderId="18" xfId="0" applyFont="1" applyFill="1" applyBorder="1"/>
    <xf numFmtId="2" fontId="2" fillId="0" borderId="0" xfId="0" applyNumberFormat="1" applyFont="1"/>
    <xf numFmtId="165" fontId="2" fillId="4" borderId="18" xfId="0" applyNumberFormat="1" applyFont="1" applyFill="1" applyBorder="1"/>
    <xf numFmtId="0" fontId="2" fillId="4" borderId="18" xfId="0" applyFont="1" applyFill="1" applyBorder="1" applyAlignment="1">
      <alignment horizontal="right"/>
    </xf>
    <xf numFmtId="0" fontId="2" fillId="3" borderId="18" xfId="0" applyFont="1" applyFill="1" applyBorder="1" applyAlignment="1">
      <alignment horizontal="right"/>
    </xf>
    <xf numFmtId="2" fontId="2" fillId="3" borderId="18" xfId="0" applyNumberFormat="1" applyFont="1" applyFill="1" applyBorder="1"/>
    <xf numFmtId="0" fontId="42" fillId="0" borderId="0" xfId="0" applyFont="1"/>
    <xf numFmtId="1" fontId="2" fillId="0" borderId="0" xfId="0" applyNumberFormat="1" applyFont="1" applyAlignment="1">
      <alignment horizontal="center"/>
    </xf>
    <xf numFmtId="0" fontId="43" fillId="3" borderId="5" xfId="0" applyFont="1" applyFill="1" applyBorder="1"/>
    <xf numFmtId="0" fontId="2" fillId="3" borderId="62" xfId="0" applyFont="1" applyFill="1" applyBorder="1"/>
    <xf numFmtId="0" fontId="2" fillId="0" borderId="26" xfId="0" applyFont="1" applyBorder="1"/>
    <xf numFmtId="0" fontId="2" fillId="0" borderId="0" xfId="0" applyFont="1" applyAlignment="1">
      <alignment horizontal="right"/>
    </xf>
    <xf numFmtId="0" fontId="2" fillId="4" borderId="62" xfId="0" applyFont="1" applyFill="1" applyBorder="1" applyAlignment="1">
      <alignment horizontal="right"/>
    </xf>
    <xf numFmtId="0" fontId="2" fillId="0" borderId="27" xfId="0" applyFont="1" applyBorder="1"/>
    <xf numFmtId="11" fontId="2" fillId="0" borderId="27" xfId="0" applyNumberFormat="1" applyFont="1" applyBorder="1"/>
    <xf numFmtId="167" fontId="2" fillId="0" borderId="0" xfId="0" applyNumberFormat="1" applyFont="1"/>
    <xf numFmtId="0" fontId="44" fillId="0" borderId="18" xfId="0" applyFont="1" applyBorder="1"/>
    <xf numFmtId="2" fontId="2" fillId="4" borderId="18" xfId="0" applyNumberFormat="1" applyFont="1" applyFill="1" applyBorder="1"/>
    <xf numFmtId="0" fontId="2" fillId="5" borderId="69" xfId="0" applyFont="1" applyFill="1" applyBorder="1"/>
    <xf numFmtId="0" fontId="2" fillId="3" borderId="69" xfId="0" applyFont="1" applyFill="1" applyBorder="1"/>
    <xf numFmtId="0" fontId="2" fillId="0" borderId="32" xfId="0" applyFont="1" applyBorder="1"/>
    <xf numFmtId="11" fontId="2" fillId="4" borderId="18" xfId="0" applyNumberFormat="1" applyFont="1" applyFill="1" applyBorder="1" applyAlignment="1">
      <alignment horizontal="right"/>
    </xf>
    <xf numFmtId="165" fontId="2" fillId="0" borderId="0" xfId="0" applyNumberFormat="1" applyFont="1"/>
    <xf numFmtId="0" fontId="45" fillId="3" borderId="1" xfId="0" applyFont="1" applyFill="1" applyBorder="1"/>
    <xf numFmtId="0" fontId="46" fillId="3" borderId="5" xfId="0" applyFont="1" applyFill="1" applyBorder="1"/>
    <xf numFmtId="0" fontId="1" fillId="0" borderId="21" xfId="0" applyFont="1" applyBorder="1"/>
    <xf numFmtId="0" fontId="1" fillId="0" borderId="18" xfId="0" applyFont="1" applyBorder="1" applyAlignment="1">
      <alignment wrapText="1"/>
    </xf>
    <xf numFmtId="0" fontId="1" fillId="0" borderId="22" xfId="0" applyFont="1" applyBorder="1" applyAlignment="1">
      <alignment wrapText="1"/>
    </xf>
    <xf numFmtId="11" fontId="47" fillId="4" borderId="18" xfId="0" applyNumberFormat="1" applyFont="1" applyFill="1" applyBorder="1"/>
    <xf numFmtId="0" fontId="2" fillId="0" borderId="20" xfId="0" applyFont="1" applyBorder="1"/>
    <xf numFmtId="0" fontId="2" fillId="0" borderId="22" xfId="0" applyFont="1" applyBorder="1" applyAlignment="1">
      <alignment horizontal="right"/>
    </xf>
    <xf numFmtId="0" fontId="27" fillId="0" borderId="28" xfId="0" applyFont="1" applyBorder="1" applyAlignment="1">
      <alignment horizontal="center"/>
    </xf>
    <xf numFmtId="0" fontId="27" fillId="0" borderId="0" xfId="0" applyFont="1" applyAlignment="1">
      <alignment horizontal="center"/>
    </xf>
    <xf numFmtId="0" fontId="27" fillId="0" borderId="29" xfId="0" applyFont="1" applyBorder="1" applyAlignment="1">
      <alignment horizontal="center"/>
    </xf>
    <xf numFmtId="0" fontId="1" fillId="0" borderId="28" xfId="0" applyFont="1" applyBorder="1" applyAlignment="1">
      <alignment vertical="top" wrapText="1"/>
    </xf>
    <xf numFmtId="0" fontId="1" fillId="0" borderId="0" xfId="0" applyFont="1" applyAlignment="1">
      <alignment vertical="top" wrapText="1"/>
    </xf>
    <xf numFmtId="0" fontId="1" fillId="0" borderId="29" xfId="0" applyFont="1" applyBorder="1" applyAlignment="1">
      <alignment vertical="top" wrapText="1"/>
    </xf>
    <xf numFmtId="0" fontId="2" fillId="0" borderId="30" xfId="0" applyFont="1" applyBorder="1"/>
    <xf numFmtId="165" fontId="2" fillId="0" borderId="27" xfId="0" applyNumberFormat="1" applyFont="1" applyBorder="1"/>
    <xf numFmtId="11" fontId="27" fillId="0" borderId="0" xfId="0" applyNumberFormat="1" applyFont="1"/>
    <xf numFmtId="0" fontId="27" fillId="0" borderId="0" xfId="0" applyFont="1"/>
    <xf numFmtId="0" fontId="48" fillId="3" borderId="1" xfId="0" applyFont="1" applyFill="1" applyBorder="1"/>
    <xf numFmtId="0" fontId="6" fillId="3" borderId="3" xfId="0" applyFont="1" applyFill="1" applyBorder="1"/>
    <xf numFmtId="0" fontId="6" fillId="3" borderId="2" xfId="0" applyFont="1" applyFill="1" applyBorder="1"/>
    <xf numFmtId="0" fontId="1" fillId="0" borderId="0" xfId="0" applyFont="1" applyAlignment="1">
      <alignment vertical="center"/>
    </xf>
    <xf numFmtId="0" fontId="2" fillId="4" borderId="18" xfId="0" applyFont="1" applyFill="1" applyBorder="1" applyAlignment="1">
      <alignment vertical="center"/>
    </xf>
    <xf numFmtId="0" fontId="2" fillId="0" borderId="27" xfId="0" applyFont="1" applyBorder="1" applyAlignment="1">
      <alignment vertical="center"/>
    </xf>
    <xf numFmtId="0" fontId="2" fillId="0" borderId="1" xfId="0" applyFont="1" applyBorder="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0" xfId="0" applyFont="1" applyAlignment="1">
      <alignment horizontal="right" vertical="center"/>
    </xf>
    <xf numFmtId="0" fontId="2" fillId="0" borderId="0" xfId="0" applyFont="1" applyAlignment="1">
      <alignment horizontal="left" vertical="center"/>
    </xf>
    <xf numFmtId="0" fontId="2" fillId="0" borderId="26" xfId="0" applyFont="1" applyBorder="1" applyAlignment="1">
      <alignment vertical="center"/>
    </xf>
    <xf numFmtId="0" fontId="2" fillId="0" borderId="23" xfId="0" applyFont="1" applyBorder="1" applyAlignment="1">
      <alignment vertical="center"/>
    </xf>
    <xf numFmtId="0" fontId="2" fillId="0" borderId="20" xfId="0" applyFont="1" applyBorder="1" applyAlignment="1">
      <alignment vertical="center"/>
    </xf>
    <xf numFmtId="0" fontId="2" fillId="0" borderId="21" xfId="0" applyFont="1" applyBorder="1" applyAlignment="1">
      <alignment horizontal="center" vertical="center"/>
    </xf>
    <xf numFmtId="0" fontId="2" fillId="0" borderId="22" xfId="0" applyFont="1" applyBorder="1" applyAlignment="1">
      <alignment vertical="center"/>
    </xf>
    <xf numFmtId="0" fontId="2" fillId="3" borderId="18" xfId="0" applyFont="1" applyFill="1" applyBorder="1" applyAlignment="1">
      <alignment vertical="center"/>
    </xf>
    <xf numFmtId="0" fontId="2" fillId="4" borderId="62" xfId="0" applyFont="1" applyFill="1" applyBorder="1" applyAlignment="1">
      <alignment horizontal="right"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28" xfId="0" applyFont="1" applyBorder="1" applyAlignment="1">
      <alignment vertical="center"/>
    </xf>
    <xf numFmtId="0" fontId="2" fillId="0" borderId="24" xfId="0" applyFont="1" applyBorder="1" applyAlignment="1">
      <alignment vertical="center"/>
    </xf>
    <xf numFmtId="0" fontId="2" fillId="0" borderId="25" xfId="0" applyFont="1" applyBorder="1" applyAlignment="1">
      <alignment vertical="center"/>
    </xf>
    <xf numFmtId="11" fontId="2" fillId="4" borderId="18" xfId="0" applyNumberFormat="1" applyFont="1" applyFill="1" applyBorder="1" applyAlignment="1">
      <alignment vertical="center"/>
    </xf>
    <xf numFmtId="11" fontId="2" fillId="0" borderId="0" xfId="0" applyNumberFormat="1" applyFont="1" applyAlignment="1">
      <alignment vertical="center"/>
    </xf>
    <xf numFmtId="11" fontId="49" fillId="4" borderId="18" xfId="0" applyNumberFormat="1" applyFont="1" applyFill="1" applyBorder="1" applyAlignment="1">
      <alignment vertical="center"/>
    </xf>
    <xf numFmtId="11" fontId="2" fillId="0" borderId="27" xfId="0" applyNumberFormat="1" applyFont="1" applyBorder="1" applyAlignment="1">
      <alignment vertical="center"/>
    </xf>
    <xf numFmtId="0" fontId="2" fillId="0" borderId="29" xfId="0" applyFont="1" applyBorder="1" applyAlignment="1">
      <alignment vertical="center"/>
    </xf>
    <xf numFmtId="0" fontId="2" fillId="0" borderId="5" xfId="0" applyFont="1" applyBorder="1"/>
    <xf numFmtId="0" fontId="2" fillId="0" borderId="6" xfId="0" applyFont="1" applyBorder="1"/>
    <xf numFmtId="0" fontId="2" fillId="0" borderId="27" xfId="0" applyFont="1" applyBorder="1" applyAlignment="1">
      <alignment horizontal="center"/>
    </xf>
    <xf numFmtId="0" fontId="2" fillId="0" borderId="21" xfId="0" applyFont="1" applyBorder="1" applyAlignment="1">
      <alignment horizontal="center"/>
    </xf>
    <xf numFmtId="0" fontId="2" fillId="0" borderId="22" xfId="0" applyFont="1" applyBorder="1"/>
    <xf numFmtId="11" fontId="2" fillId="4" borderId="54" xfId="0" applyNumberFormat="1" applyFont="1" applyFill="1" applyBorder="1"/>
    <xf numFmtId="0" fontId="2" fillId="0" borderId="14" xfId="0" applyFont="1" applyBorder="1"/>
    <xf numFmtId="0" fontId="2" fillId="0" borderId="15" xfId="0" applyFont="1" applyBorder="1"/>
    <xf numFmtId="11" fontId="2" fillId="0" borderId="15" xfId="0" applyNumberFormat="1" applyFont="1" applyBorder="1"/>
    <xf numFmtId="0" fontId="2" fillId="0" borderId="16" xfId="0" applyFont="1" applyBorder="1"/>
    <xf numFmtId="11" fontId="2" fillId="5" borderId="18" xfId="0" applyNumberFormat="1" applyFont="1" applyFill="1" applyBorder="1" applyAlignment="1">
      <alignment vertical="center"/>
    </xf>
    <xf numFmtId="0" fontId="2" fillId="0" borderId="32" xfId="0" applyFont="1" applyBorder="1" applyAlignment="1">
      <alignment vertical="center"/>
    </xf>
    <xf numFmtId="0" fontId="2" fillId="0" borderId="30" xfId="0" applyFont="1" applyBorder="1" applyAlignment="1">
      <alignment vertical="center"/>
    </xf>
    <xf numFmtId="167" fontId="2" fillId="0" borderId="0" xfId="0" applyNumberFormat="1" applyFont="1" applyAlignment="1">
      <alignment vertical="center"/>
    </xf>
    <xf numFmtId="0" fontId="2" fillId="4" borderId="33" xfId="0" applyFont="1" applyFill="1" applyBorder="1" applyAlignment="1">
      <alignment vertical="center"/>
    </xf>
    <xf numFmtId="0" fontId="4" fillId="0" borderId="0" xfId="0" applyFont="1" applyAlignment="1">
      <alignment vertical="center" wrapText="1"/>
    </xf>
    <xf numFmtId="0" fontId="2" fillId="5" borderId="69" xfId="0" applyFont="1" applyFill="1" applyBorder="1" applyAlignment="1">
      <alignment vertical="center"/>
    </xf>
    <xf numFmtId="0" fontId="2" fillId="3" borderId="69" xfId="0" applyFont="1" applyFill="1" applyBorder="1" applyAlignment="1">
      <alignment vertical="center"/>
    </xf>
    <xf numFmtId="0" fontId="1" fillId="0" borderId="0" xfId="0" applyFont="1" applyAlignment="1">
      <alignment horizontal="center" vertical="center"/>
    </xf>
    <xf numFmtId="11" fontId="2" fillId="4" borderId="18" xfId="0" applyNumberFormat="1" applyFont="1" applyFill="1" applyBorder="1" applyAlignment="1">
      <alignment horizontal="center"/>
    </xf>
    <xf numFmtId="165" fontId="2" fillId="0" borderId="18" xfId="0" applyNumberFormat="1" applyFont="1" applyBorder="1" applyAlignment="1">
      <alignment horizontal="right"/>
    </xf>
    <xf numFmtId="2" fontId="2" fillId="3" borderId="70" xfId="0" applyNumberFormat="1" applyFont="1" applyFill="1" applyBorder="1"/>
    <xf numFmtId="0" fontId="2" fillId="0" borderId="31" xfId="0" applyFont="1" applyBorder="1" applyAlignment="1">
      <alignment horizontal="right" vertical="center"/>
    </xf>
    <xf numFmtId="0" fontId="1" fillId="2" borderId="2" xfId="0" applyFont="1" applyFill="1" applyBorder="1" applyAlignment="1">
      <alignment horizontal="center"/>
    </xf>
    <xf numFmtId="0" fontId="2" fillId="2" borderId="2" xfId="0" applyFont="1" applyFill="1" applyBorder="1" applyAlignment="1">
      <alignment horizontal="right"/>
    </xf>
    <xf numFmtId="11" fontId="2" fillId="2" borderId="2" xfId="0" applyNumberFormat="1" applyFont="1" applyFill="1" applyBorder="1"/>
    <xf numFmtId="167" fontId="2" fillId="2" borderId="2" xfId="0" applyNumberFormat="1" applyFont="1" applyFill="1" applyBorder="1"/>
    <xf numFmtId="0" fontId="2" fillId="3" borderId="18" xfId="0" applyFont="1" applyFill="1" applyBorder="1" applyAlignment="1">
      <alignment horizontal="center"/>
    </xf>
    <xf numFmtId="1" fontId="4" fillId="0" borderId="0" xfId="0" applyNumberFormat="1" applyFont="1"/>
    <xf numFmtId="0" fontId="2" fillId="5" borderId="18" xfId="0" applyFont="1" applyFill="1" applyBorder="1"/>
    <xf numFmtId="0" fontId="1" fillId="2" borderId="2" xfId="0" applyFont="1" applyFill="1" applyBorder="1" applyAlignment="1">
      <alignment horizontal="right"/>
    </xf>
    <xf numFmtId="0" fontId="2" fillId="5" borderId="18" xfId="0" applyFont="1" applyFill="1" applyBorder="1" applyAlignment="1">
      <alignment horizontal="center"/>
    </xf>
    <xf numFmtId="168" fontId="2" fillId="0" borderId="0" xfId="0" applyNumberFormat="1" applyFont="1"/>
    <xf numFmtId="0" fontId="1" fillId="0" borderId="21" xfId="0" applyFont="1" applyBorder="1" applyAlignment="1">
      <alignment wrapText="1"/>
    </xf>
    <xf numFmtId="0" fontId="7" fillId="0" borderId="0" xfId="0" applyFont="1"/>
    <xf numFmtId="0" fontId="2" fillId="4" borderId="69" xfId="0" applyFont="1" applyFill="1" applyBorder="1"/>
    <xf numFmtId="11" fontId="50" fillId="4" borderId="62" xfId="0" applyNumberFormat="1" applyFont="1" applyFill="1" applyBorder="1"/>
    <xf numFmtId="11" fontId="2" fillId="4" borderId="62" xfId="0" applyNumberFormat="1" applyFont="1" applyFill="1" applyBorder="1"/>
    <xf numFmtId="0" fontId="2" fillId="5" borderId="18" xfId="0" applyFont="1" applyFill="1" applyBorder="1" applyAlignment="1">
      <alignment horizontal="right"/>
    </xf>
    <xf numFmtId="0" fontId="2" fillId="0" borderId="21" xfId="0" applyFont="1" applyBorder="1" applyAlignment="1">
      <alignment horizontal="right"/>
    </xf>
    <xf numFmtId="0" fontId="27" fillId="0" borderId="23" xfId="0" applyFont="1" applyBorder="1" applyAlignment="1">
      <alignment horizontal="center"/>
    </xf>
    <xf numFmtId="0" fontId="27" fillId="0" borderId="24" xfId="0" applyFont="1" applyBorder="1" applyAlignment="1">
      <alignment horizontal="center"/>
    </xf>
    <xf numFmtId="11" fontId="7" fillId="0" borderId="0" xfId="0" applyNumberFormat="1" applyFont="1"/>
    <xf numFmtId="11" fontId="2" fillId="17" borderId="18" xfId="0" applyNumberFormat="1" applyFont="1" applyFill="1" applyBorder="1" applyAlignment="1">
      <alignment horizontal="right"/>
    </xf>
    <xf numFmtId="0" fontId="2" fillId="4" borderId="54" xfId="0" applyFont="1" applyFill="1" applyBorder="1"/>
    <xf numFmtId="0" fontId="2" fillId="0" borderId="71" xfId="0" applyFont="1" applyBorder="1"/>
    <xf numFmtId="0" fontId="2" fillId="0" borderId="72" xfId="0" applyFont="1" applyBorder="1"/>
    <xf numFmtId="2" fontId="7" fillId="4" borderId="73" xfId="0" applyNumberFormat="1" applyFont="1" applyFill="1" applyBorder="1"/>
    <xf numFmtId="0" fontId="2" fillId="0" borderId="74" xfId="0" applyFont="1" applyBorder="1"/>
    <xf numFmtId="0" fontId="2" fillId="0" borderId="75" xfId="0" applyFont="1" applyBorder="1"/>
    <xf numFmtId="169" fontId="7" fillId="4" borderId="18" xfId="0" applyNumberFormat="1" applyFont="1" applyFill="1" applyBorder="1"/>
    <xf numFmtId="0" fontId="2" fillId="0" borderId="38" xfId="0" applyFont="1" applyBorder="1"/>
    <xf numFmtId="0" fontId="2" fillId="0" borderId="76" xfId="0" applyFont="1" applyBorder="1"/>
    <xf numFmtId="0" fontId="2" fillId="0" borderId="77" xfId="0" applyFont="1" applyBorder="1"/>
    <xf numFmtId="11" fontId="7" fillId="4" borderId="57" xfId="0" applyNumberFormat="1" applyFont="1" applyFill="1" applyBorder="1"/>
    <xf numFmtId="0" fontId="2" fillId="0" borderId="48" xfId="0" applyFont="1" applyBorder="1"/>
    <xf numFmtId="170" fontId="2" fillId="3" borderId="2" xfId="0" applyNumberFormat="1" applyFont="1" applyFill="1" applyBorder="1"/>
    <xf numFmtId="0" fontId="2" fillId="6" borderId="5" xfId="0" applyFont="1" applyFill="1" applyBorder="1"/>
    <xf numFmtId="0" fontId="4" fillId="3" borderId="5" xfId="0" applyFont="1" applyFill="1" applyBorder="1"/>
    <xf numFmtId="0" fontId="2" fillId="2" borderId="1" xfId="0" applyFont="1" applyFill="1" applyBorder="1"/>
    <xf numFmtId="0" fontId="51" fillId="2" borderId="2" xfId="0" applyFont="1" applyFill="1" applyBorder="1" applyAlignment="1">
      <alignment horizontal="left"/>
    </xf>
    <xf numFmtId="0" fontId="1" fillId="2" borderId="2" xfId="0" applyFont="1" applyFill="1" applyBorder="1" applyAlignment="1">
      <alignment horizontal="left"/>
    </xf>
    <xf numFmtId="0" fontId="1" fillId="2" borderId="6" xfId="0" applyFont="1" applyFill="1" applyBorder="1" applyAlignment="1">
      <alignment horizontal="left"/>
    </xf>
    <xf numFmtId="0" fontId="1" fillId="3" borderId="2" xfId="0" quotePrefix="1" applyFont="1" applyFill="1" applyBorder="1"/>
    <xf numFmtId="0" fontId="1" fillId="3" borderId="2" xfId="0" applyFont="1" applyFill="1" applyBorder="1"/>
    <xf numFmtId="0" fontId="2" fillId="0" borderId="21" xfId="0" applyFont="1" applyBorder="1"/>
    <xf numFmtId="0" fontId="2" fillId="17" borderId="18" xfId="0" applyFont="1" applyFill="1" applyBorder="1"/>
    <xf numFmtId="0" fontId="2" fillId="2" borderId="14" xfId="0" applyFont="1" applyFill="1" applyBorder="1" applyAlignment="1">
      <alignment horizontal="left"/>
    </xf>
    <xf numFmtId="0" fontId="2" fillId="2" borderId="15" xfId="0" applyFont="1" applyFill="1" applyBorder="1" applyAlignment="1">
      <alignment horizontal="left"/>
    </xf>
    <xf numFmtId="0" fontId="2" fillId="2" borderId="16" xfId="0" applyFont="1" applyFill="1" applyBorder="1" applyAlignment="1">
      <alignment horizontal="left"/>
    </xf>
    <xf numFmtId="0" fontId="2" fillId="2" borderId="6" xfId="0" applyFont="1" applyFill="1" applyBorder="1" applyAlignment="1">
      <alignment horizontal="left"/>
    </xf>
    <xf numFmtId="11" fontId="2" fillId="17" borderId="69" xfId="0" applyNumberFormat="1" applyFont="1" applyFill="1" applyBorder="1"/>
    <xf numFmtId="0" fontId="2" fillId="2" borderId="1" xfId="0" applyFont="1" applyFill="1" applyBorder="1" applyAlignment="1">
      <alignment horizontal="left"/>
    </xf>
    <xf numFmtId="0" fontId="2" fillId="2" borderId="3" xfId="0" applyFont="1" applyFill="1" applyBorder="1" applyAlignment="1">
      <alignment horizontal="left"/>
    </xf>
    <xf numFmtId="0" fontId="2" fillId="2" borderId="4" xfId="0" applyFont="1" applyFill="1" applyBorder="1" applyAlignment="1">
      <alignment horizontal="left"/>
    </xf>
    <xf numFmtId="0" fontId="2" fillId="2" borderId="79" xfId="0" applyFont="1" applyFill="1" applyBorder="1" applyAlignment="1">
      <alignment horizontal="left"/>
    </xf>
    <xf numFmtId="0" fontId="2" fillId="2" borderId="80" xfId="0" applyFont="1" applyFill="1" applyBorder="1" applyAlignment="1">
      <alignment horizontal="left"/>
    </xf>
    <xf numFmtId="0" fontId="2" fillId="2" borderId="81" xfId="0" applyFont="1" applyFill="1" applyBorder="1" applyAlignment="1">
      <alignment horizontal="left"/>
    </xf>
    <xf numFmtId="0" fontId="2" fillId="3" borderId="80" xfId="0" applyFont="1" applyFill="1" applyBorder="1"/>
    <xf numFmtId="11" fontId="2" fillId="17" borderId="15" xfId="0" applyNumberFormat="1" applyFont="1" applyFill="1" applyBorder="1"/>
    <xf numFmtId="166" fontId="2" fillId="17" borderId="3" xfId="0" applyNumberFormat="1" applyFont="1" applyFill="1" applyBorder="1"/>
    <xf numFmtId="0" fontId="2" fillId="0" borderId="23" xfId="0" applyFont="1" applyBorder="1" applyAlignment="1">
      <alignment horizontal="left"/>
    </xf>
    <xf numFmtId="0" fontId="2" fillId="0" borderId="24" xfId="0" applyFont="1" applyBorder="1" applyAlignment="1">
      <alignment horizontal="left"/>
    </xf>
    <xf numFmtId="0" fontId="2" fillId="0" borderId="25" xfId="0" applyFont="1" applyBorder="1" applyAlignment="1">
      <alignment horizontal="left"/>
    </xf>
    <xf numFmtId="11" fontId="2" fillId="4" borderId="70" xfId="0" applyNumberFormat="1" applyFont="1" applyFill="1" applyBorder="1"/>
    <xf numFmtId="0" fontId="2" fillId="2" borderId="62" xfId="0" applyFont="1" applyFill="1" applyBorder="1" applyAlignment="1">
      <alignment horizontal="left"/>
    </xf>
    <xf numFmtId="0" fontId="2" fillId="2" borderId="69" xfId="0" applyFont="1" applyFill="1" applyBorder="1" applyAlignment="1">
      <alignment horizontal="left"/>
    </xf>
    <xf numFmtId="0" fontId="2" fillId="2" borderId="70" xfId="0" applyFont="1" applyFill="1" applyBorder="1" applyAlignment="1">
      <alignment horizontal="left"/>
    </xf>
    <xf numFmtId="0" fontId="2" fillId="2" borderId="33" xfId="0" applyFont="1" applyFill="1" applyBorder="1" applyAlignment="1">
      <alignment horizontal="left"/>
    </xf>
    <xf numFmtId="2" fontId="2" fillId="17" borderId="33" xfId="0" applyNumberFormat="1" applyFont="1" applyFill="1" applyBorder="1"/>
    <xf numFmtId="165" fontId="2" fillId="17" borderId="33" xfId="0" applyNumberFormat="1" applyFont="1" applyFill="1" applyBorder="1"/>
    <xf numFmtId="0" fontId="52" fillId="3" borderId="2" xfId="0" applyFont="1" applyFill="1" applyBorder="1"/>
    <xf numFmtId="0" fontId="28" fillId="3" borderId="2" xfId="0" quotePrefix="1" applyFont="1" applyFill="1" applyBorder="1"/>
    <xf numFmtId="0" fontId="30" fillId="0" borderId="28" xfId="0" applyFont="1" applyBorder="1"/>
    <xf numFmtId="0" fontId="29" fillId="0" borderId="28" xfId="0" applyFont="1" applyBorder="1" applyAlignment="1">
      <alignment horizontal="left"/>
    </xf>
    <xf numFmtId="0" fontId="32" fillId="0" borderId="18" xfId="0" applyFont="1" applyBorder="1" applyAlignment="1">
      <alignment horizontal="center" vertical="center" wrapText="1"/>
    </xf>
    <xf numFmtId="165" fontId="2" fillId="3" borderId="18" xfId="0" applyNumberFormat="1" applyFont="1" applyFill="1" applyBorder="1"/>
    <xf numFmtId="0" fontId="2" fillId="0" borderId="23" xfId="0" applyFont="1" applyBorder="1" applyAlignment="1">
      <alignment horizontal="center"/>
    </xf>
    <xf numFmtId="0" fontId="1" fillId="0" borderId="24" xfId="0" applyFont="1" applyBorder="1"/>
    <xf numFmtId="0" fontId="2" fillId="0" borderId="23" xfId="0" applyFont="1" applyBorder="1"/>
    <xf numFmtId="0" fontId="1" fillId="0" borderId="23" xfId="0" applyFont="1" applyBorder="1" applyAlignment="1">
      <alignment horizontal="left"/>
    </xf>
    <xf numFmtId="0" fontId="1" fillId="0" borderId="30" xfId="0" applyFont="1" applyBorder="1"/>
    <xf numFmtId="11" fontId="2" fillId="0" borderId="17" xfId="0" applyNumberFormat="1" applyFont="1" applyBorder="1"/>
    <xf numFmtId="0" fontId="1" fillId="0" borderId="32" xfId="0" applyFont="1" applyBorder="1"/>
    <xf numFmtId="0" fontId="1" fillId="0" borderId="30" xfId="0" applyFont="1" applyBorder="1" applyAlignment="1">
      <alignment horizontal="left"/>
    </xf>
    <xf numFmtId="0" fontId="2" fillId="0" borderId="31" xfId="0" applyFont="1" applyBorder="1" applyAlignment="1">
      <alignment horizontal="left"/>
    </xf>
    <xf numFmtId="0" fontId="1" fillId="0" borderId="17" xfId="0" applyFont="1" applyBorder="1"/>
    <xf numFmtId="11" fontId="2" fillId="0" borderId="20" xfId="0" applyNumberFormat="1" applyFont="1" applyBorder="1" applyAlignment="1">
      <alignment horizontal="center"/>
    </xf>
    <xf numFmtId="11" fontId="2" fillId="0" borderId="22" xfId="0" applyNumberFormat="1" applyFont="1" applyBorder="1" applyAlignment="1">
      <alignment horizontal="center"/>
    </xf>
    <xf numFmtId="1" fontId="2" fillId="3" borderId="1" xfId="0" applyNumberFormat="1" applyFont="1" applyFill="1" applyBorder="1"/>
    <xf numFmtId="11" fontId="2" fillId="0" borderId="26" xfId="0" applyNumberFormat="1" applyFont="1" applyBorder="1" applyAlignment="1">
      <alignment horizontal="center"/>
    </xf>
    <xf numFmtId="1" fontId="2" fillId="3" borderId="54" xfId="0" applyNumberFormat="1" applyFont="1" applyFill="1" applyBorder="1"/>
    <xf numFmtId="11" fontId="2" fillId="0" borderId="25" xfId="0" applyNumberFormat="1" applyFont="1" applyBorder="1" applyAlignment="1">
      <alignment horizontal="center"/>
    </xf>
    <xf numFmtId="165" fontId="2" fillId="3" borderId="54" xfId="0" applyNumberFormat="1" applyFont="1" applyFill="1" applyBorder="1"/>
    <xf numFmtId="11" fontId="2" fillId="0" borderId="18" xfId="0" applyNumberFormat="1" applyFont="1" applyBorder="1" applyAlignment="1">
      <alignment horizontal="center"/>
    </xf>
    <xf numFmtId="0" fontId="2" fillId="3" borderId="70" xfId="0" applyFont="1" applyFill="1" applyBorder="1"/>
    <xf numFmtId="0" fontId="2" fillId="6" borderId="62" xfId="0" applyFont="1" applyFill="1" applyBorder="1" applyAlignment="1">
      <alignment horizontal="center"/>
    </xf>
    <xf numFmtId="0" fontId="2" fillId="6" borderId="70" xfId="0" applyFont="1" applyFill="1" applyBorder="1" applyAlignment="1">
      <alignment horizontal="center"/>
    </xf>
    <xf numFmtId="1" fontId="2" fillId="3" borderId="18" xfId="0" applyNumberFormat="1" applyFont="1" applyFill="1" applyBorder="1"/>
    <xf numFmtId="1" fontId="53" fillId="4" borderId="18" xfId="0" applyNumberFormat="1" applyFont="1" applyFill="1" applyBorder="1"/>
    <xf numFmtId="1" fontId="2" fillId="4" borderId="18" xfId="0" applyNumberFormat="1" applyFont="1" applyFill="1" applyBorder="1"/>
    <xf numFmtId="0" fontId="4" fillId="0" borderId="21" xfId="0" applyFont="1" applyBorder="1"/>
    <xf numFmtId="0" fontId="4" fillId="0" borderId="18" xfId="0" applyFont="1" applyBorder="1"/>
    <xf numFmtId="0" fontId="4" fillId="0" borderId="20" xfId="0" applyFont="1" applyBorder="1"/>
    <xf numFmtId="1" fontId="2" fillId="4" borderId="62" xfId="0" applyNumberFormat="1" applyFont="1" applyFill="1" applyBorder="1"/>
    <xf numFmtId="1" fontId="2" fillId="4" borderId="33" xfId="0" applyNumberFormat="1" applyFont="1" applyFill="1" applyBorder="1"/>
    <xf numFmtId="1" fontId="2" fillId="4" borderId="54" xfId="0" applyNumberFormat="1" applyFont="1" applyFill="1" applyBorder="1"/>
    <xf numFmtId="0" fontId="1" fillId="0" borderId="23" xfId="0" applyFont="1" applyBorder="1"/>
    <xf numFmtId="0" fontId="2" fillId="0" borderId="17" xfId="0" applyFont="1" applyBorder="1" applyAlignment="1">
      <alignment horizontal="left"/>
    </xf>
    <xf numFmtId="0" fontId="1" fillId="0" borderId="20" xfId="0" applyFont="1" applyBorder="1"/>
    <xf numFmtId="1" fontId="2" fillId="3" borderId="62" xfId="0" applyNumberFormat="1" applyFont="1" applyFill="1" applyBorder="1"/>
    <xf numFmtId="0" fontId="4" fillId="3" borderId="2" xfId="0" applyFont="1" applyFill="1" applyBorder="1" applyAlignment="1">
      <alignment vertical="center" wrapText="1"/>
    </xf>
    <xf numFmtId="164" fontId="2" fillId="3" borderId="2" xfId="0" applyNumberFormat="1" applyFont="1" applyFill="1" applyBorder="1"/>
    <xf numFmtId="11" fontId="1" fillId="0" borderId="26" xfId="0" applyNumberFormat="1" applyFont="1" applyBorder="1" applyAlignment="1">
      <alignment horizontal="center"/>
    </xf>
    <xf numFmtId="11" fontId="1" fillId="3" borderId="54" xfId="0" applyNumberFormat="1" applyFont="1" applyFill="1" applyBorder="1" applyAlignment="1">
      <alignment horizontal="center"/>
    </xf>
    <xf numFmtId="11" fontId="1" fillId="3" borderId="18" xfId="0" applyNumberFormat="1" applyFont="1" applyFill="1" applyBorder="1" applyAlignment="1">
      <alignment horizontal="center"/>
    </xf>
    <xf numFmtId="11" fontId="2" fillId="3" borderId="2" xfId="0" applyNumberFormat="1" applyFont="1" applyFill="1" applyBorder="1"/>
    <xf numFmtId="0" fontId="2" fillId="0" borderId="18" xfId="0" applyFont="1" applyBorder="1" applyAlignment="1">
      <alignment horizontal="left" vertical="center"/>
    </xf>
    <xf numFmtId="0" fontId="2" fillId="3" borderId="70" xfId="0" applyFont="1" applyFill="1" applyBorder="1" applyAlignment="1">
      <alignment vertical="center"/>
    </xf>
    <xf numFmtId="1" fontId="2" fillId="5" borderId="62" xfId="0" applyNumberFormat="1" applyFont="1" applyFill="1" applyBorder="1"/>
    <xf numFmtId="165" fontId="2" fillId="3" borderId="1" xfId="0" applyNumberFormat="1" applyFont="1" applyFill="1" applyBorder="1"/>
    <xf numFmtId="165" fontId="2" fillId="3" borderId="2" xfId="0" applyNumberFormat="1" applyFont="1" applyFill="1" applyBorder="1"/>
    <xf numFmtId="11" fontId="2" fillId="3" borderId="2" xfId="0" applyNumberFormat="1" applyFont="1" applyFill="1" applyBorder="1" applyAlignment="1">
      <alignment horizontal="center"/>
    </xf>
    <xf numFmtId="1" fontId="2" fillId="3" borderId="2" xfId="0" applyNumberFormat="1" applyFont="1" applyFill="1" applyBorder="1"/>
    <xf numFmtId="0" fontId="4" fillId="0" borderId="20" xfId="0" applyFont="1" applyBorder="1" applyAlignment="1">
      <alignment horizontal="center" wrapText="1"/>
    </xf>
    <xf numFmtId="0" fontId="4" fillId="0" borderId="21" xfId="0" applyFont="1" applyBorder="1" applyAlignment="1">
      <alignment horizontal="center" wrapText="1"/>
    </xf>
    <xf numFmtId="0" fontId="4" fillId="0" borderId="22" xfId="0" applyFont="1" applyBorder="1" applyAlignment="1">
      <alignment horizontal="center" wrapText="1"/>
    </xf>
    <xf numFmtId="0" fontId="4" fillId="0" borderId="28" xfId="0" applyFont="1" applyBorder="1" applyAlignment="1">
      <alignment horizontal="center" wrapText="1"/>
    </xf>
    <xf numFmtId="0" fontId="4" fillId="0" borderId="29" xfId="0" applyFont="1" applyBorder="1" applyAlignment="1">
      <alignment horizontal="center" wrapText="1"/>
    </xf>
    <xf numFmtId="165" fontId="2" fillId="5" borderId="62" xfId="0" applyNumberFormat="1" applyFont="1" applyFill="1" applyBorder="1"/>
    <xf numFmtId="0" fontId="2" fillId="3" borderId="2" xfId="0" applyFont="1" applyFill="1" applyBorder="1" applyAlignment="1">
      <alignment horizontal="left"/>
    </xf>
    <xf numFmtId="1" fontId="2" fillId="3" borderId="14" xfId="0" applyNumberFormat="1" applyFont="1" applyFill="1" applyBorder="1"/>
    <xf numFmtId="11" fontId="2" fillId="0" borderId="32" xfId="0" applyNumberFormat="1" applyFont="1" applyBorder="1" applyAlignment="1">
      <alignment horizontal="center"/>
    </xf>
    <xf numFmtId="0" fontId="2" fillId="5" borderId="62" xfId="0" applyFont="1" applyFill="1" applyBorder="1"/>
    <xf numFmtId="11" fontId="2" fillId="0" borderId="31" xfId="0" applyNumberFormat="1" applyFont="1" applyBorder="1" applyAlignment="1">
      <alignment horizontal="center"/>
    </xf>
    <xf numFmtId="11" fontId="2" fillId="3" borderId="6" xfId="0" applyNumberFormat="1" applyFont="1" applyFill="1" applyBorder="1" applyAlignment="1">
      <alignment horizontal="center"/>
    </xf>
    <xf numFmtId="0" fontId="1" fillId="0" borderId="31" xfId="0" applyFont="1" applyBorder="1"/>
    <xf numFmtId="0" fontId="55" fillId="3" borderId="2" xfId="0" applyFont="1" applyFill="1" applyBorder="1"/>
    <xf numFmtId="1" fontId="2" fillId="4" borderId="1" xfId="0" applyNumberFormat="1" applyFont="1" applyFill="1" applyBorder="1"/>
    <xf numFmtId="0" fontId="2" fillId="2" borderId="2" xfId="0" applyFont="1" applyFill="1" applyBorder="1" applyAlignment="1">
      <alignment wrapText="1"/>
    </xf>
    <xf numFmtId="0" fontId="2" fillId="3" borderId="18" xfId="0" applyFont="1" applyFill="1" applyBorder="1" applyAlignment="1">
      <alignment wrapText="1"/>
    </xf>
    <xf numFmtId="0" fontId="4" fillId="3" borderId="18" xfId="0" applyFont="1" applyFill="1" applyBorder="1"/>
    <xf numFmtId="0" fontId="4" fillId="2" borderId="2" xfId="0" applyFont="1" applyFill="1" applyBorder="1"/>
    <xf numFmtId="0" fontId="4" fillId="2" borderId="2" xfId="0" applyFont="1" applyFill="1" applyBorder="1" applyAlignment="1">
      <alignment wrapText="1"/>
    </xf>
    <xf numFmtId="0" fontId="56" fillId="2" borderId="2" xfId="0" applyFont="1" applyFill="1" applyBorder="1"/>
    <xf numFmtId="11" fontId="1" fillId="0" borderId="18" xfId="0" applyNumberFormat="1" applyFont="1" applyBorder="1" applyAlignment="1">
      <alignment horizontal="center" vertical="center"/>
    </xf>
    <xf numFmtId="11" fontId="1" fillId="0" borderId="0" xfId="0" applyNumberFormat="1" applyFont="1"/>
    <xf numFmtId="11" fontId="1" fillId="6" borderId="2" xfId="0" applyNumberFormat="1" applyFont="1" applyFill="1" applyBorder="1" applyAlignment="1">
      <alignment horizontal="center"/>
    </xf>
    <xf numFmtId="0" fontId="1" fillId="0" borderId="21" xfId="0" applyFont="1" applyBorder="1" applyAlignment="1">
      <alignment horizontal="left"/>
    </xf>
    <xf numFmtId="11" fontId="1" fillId="0" borderId="21" xfId="0" applyNumberFormat="1" applyFont="1" applyBorder="1" applyAlignment="1">
      <alignment horizontal="center" vertical="center"/>
    </xf>
    <xf numFmtId="11" fontId="1" fillId="0" borderId="18" xfId="0" applyNumberFormat="1" applyFont="1" applyBorder="1"/>
    <xf numFmtId="165" fontId="2" fillId="0" borderId="0" xfId="0" applyNumberFormat="1" applyFont="1" applyAlignment="1">
      <alignment horizontal="center"/>
    </xf>
    <xf numFmtId="11" fontId="2" fillId="0" borderId="29" xfId="0" applyNumberFormat="1" applyFont="1" applyBorder="1" applyAlignment="1">
      <alignment horizontal="center"/>
    </xf>
    <xf numFmtId="0" fontId="2" fillId="0" borderId="25" xfId="0" applyFont="1" applyBorder="1" applyAlignment="1">
      <alignment vertical="top" wrapText="1"/>
    </xf>
    <xf numFmtId="165" fontId="2" fillId="3" borderId="54" xfId="0" applyNumberFormat="1" applyFont="1" applyFill="1" applyBorder="1" applyAlignment="1">
      <alignment horizontal="center"/>
    </xf>
    <xf numFmtId="0" fontId="2" fillId="2" borderId="54" xfId="0" applyFont="1" applyFill="1" applyBorder="1" applyAlignment="1">
      <alignment horizontal="center"/>
    </xf>
    <xf numFmtId="0" fontId="2" fillId="0" borderId="22" xfId="0" applyFont="1" applyBorder="1" applyAlignment="1">
      <alignment wrapText="1"/>
    </xf>
    <xf numFmtId="166" fontId="2" fillId="3" borderId="18" xfId="0" applyNumberFormat="1" applyFont="1" applyFill="1" applyBorder="1" applyAlignment="1">
      <alignment horizontal="center" vertical="center"/>
    </xf>
    <xf numFmtId="0" fontId="2" fillId="2" borderId="18" xfId="0" applyFont="1" applyFill="1" applyBorder="1" applyAlignment="1">
      <alignment horizontal="center" vertical="center"/>
    </xf>
    <xf numFmtId="0" fontId="2" fillId="0" borderId="22" xfId="0" applyFont="1" applyBorder="1" applyAlignment="1">
      <alignment horizontal="left" vertical="top" wrapText="1"/>
    </xf>
    <xf numFmtId="0" fontId="2" fillId="2" borderId="18" xfId="0" applyFont="1" applyFill="1" applyBorder="1" applyAlignment="1">
      <alignment horizontal="center"/>
    </xf>
    <xf numFmtId="0" fontId="2" fillId="0" borderId="0" xfId="0" applyFont="1" applyAlignment="1">
      <alignment horizontal="left" vertical="top" wrapText="1"/>
    </xf>
    <xf numFmtId="11" fontId="2" fillId="0" borderId="29" xfId="0" applyNumberFormat="1" applyFont="1" applyBorder="1"/>
    <xf numFmtId="0" fontId="2" fillId="6" borderId="14" xfId="0" applyFont="1" applyFill="1" applyBorder="1" applyAlignment="1">
      <alignment horizontal="center" vertical="center"/>
    </xf>
    <xf numFmtId="0" fontId="1" fillId="0" borderId="0" xfId="0" applyFont="1" applyAlignment="1">
      <alignment horizontal="left"/>
    </xf>
    <xf numFmtId="11" fontId="1" fillId="0" borderId="0" xfId="0" applyNumberFormat="1" applyFont="1" applyAlignment="1">
      <alignment horizontal="center" vertical="center"/>
    </xf>
    <xf numFmtId="0" fontId="1" fillId="0" borderId="26" xfId="0" applyFont="1" applyBorder="1" applyAlignment="1">
      <alignment horizontal="left" wrapText="1"/>
    </xf>
    <xf numFmtId="0" fontId="1" fillId="3" borderId="54" xfId="0" applyFont="1" applyFill="1" applyBorder="1" applyAlignment="1">
      <alignment horizontal="left"/>
    </xf>
    <xf numFmtId="0" fontId="1" fillId="0" borderId="18" xfId="0" applyFont="1" applyBorder="1" applyAlignment="1">
      <alignment horizontal="left" wrapText="1"/>
    </xf>
    <xf numFmtId="11" fontId="1" fillId="0" borderId="22" xfId="0" applyNumberFormat="1" applyFont="1" applyBorder="1"/>
    <xf numFmtId="11" fontId="2" fillId="0" borderId="22" xfId="0" applyNumberFormat="1" applyFont="1" applyBorder="1"/>
    <xf numFmtId="11" fontId="2" fillId="6" borderId="2" xfId="0" applyNumberFormat="1" applyFont="1" applyFill="1" applyBorder="1"/>
    <xf numFmtId="0" fontId="57" fillId="0" borderId="27" xfId="0" applyFont="1" applyBorder="1" applyAlignment="1">
      <alignment vertical="center" wrapText="1"/>
    </xf>
    <xf numFmtId="165" fontId="2" fillId="6" borderId="2" xfId="0" applyNumberFormat="1" applyFont="1" applyFill="1" applyBorder="1"/>
    <xf numFmtId="11" fontId="2" fillId="6" borderId="2" xfId="0" applyNumberFormat="1" applyFont="1" applyFill="1" applyBorder="1" applyAlignment="1">
      <alignment horizontal="center"/>
    </xf>
    <xf numFmtId="1" fontId="2" fillId="6" borderId="2" xfId="0" applyNumberFormat="1" applyFont="1" applyFill="1" applyBorder="1"/>
    <xf numFmtId="0" fontId="57" fillId="0" borderId="27" xfId="0" applyFont="1" applyBorder="1" applyAlignment="1">
      <alignment horizontal="center" vertical="center" wrapText="1"/>
    </xf>
    <xf numFmtId="0" fontId="2" fillId="6" borderId="2" xfId="0" applyFont="1" applyFill="1" applyBorder="1" applyAlignment="1">
      <alignment horizontal="center"/>
    </xf>
    <xf numFmtId="0" fontId="9" fillId="0" borderId="27" xfId="0" applyFont="1" applyBorder="1" applyAlignment="1">
      <alignment horizontal="center" vertical="center" wrapText="1"/>
    </xf>
    <xf numFmtId="0" fontId="2" fillId="18" borderId="62" xfId="0" applyFont="1" applyFill="1" applyBorder="1"/>
    <xf numFmtId="165" fontId="2" fillId="18" borderId="62" xfId="0" applyNumberFormat="1" applyFont="1" applyFill="1" applyBorder="1"/>
    <xf numFmtId="11" fontId="2" fillId="18" borderId="54" xfId="0" applyNumberFormat="1" applyFont="1" applyFill="1" applyBorder="1" applyAlignment="1">
      <alignment horizontal="center"/>
    </xf>
    <xf numFmtId="0" fontId="57" fillId="0" borderId="32" xfId="0" applyFont="1" applyBorder="1" applyAlignment="1">
      <alignment vertical="center" wrapText="1"/>
    </xf>
    <xf numFmtId="165" fontId="2" fillId="3" borderId="62" xfId="0" applyNumberFormat="1" applyFont="1" applyFill="1" applyBorder="1"/>
    <xf numFmtId="0" fontId="1" fillId="6" borderId="62" xfId="0" applyFont="1" applyFill="1" applyBorder="1" applyAlignment="1">
      <alignment horizontal="center" vertical="center"/>
    </xf>
    <xf numFmtId="0" fontId="2" fillId="6" borderId="69" xfId="0" applyFont="1" applyFill="1" applyBorder="1"/>
    <xf numFmtId="1" fontId="2" fillId="6" borderId="69" xfId="0" applyNumberFormat="1" applyFont="1" applyFill="1" applyBorder="1"/>
    <xf numFmtId="11" fontId="2" fillId="6" borderId="70" xfId="0" applyNumberFormat="1" applyFont="1" applyFill="1" applyBorder="1" applyAlignment="1">
      <alignment horizontal="center"/>
    </xf>
    <xf numFmtId="11" fontId="1" fillId="0" borderId="32" xfId="0" applyNumberFormat="1" applyFont="1" applyBorder="1"/>
    <xf numFmtId="0" fontId="57" fillId="0" borderId="26" xfId="0" applyFont="1" applyBorder="1" applyAlignment="1">
      <alignment vertical="center" wrapText="1"/>
    </xf>
    <xf numFmtId="0" fontId="2" fillId="6" borderId="54" xfId="0" applyFont="1" applyFill="1" applyBorder="1"/>
    <xf numFmtId="0" fontId="1" fillId="0" borderId="27" xfId="0" applyFont="1" applyBorder="1" applyAlignment="1">
      <alignment vertical="center" wrapText="1"/>
    </xf>
    <xf numFmtId="0" fontId="1" fillId="0" borderId="32" xfId="0" applyFont="1" applyBorder="1" applyAlignment="1">
      <alignment vertical="center" wrapText="1"/>
    </xf>
    <xf numFmtId="0" fontId="1" fillId="6" borderId="2" xfId="0" applyFont="1" applyFill="1" applyBorder="1"/>
    <xf numFmtId="0" fontId="17" fillId="3" borderId="0" xfId="0" applyFont="1" applyFill="1"/>
    <xf numFmtId="11" fontId="1" fillId="0" borderId="23" xfId="0" applyNumberFormat="1" applyFont="1" applyBorder="1" applyAlignment="1">
      <alignment horizontal="center"/>
    </xf>
    <xf numFmtId="11" fontId="1" fillId="0" borderId="0" xfId="0" applyNumberFormat="1" applyFont="1" applyAlignment="1">
      <alignment horizontal="center"/>
    </xf>
    <xf numFmtId="11" fontId="1" fillId="0" borderId="18" xfId="0" applyNumberFormat="1" applyFont="1" applyBorder="1" applyAlignment="1">
      <alignment horizontal="center"/>
    </xf>
    <xf numFmtId="0" fontId="4" fillId="0" borderId="28" xfId="0" applyFont="1" applyBorder="1"/>
    <xf numFmtId="11" fontId="2" fillId="0" borderId="18" xfId="0" applyNumberFormat="1" applyFont="1" applyBorder="1"/>
    <xf numFmtId="165" fontId="2" fillId="3" borderId="5" xfId="0" applyNumberFormat="1" applyFont="1" applyFill="1" applyBorder="1"/>
    <xf numFmtId="165" fontId="2" fillId="0" borderId="28" xfId="0" applyNumberFormat="1" applyFont="1" applyBorder="1"/>
    <xf numFmtId="1" fontId="2" fillId="0" borderId="28" xfId="0" applyNumberFormat="1" applyFont="1" applyBorder="1"/>
    <xf numFmtId="1" fontId="2" fillId="0" borderId="20" xfId="0" applyNumberFormat="1" applyFont="1" applyBorder="1"/>
    <xf numFmtId="2" fontId="1" fillId="5" borderId="62" xfId="0" applyNumberFormat="1" applyFont="1" applyFill="1" applyBorder="1"/>
    <xf numFmtId="0" fontId="2" fillId="0" borderId="18" xfId="0" applyFont="1" applyBorder="1" applyAlignment="1">
      <alignment wrapText="1"/>
    </xf>
    <xf numFmtId="11" fontId="2" fillId="0" borderId="0" xfId="0" applyNumberFormat="1" applyFont="1" applyAlignment="1">
      <alignment wrapText="1"/>
    </xf>
    <xf numFmtId="165" fontId="2" fillId="4" borderId="18" xfId="0" applyNumberFormat="1" applyFont="1" applyFill="1" applyBorder="1" applyAlignment="1">
      <alignment horizontal="right"/>
    </xf>
    <xf numFmtId="167" fontId="2" fillId="4" borderId="70" xfId="0" applyNumberFormat="1" applyFont="1" applyFill="1" applyBorder="1"/>
    <xf numFmtId="168" fontId="2" fillId="4" borderId="18" xfId="0" applyNumberFormat="1" applyFont="1" applyFill="1" applyBorder="1"/>
    <xf numFmtId="168" fontId="2" fillId="4" borderId="18" xfId="0" applyNumberFormat="1" applyFont="1" applyFill="1" applyBorder="1" applyAlignment="1">
      <alignment horizontal="right"/>
    </xf>
    <xf numFmtId="168" fontId="2" fillId="5" borderId="18" xfId="0" applyNumberFormat="1" applyFont="1" applyFill="1" applyBorder="1" applyAlignment="1">
      <alignment horizontal="right"/>
    </xf>
    <xf numFmtId="0" fontId="58" fillId="3" borderId="1" xfId="0" applyFont="1" applyFill="1" applyBorder="1" applyAlignment="1">
      <alignment vertical="top"/>
    </xf>
    <xf numFmtId="0" fontId="59" fillId="3" borderId="3" xfId="0" applyFont="1" applyFill="1" applyBorder="1" applyAlignment="1">
      <alignment vertical="top" wrapText="1"/>
    </xf>
    <xf numFmtId="0" fontId="2" fillId="3" borderId="3" xfId="0" applyFont="1" applyFill="1" applyBorder="1" applyAlignment="1">
      <alignment vertical="top" wrapText="1"/>
    </xf>
    <xf numFmtId="0" fontId="2" fillId="3" borderId="4" xfId="0" applyFont="1" applyFill="1" applyBorder="1" applyAlignment="1">
      <alignment vertical="top" wrapText="1"/>
    </xf>
    <xf numFmtId="0" fontId="2" fillId="3" borderId="5" xfId="0" applyFont="1" applyFill="1" applyBorder="1" applyAlignment="1">
      <alignment vertical="top" wrapText="1"/>
    </xf>
    <xf numFmtId="0" fontId="2" fillId="3" borderId="2" xfId="0" applyFont="1" applyFill="1" applyBorder="1" applyAlignment="1">
      <alignment vertical="top" wrapText="1"/>
    </xf>
    <xf numFmtId="0" fontId="2" fillId="3" borderId="6" xfId="0" applyFont="1" applyFill="1" applyBorder="1" applyAlignment="1">
      <alignment vertical="top" wrapText="1"/>
    </xf>
    <xf numFmtId="0" fontId="2" fillId="3" borderId="14" xfId="0" applyFont="1" applyFill="1" applyBorder="1" applyAlignment="1">
      <alignment vertical="top" wrapText="1"/>
    </xf>
    <xf numFmtId="0" fontId="2" fillId="3" borderId="15" xfId="0" applyFont="1" applyFill="1" applyBorder="1" applyAlignment="1">
      <alignment vertical="top" wrapText="1"/>
    </xf>
    <xf numFmtId="0" fontId="2" fillId="3" borderId="16" xfId="0" applyFont="1" applyFill="1" applyBorder="1" applyAlignment="1">
      <alignment vertical="top" wrapText="1"/>
    </xf>
    <xf numFmtId="0" fontId="2" fillId="0" borderId="23" xfId="0" applyFont="1" applyBorder="1" applyAlignment="1">
      <alignment vertical="top"/>
    </xf>
    <xf numFmtId="0" fontId="2" fillId="0" borderId="24" xfId="0" applyFont="1" applyBorder="1" applyAlignment="1">
      <alignment vertical="top"/>
    </xf>
    <xf numFmtId="0" fontId="2" fillId="0" borderId="25" xfId="0" applyFont="1" applyBorder="1" applyAlignment="1">
      <alignment vertical="top"/>
    </xf>
    <xf numFmtId="0" fontId="2" fillId="0" borderId="28" xfId="0" applyFont="1" applyBorder="1" applyAlignment="1">
      <alignment vertical="top"/>
    </xf>
    <xf numFmtId="0" fontId="2" fillId="0" borderId="0" xfId="0" applyFont="1" applyAlignment="1">
      <alignment vertical="top"/>
    </xf>
    <xf numFmtId="0" fontId="60" fillId="0" borderId="0" xfId="0" applyFont="1"/>
    <xf numFmtId="0" fontId="2" fillId="0" borderId="29" xfId="0" applyFont="1" applyBorder="1" applyAlignment="1">
      <alignment vertical="top"/>
    </xf>
    <xf numFmtId="0" fontId="61" fillId="0" borderId="0" xfId="0" applyFont="1" applyAlignment="1">
      <alignment horizontal="left" readingOrder="1"/>
    </xf>
    <xf numFmtId="0" fontId="2" fillId="0" borderId="17" xfId="0" applyFont="1" applyBorder="1" applyAlignment="1">
      <alignment vertical="top"/>
    </xf>
    <xf numFmtId="0" fontId="2" fillId="0" borderId="30" xfId="0" applyFont="1" applyBorder="1" applyAlignment="1">
      <alignment vertical="top"/>
    </xf>
    <xf numFmtId="0" fontId="2" fillId="0" borderId="31" xfId="0" applyFont="1" applyBorder="1" applyAlignment="1">
      <alignment vertical="top"/>
    </xf>
    <xf numFmtId="0" fontId="28" fillId="0" borderId="0" xfId="0" applyFont="1" applyAlignment="1">
      <alignment vertical="top"/>
    </xf>
    <xf numFmtId="0" fontId="29" fillId="0" borderId="0" xfId="0" applyFont="1" applyAlignment="1">
      <alignment vertical="top"/>
    </xf>
    <xf numFmtId="0" fontId="62" fillId="0" borderId="0" xfId="0" applyFont="1" applyAlignment="1">
      <alignment vertical="top"/>
    </xf>
    <xf numFmtId="0" fontId="28" fillId="0" borderId="0" xfId="0" quotePrefix="1" applyFont="1" applyAlignment="1">
      <alignment vertical="top"/>
    </xf>
    <xf numFmtId="0" fontId="28" fillId="0" borderId="0" xfId="0" quotePrefix="1" applyFont="1"/>
    <xf numFmtId="0" fontId="63" fillId="6" borderId="2" xfId="0" applyFont="1" applyFill="1" applyBorder="1" applyAlignment="1">
      <alignment vertical="top"/>
    </xf>
    <xf numFmtId="0" fontId="31" fillId="0" borderId="0" xfId="0" applyFont="1" applyAlignment="1">
      <alignment vertical="top"/>
    </xf>
    <xf numFmtId="0" fontId="35" fillId="0" borderId="0" xfId="0" applyFont="1"/>
    <xf numFmtId="0" fontId="64" fillId="2" borderId="2" xfId="0" applyFont="1" applyFill="1" applyBorder="1"/>
    <xf numFmtId="0" fontId="64" fillId="2" borderId="6" xfId="0" applyFont="1" applyFill="1" applyBorder="1"/>
    <xf numFmtId="0" fontId="33" fillId="2" borderId="2" xfId="0" applyFont="1" applyFill="1" applyBorder="1"/>
    <xf numFmtId="0" fontId="64" fillId="2" borderId="2" xfId="0" quotePrefix="1" applyFont="1" applyFill="1" applyBorder="1"/>
    <xf numFmtId="0" fontId="38" fillId="0" borderId="0" xfId="0" applyFont="1"/>
    <xf numFmtId="0" fontId="65" fillId="0" borderId="0" xfId="0" applyFont="1"/>
    <xf numFmtId="0" fontId="28" fillId="0" borderId="29" xfId="0" applyFont="1" applyBorder="1" applyAlignment="1">
      <alignment vertical="top"/>
    </xf>
    <xf numFmtId="0" fontId="66" fillId="0" borderId="0" xfId="0" applyFont="1"/>
    <xf numFmtId="0" fontId="6" fillId="0" borderId="0" xfId="0" applyFont="1" applyAlignment="1">
      <alignment vertical="top"/>
    </xf>
    <xf numFmtId="0" fontId="67" fillId="0" borderId="0" xfId="0" applyFont="1"/>
    <xf numFmtId="0" fontId="67" fillId="0" borderId="0" xfId="0" applyFont="1" applyAlignment="1">
      <alignment vertical="top"/>
    </xf>
    <xf numFmtId="0" fontId="68" fillId="0" borderId="28" xfId="0" applyFont="1" applyBorder="1" applyAlignment="1">
      <alignment horizontal="right" vertical="top"/>
    </xf>
    <xf numFmtId="0" fontId="68" fillId="0" borderId="29" xfId="0" applyFont="1" applyBorder="1" applyAlignment="1">
      <alignment vertical="top"/>
    </xf>
    <xf numFmtId="0" fontId="28" fillId="0" borderId="23" xfId="0" applyFont="1" applyBorder="1" applyAlignment="1">
      <alignment vertical="top"/>
    </xf>
    <xf numFmtId="0" fontId="28" fillId="0" borderId="24" xfId="0" applyFont="1" applyBorder="1" applyAlignment="1">
      <alignment vertical="top"/>
    </xf>
    <xf numFmtId="0" fontId="28" fillId="0" borderId="25" xfId="0" applyFont="1" applyBorder="1" applyAlignment="1">
      <alignment vertical="top"/>
    </xf>
    <xf numFmtId="0" fontId="28" fillId="0" borderId="28" xfId="0" applyFont="1" applyBorder="1" applyAlignment="1">
      <alignment vertical="top"/>
    </xf>
    <xf numFmtId="0" fontId="35" fillId="0" borderId="0" xfId="0" applyFont="1" applyAlignment="1">
      <alignment vertical="top"/>
    </xf>
    <xf numFmtId="0" fontId="35" fillId="0" borderId="0" xfId="0" quotePrefix="1" applyFont="1" applyAlignment="1">
      <alignment vertical="top"/>
    </xf>
    <xf numFmtId="0" fontId="28" fillId="0" borderId="30" xfId="0" applyFont="1" applyBorder="1" applyAlignment="1">
      <alignment vertical="top"/>
    </xf>
    <xf numFmtId="0" fontId="28" fillId="0" borderId="17" xfId="0" applyFont="1" applyBorder="1" applyAlignment="1">
      <alignment vertical="top"/>
    </xf>
    <xf numFmtId="0" fontId="28" fillId="0" borderId="31" xfId="0" applyFont="1" applyBorder="1" applyAlignment="1">
      <alignment vertical="top"/>
    </xf>
    <xf numFmtId="0" fontId="28" fillId="2" borderId="1" xfId="0" applyFont="1" applyFill="1" applyBorder="1" applyAlignment="1">
      <alignment vertical="top"/>
    </xf>
    <xf numFmtId="0" fontId="28" fillId="2" borderId="3" xfId="0" applyFont="1" applyFill="1" applyBorder="1" applyAlignment="1">
      <alignment vertical="top"/>
    </xf>
    <xf numFmtId="0" fontId="28" fillId="2" borderId="5" xfId="0" applyFont="1" applyFill="1" applyBorder="1" applyAlignment="1">
      <alignment vertical="top"/>
    </xf>
    <xf numFmtId="0" fontId="28" fillId="2" borderId="2" xfId="0" applyFont="1" applyFill="1" applyBorder="1" applyAlignment="1">
      <alignment vertical="top"/>
    </xf>
    <xf numFmtId="0" fontId="28" fillId="2" borderId="2" xfId="0" applyFont="1" applyFill="1" applyBorder="1"/>
    <xf numFmtId="0" fontId="28" fillId="2" borderId="2" xfId="0" quotePrefix="1" applyFont="1" applyFill="1" applyBorder="1" applyAlignment="1">
      <alignment vertical="top"/>
    </xf>
    <xf numFmtId="0" fontId="35" fillId="2" borderId="2" xfId="0" applyFont="1" applyFill="1" applyBorder="1" applyAlignment="1">
      <alignment vertical="top"/>
    </xf>
    <xf numFmtId="0" fontId="69" fillId="2" borderId="2" xfId="0" applyFont="1" applyFill="1" applyBorder="1" applyAlignment="1">
      <alignment vertical="top"/>
    </xf>
    <xf numFmtId="0" fontId="28" fillId="2" borderId="14" xfId="0" applyFont="1" applyFill="1" applyBorder="1" applyAlignment="1">
      <alignment vertical="top"/>
    </xf>
    <xf numFmtId="0" fontId="28" fillId="2" borderId="15" xfId="0" applyFont="1" applyFill="1" applyBorder="1" applyAlignment="1">
      <alignment vertical="top"/>
    </xf>
    <xf numFmtId="0" fontId="2" fillId="19" borderId="2" xfId="0" applyFont="1" applyFill="1" applyBorder="1"/>
    <xf numFmtId="0" fontId="0" fillId="20" borderId="0" xfId="0" applyFill="1"/>
    <xf numFmtId="0" fontId="4" fillId="2" borderId="11" xfId="0" applyFont="1" applyFill="1" applyBorder="1" applyAlignment="1">
      <alignment horizontal="center"/>
    </xf>
    <xf numFmtId="0" fontId="3" fillId="0" borderId="12" xfId="0" applyFont="1" applyBorder="1"/>
    <xf numFmtId="0" fontId="3" fillId="0" borderId="13" xfId="0" applyFont="1" applyBorder="1"/>
    <xf numFmtId="0" fontId="2" fillId="2" borderId="7" xfId="0" applyFont="1" applyFill="1" applyBorder="1" applyAlignment="1">
      <alignment horizontal="left"/>
    </xf>
    <xf numFmtId="0" fontId="3" fillId="0" borderId="8" xfId="0" applyFont="1" applyBorder="1"/>
    <xf numFmtId="0" fontId="3" fillId="0" borderId="9" xfId="0" applyFont="1" applyBorder="1"/>
    <xf numFmtId="0" fontId="3" fillId="0" borderId="10" xfId="0" applyFont="1" applyBorder="1"/>
    <xf numFmtId="0" fontId="2" fillId="2" borderId="7" xfId="0" applyFont="1" applyFill="1" applyBorder="1" applyAlignment="1">
      <alignment horizontal="left" wrapText="1"/>
    </xf>
    <xf numFmtId="0" fontId="2" fillId="0" borderId="20" xfId="0" applyFont="1" applyBorder="1" applyAlignment="1">
      <alignment horizontal="center"/>
    </xf>
    <xf numFmtId="0" fontId="3" fillId="0" borderId="21" xfId="0" applyFont="1" applyBorder="1"/>
    <xf numFmtId="0" fontId="3" fillId="0" borderId="22" xfId="0" applyFont="1" applyBorder="1"/>
    <xf numFmtId="49" fontId="2" fillId="3" borderId="20" xfId="0" applyNumberFormat="1" applyFont="1" applyFill="1" applyBorder="1" applyAlignment="1">
      <alignment horizontal="center"/>
    </xf>
    <xf numFmtId="0" fontId="9" fillId="0" borderId="26" xfId="0" applyFont="1" applyBorder="1" applyAlignment="1">
      <alignment horizontal="center" textRotation="90" wrapText="1"/>
    </xf>
    <xf numFmtId="0" fontId="3" fillId="0" borderId="27" xfId="0" applyFont="1" applyBorder="1"/>
    <xf numFmtId="0" fontId="3" fillId="0" borderId="32" xfId="0" applyFont="1" applyBorder="1"/>
    <xf numFmtId="0" fontId="2" fillId="0" borderId="26" xfId="0" applyFont="1" applyBorder="1" applyAlignment="1">
      <alignment horizontal="center" textRotation="90" wrapText="1"/>
    </xf>
    <xf numFmtId="0" fontId="2" fillId="0" borderId="23" xfId="0" applyFont="1" applyBorder="1" applyAlignment="1">
      <alignment horizontal="center" vertical="center" wrapText="1"/>
    </xf>
    <xf numFmtId="0" fontId="3" fillId="0" borderId="24" xfId="0" applyFont="1" applyBorder="1"/>
    <xf numFmtId="0" fontId="3" fillId="0" borderId="25" xfId="0" applyFont="1" applyBorder="1"/>
    <xf numFmtId="0" fontId="3" fillId="0" borderId="28" xfId="0" applyFont="1" applyBorder="1"/>
    <xf numFmtId="0" fontId="0" fillId="0" borderId="0" xfId="0"/>
    <xf numFmtId="0" fontId="3" fillId="0" borderId="29" xfId="0" applyFont="1" applyBorder="1"/>
    <xf numFmtId="0" fontId="3" fillId="0" borderId="30" xfId="0" applyFont="1" applyBorder="1"/>
    <xf numFmtId="0" fontId="3" fillId="0" borderId="17" xfId="0" applyFont="1" applyBorder="1"/>
    <xf numFmtId="0" fontId="3" fillId="0" borderId="31" xfId="0" applyFont="1" applyBorder="1"/>
    <xf numFmtId="0" fontId="2" fillId="0" borderId="27" xfId="0" applyFont="1" applyBorder="1" applyAlignment="1">
      <alignment horizontal="center" textRotation="90" wrapText="1"/>
    </xf>
    <xf numFmtId="0" fontId="10" fillId="0" borderId="0" xfId="0" applyFont="1"/>
    <xf numFmtId="49" fontId="2" fillId="3" borderId="20" xfId="0" applyNumberFormat="1" applyFont="1" applyFill="1" applyBorder="1"/>
    <xf numFmtId="0" fontId="2" fillId="4" borderId="20" xfId="0" applyFont="1" applyFill="1" applyBorder="1" applyAlignment="1">
      <alignment horizontal="center"/>
    </xf>
    <xf numFmtId="0" fontId="11" fillId="0" borderId="20" xfId="0" applyFont="1" applyBorder="1" applyAlignment="1">
      <alignment horizontal="left" wrapText="1"/>
    </xf>
    <xf numFmtId="0" fontId="12" fillId="0" borderId="20" xfId="0" applyFont="1" applyBorder="1" applyAlignment="1">
      <alignment horizontal="left" wrapText="1"/>
    </xf>
    <xf numFmtId="0" fontId="2" fillId="0" borderId="26" xfId="0" applyFont="1" applyBorder="1" applyAlignment="1">
      <alignment horizontal="center" vertical="center"/>
    </xf>
    <xf numFmtId="0" fontId="2" fillId="0" borderId="25" xfId="0" applyFont="1" applyBorder="1" applyAlignment="1">
      <alignment horizontal="center" vertical="center"/>
    </xf>
    <xf numFmtId="1" fontId="2" fillId="0" borderId="26" xfId="0" applyNumberFormat="1" applyFont="1" applyBorder="1" applyAlignment="1">
      <alignment horizontal="center" vertical="center"/>
    </xf>
    <xf numFmtId="2" fontId="2" fillId="0" borderId="26" xfId="0" applyNumberFormat="1" applyFont="1" applyBorder="1" applyAlignment="1">
      <alignment horizontal="center" vertical="center"/>
    </xf>
    <xf numFmtId="165" fontId="2" fillId="0" borderId="26" xfId="0" applyNumberFormat="1" applyFont="1" applyBorder="1" applyAlignment="1">
      <alignment horizontal="center" vertical="center"/>
    </xf>
    <xf numFmtId="17" fontId="2" fillId="0" borderId="20" xfId="0" applyNumberFormat="1" applyFont="1" applyBorder="1" applyAlignment="1">
      <alignment horizontal="center"/>
    </xf>
    <xf numFmtId="0" fontId="2" fillId="5" borderId="20" xfId="0" applyFont="1" applyFill="1" applyBorder="1" applyAlignment="1">
      <alignment horizontal="center"/>
    </xf>
    <xf numFmtId="0" fontId="15" fillId="0" borderId="0" xfId="0" applyFont="1" applyAlignment="1">
      <alignment horizontal="left"/>
    </xf>
    <xf numFmtId="0" fontId="1" fillId="0" borderId="0" xfId="0" applyFont="1" applyAlignment="1">
      <alignment horizontal="center"/>
    </xf>
    <xf numFmtId="0" fontId="4" fillId="0" borderId="0" xfId="0" applyFont="1" applyAlignment="1">
      <alignment horizontal="center" wrapText="1"/>
    </xf>
    <xf numFmtId="0" fontId="7" fillId="0" borderId="0" xfId="0" applyFont="1" applyAlignment="1">
      <alignment horizontal="left" vertical="center" wrapText="1"/>
    </xf>
    <xf numFmtId="0" fontId="6" fillId="0" borderId="0" xfId="0" applyFont="1" applyAlignment="1">
      <alignment horizontal="left" wrapText="1"/>
    </xf>
    <xf numFmtId="0" fontId="1" fillId="4" borderId="20" xfId="0" applyFont="1" applyFill="1" applyBorder="1" applyAlignment="1">
      <alignment horizontal="left"/>
    </xf>
    <xf numFmtId="0" fontId="1" fillId="3" borderId="20" xfId="0" applyFont="1" applyFill="1" applyBorder="1" applyAlignment="1">
      <alignment horizontal="center"/>
    </xf>
    <xf numFmtId="0" fontId="2" fillId="0" borderId="23" xfId="0" applyFont="1" applyBorder="1" applyAlignment="1">
      <alignment horizontal="center" wrapText="1"/>
    </xf>
    <xf numFmtId="0" fontId="2" fillId="0" borderId="23" xfId="0" applyFont="1" applyBorder="1" applyAlignment="1">
      <alignment horizontal="center" vertical="center"/>
    </xf>
    <xf numFmtId="49" fontId="8" fillId="3" borderId="20" xfId="0" applyNumberFormat="1" applyFont="1" applyFill="1" applyBorder="1" applyAlignment="1">
      <alignment horizontal="center"/>
    </xf>
    <xf numFmtId="0" fontId="2" fillId="0" borderId="30" xfId="0" applyFont="1" applyBorder="1" applyAlignment="1">
      <alignment horizontal="center"/>
    </xf>
    <xf numFmtId="0" fontId="13" fillId="0" borderId="30" xfId="0" applyFont="1" applyBorder="1" applyAlignment="1">
      <alignment horizontal="left" wrapText="1"/>
    </xf>
    <xf numFmtId="0" fontId="2" fillId="0" borderId="35" xfId="0" applyFont="1" applyBorder="1" applyAlignment="1">
      <alignment horizontal="center" textRotation="90"/>
    </xf>
    <xf numFmtId="0" fontId="2" fillId="0" borderId="35" xfId="0" applyFont="1" applyBorder="1" applyAlignment="1">
      <alignment horizontal="center" textRotation="90" wrapText="1"/>
    </xf>
    <xf numFmtId="0" fontId="1" fillId="0" borderId="36" xfId="0" applyFont="1" applyBorder="1" applyAlignment="1">
      <alignment horizontal="center" textRotation="90" wrapText="1"/>
    </xf>
    <xf numFmtId="0" fontId="3" fillId="0" borderId="38" xfId="0" applyFont="1" applyBorder="1"/>
    <xf numFmtId="0" fontId="3" fillId="0" borderId="40" xfId="0" applyFont="1" applyBorder="1"/>
    <xf numFmtId="0" fontId="2" fillId="21" borderId="49" xfId="0" applyFont="1" applyFill="1" applyBorder="1" applyAlignment="1">
      <alignment horizontal="center"/>
    </xf>
    <xf numFmtId="0" fontId="3" fillId="20" borderId="9" xfId="0" applyFont="1" applyFill="1" applyBorder="1"/>
    <xf numFmtId="49" fontId="2" fillId="0" borderId="17" xfId="0" applyNumberFormat="1" applyFont="1" applyBorder="1" applyAlignment="1">
      <alignment horizontal="center"/>
    </xf>
    <xf numFmtId="0" fontId="2" fillId="6" borderId="34" xfId="0" applyFont="1" applyFill="1" applyBorder="1" applyAlignment="1">
      <alignment horizontal="left" vertical="center"/>
    </xf>
    <xf numFmtId="0" fontId="3" fillId="0" borderId="37" xfId="0" applyFont="1" applyBorder="1"/>
    <xf numFmtId="0" fontId="3" fillId="0" borderId="39" xfId="0" applyFont="1" applyBorder="1"/>
    <xf numFmtId="0" fontId="2" fillId="0" borderId="23" xfId="0" applyFont="1" applyBorder="1" applyAlignment="1">
      <alignment horizontal="left" vertical="center" wrapText="1"/>
    </xf>
    <xf numFmtId="0" fontId="2" fillId="0" borderId="28" xfId="0" applyFont="1" applyBorder="1" applyAlignment="1">
      <alignment horizontal="center"/>
    </xf>
    <xf numFmtId="0" fontId="1" fillId="0" borderId="20" xfId="0" applyFont="1" applyBorder="1" applyAlignment="1">
      <alignment horizontal="left" vertical="center" wrapText="1"/>
    </xf>
    <xf numFmtId="0" fontId="2" fillId="6" borderId="49" xfId="0" applyFont="1" applyFill="1" applyBorder="1" applyAlignment="1">
      <alignment horizontal="center"/>
    </xf>
    <xf numFmtId="0" fontId="2" fillId="0" borderId="30" xfId="0" applyFont="1" applyBorder="1" applyAlignment="1">
      <alignment horizontal="center" vertical="center"/>
    </xf>
    <xf numFmtId="0" fontId="1" fillId="2" borderId="53" xfId="0" applyFont="1" applyFill="1" applyBorder="1" applyAlignment="1">
      <alignment horizontal="left" vertical="center"/>
    </xf>
    <xf numFmtId="0" fontId="3" fillId="0" borderId="55" xfId="0" applyFont="1" applyBorder="1"/>
    <xf numFmtId="0" fontId="3" fillId="0" borderId="56" xfId="0" applyFont="1" applyBorder="1"/>
    <xf numFmtId="0" fontId="4" fillId="0" borderId="58" xfId="0" applyFont="1" applyBorder="1" applyAlignment="1">
      <alignment horizontal="left" vertical="center" wrapText="1"/>
    </xf>
    <xf numFmtId="0" fontId="3" fillId="0" borderId="59" xfId="0" applyFont="1" applyBorder="1"/>
    <xf numFmtId="0" fontId="3" fillId="0" borderId="60" xfId="0" applyFont="1" applyBorder="1"/>
    <xf numFmtId="0" fontId="3" fillId="0" borderId="61" xfId="0" applyFont="1" applyBorder="1"/>
    <xf numFmtId="0" fontId="1" fillId="0" borderId="26" xfId="0" applyFont="1" applyBorder="1" applyAlignment="1">
      <alignment horizontal="left" vertical="center"/>
    </xf>
    <xf numFmtId="0" fontId="1" fillId="3" borderId="50" xfId="0" applyFont="1" applyFill="1" applyBorder="1" applyAlignment="1">
      <alignment horizontal="left" vertical="center"/>
    </xf>
    <xf numFmtId="0" fontId="3" fillId="0" borderId="51" xfId="0" applyFont="1" applyBorder="1"/>
    <xf numFmtId="0" fontId="18" fillId="0" borderId="23" xfId="0" applyFont="1" applyBorder="1" applyAlignment="1">
      <alignment horizontal="left" vertical="center" wrapText="1"/>
    </xf>
    <xf numFmtId="0" fontId="2" fillId="3" borderId="26" xfId="0" applyFont="1" applyFill="1" applyBorder="1" applyAlignment="1">
      <alignment horizontal="left" vertical="center"/>
    </xf>
    <xf numFmtId="0" fontId="1" fillId="0" borderId="0" xfId="0" applyFont="1" applyAlignment="1">
      <alignment horizontal="left" vertical="center"/>
    </xf>
    <xf numFmtId="0" fontId="1" fillId="3" borderId="26" xfId="0" applyFont="1" applyFill="1" applyBorder="1" applyAlignment="1">
      <alignment horizontal="left" vertical="center"/>
    </xf>
    <xf numFmtId="0" fontId="3" fillId="0" borderId="52" xfId="0" applyFont="1" applyBorder="1"/>
    <xf numFmtId="0" fontId="28" fillId="0" borderId="28" xfId="0" applyFont="1" applyBorder="1" applyAlignment="1">
      <alignment horizontal="right"/>
    </xf>
    <xf numFmtId="0" fontId="28" fillId="3" borderId="20" xfId="0" applyFont="1" applyFill="1" applyBorder="1" applyAlignment="1">
      <alignment horizontal="center"/>
    </xf>
    <xf numFmtId="1" fontId="28" fillId="4" borderId="20" xfId="0" applyNumberFormat="1" applyFont="1" applyFill="1" applyBorder="1" applyAlignment="1">
      <alignment horizontal="center"/>
    </xf>
    <xf numFmtId="165" fontId="29" fillId="4" borderId="20" xfId="0" applyNumberFormat="1" applyFont="1" applyFill="1" applyBorder="1" applyAlignment="1">
      <alignment horizontal="center"/>
    </xf>
    <xf numFmtId="1" fontId="29" fillId="4" borderId="20" xfId="0" applyNumberFormat="1" applyFont="1" applyFill="1" applyBorder="1" applyAlignment="1">
      <alignment horizontal="center" wrapText="1"/>
    </xf>
    <xf numFmtId="0" fontId="28" fillId="0" borderId="28" xfId="0" applyFont="1" applyBorder="1" applyAlignment="1">
      <alignment horizontal="right" wrapText="1"/>
    </xf>
    <xf numFmtId="0" fontId="28" fillId="3" borderId="20" xfId="0" applyFont="1" applyFill="1" applyBorder="1" applyAlignment="1">
      <alignment horizontal="center" wrapText="1"/>
    </xf>
    <xf numFmtId="0" fontId="28" fillId="3" borderId="63" xfId="0" applyFont="1" applyFill="1" applyBorder="1" applyAlignment="1">
      <alignment horizontal="center" wrapText="1"/>
    </xf>
    <xf numFmtId="0" fontId="3" fillId="0" borderId="65" xfId="0" applyFont="1" applyBorder="1"/>
    <xf numFmtId="0" fontId="28" fillId="0" borderId="28" xfId="0" quotePrefix="1" applyFont="1" applyBorder="1" applyAlignment="1">
      <alignment horizontal="right"/>
    </xf>
    <xf numFmtId="0" fontId="29" fillId="3" borderId="20" xfId="0" applyFont="1" applyFill="1" applyBorder="1" applyAlignment="1">
      <alignment horizontal="center" wrapText="1"/>
    </xf>
    <xf numFmtId="1" fontId="30" fillId="0" borderId="0" xfId="0" applyNumberFormat="1" applyFont="1" applyAlignment="1">
      <alignment horizontal="center" wrapText="1"/>
    </xf>
    <xf numFmtId="0" fontId="28" fillId="0" borderId="0" xfId="0" applyFont="1" applyAlignment="1">
      <alignment horizontal="right" wrapText="1"/>
    </xf>
    <xf numFmtId="4" fontId="28" fillId="3" borderId="20" xfId="0" applyNumberFormat="1" applyFont="1" applyFill="1" applyBorder="1" applyAlignment="1">
      <alignment horizontal="center" wrapText="1"/>
    </xf>
    <xf numFmtId="0" fontId="28" fillId="3" borderId="66" xfId="0" applyFont="1" applyFill="1" applyBorder="1" applyAlignment="1">
      <alignment horizontal="center"/>
    </xf>
    <xf numFmtId="0" fontId="3" fillId="0" borderId="67" xfId="0" applyFont="1" applyBorder="1"/>
    <xf numFmtId="0" fontId="1" fillId="0" borderId="23" xfId="0" applyFont="1" applyBorder="1" applyAlignment="1">
      <alignment horizontal="center"/>
    </xf>
    <xf numFmtId="0" fontId="2" fillId="3" borderId="63" xfId="0" applyFont="1" applyFill="1" applyBorder="1" applyAlignment="1">
      <alignment horizontal="center" wrapText="1"/>
    </xf>
    <xf numFmtId="0" fontId="3" fillId="0" borderId="64" xfId="0" applyFont="1" applyBorder="1"/>
    <xf numFmtId="1" fontId="29" fillId="0" borderId="20" xfId="0" applyNumberFormat="1" applyFont="1" applyBorder="1" applyAlignment="1">
      <alignment horizontal="center" wrapText="1"/>
    </xf>
    <xf numFmtId="1" fontId="30" fillId="0" borderId="28" xfId="0" applyNumberFormat="1" applyFont="1" applyBorder="1" applyAlignment="1">
      <alignment horizontal="left" wrapText="1"/>
    </xf>
    <xf numFmtId="0" fontId="31" fillId="0" borderId="0" xfId="0" applyFont="1" applyAlignment="1">
      <alignment horizontal="center" vertical="center" wrapText="1"/>
    </xf>
    <xf numFmtId="0" fontId="28" fillId="4" borderId="20" xfId="0" applyFont="1" applyFill="1" applyBorder="1" applyAlignment="1">
      <alignment horizontal="center"/>
    </xf>
    <xf numFmtId="0" fontId="28" fillId="5" borderId="20" xfId="0" applyFont="1" applyFill="1" applyBorder="1" applyAlignment="1">
      <alignment horizontal="center"/>
    </xf>
    <xf numFmtId="11" fontId="28" fillId="4" borderId="20" xfId="0" applyNumberFormat="1" applyFont="1" applyFill="1" applyBorder="1" applyAlignment="1">
      <alignment horizontal="center"/>
    </xf>
    <xf numFmtId="1" fontId="29" fillId="4" borderId="20" xfId="0" applyNumberFormat="1" applyFont="1" applyFill="1" applyBorder="1" applyAlignment="1">
      <alignment horizontal="center"/>
    </xf>
    <xf numFmtId="0" fontId="2" fillId="3" borderId="63" xfId="0" applyFont="1" applyFill="1" applyBorder="1" applyAlignment="1">
      <alignment horizontal="center"/>
    </xf>
    <xf numFmtId="0" fontId="36" fillId="0" borderId="0" xfId="0" applyFont="1" applyAlignment="1">
      <alignment horizontal="center"/>
    </xf>
    <xf numFmtId="0" fontId="34" fillId="0" borderId="0" xfId="0" applyFont="1" applyAlignment="1">
      <alignment horizontal="center"/>
    </xf>
    <xf numFmtId="166" fontId="2" fillId="0" borderId="24" xfId="0" applyNumberFormat="1" applyFont="1" applyBorder="1" applyAlignment="1">
      <alignment horizontal="center"/>
    </xf>
    <xf numFmtId="1" fontId="28" fillId="3" borderId="20" xfId="0" applyNumberFormat="1" applyFont="1" applyFill="1" applyBorder="1" applyAlignment="1">
      <alignment horizontal="center" wrapText="1"/>
    </xf>
    <xf numFmtId="0" fontId="1" fillId="0" borderId="20" xfId="0" applyFont="1" applyBorder="1" applyAlignment="1">
      <alignment horizontal="center"/>
    </xf>
    <xf numFmtId="0" fontId="28" fillId="0" borderId="0" xfId="0" applyFont="1" applyAlignment="1">
      <alignment horizontal="right"/>
    </xf>
    <xf numFmtId="165" fontId="28" fillId="17" borderId="68" xfId="0" applyNumberFormat="1" applyFont="1" applyFill="1" applyBorder="1" applyAlignment="1">
      <alignment horizontal="center"/>
    </xf>
    <xf numFmtId="0" fontId="2" fillId="3" borderId="20" xfId="0" applyFont="1" applyFill="1" applyBorder="1" applyAlignment="1">
      <alignment horizontal="center"/>
    </xf>
    <xf numFmtId="0" fontId="2" fillId="0" borderId="28" xfId="0" applyFont="1" applyBorder="1" applyAlignment="1">
      <alignment horizontal="right"/>
    </xf>
    <xf numFmtId="165" fontId="28" fillId="4" borderId="66" xfId="0" applyNumberFormat="1" applyFont="1" applyFill="1" applyBorder="1" applyAlignment="1">
      <alignment horizontal="center"/>
    </xf>
    <xf numFmtId="165" fontId="28" fillId="4" borderId="20" xfId="0" applyNumberFormat="1" applyFont="1" applyFill="1" applyBorder="1" applyAlignment="1">
      <alignment horizontal="center"/>
    </xf>
    <xf numFmtId="0" fontId="4" fillId="3" borderId="20" xfId="0" applyFont="1" applyFill="1" applyBorder="1" applyAlignment="1">
      <alignment horizontal="left"/>
    </xf>
    <xf numFmtId="0" fontId="2" fillId="3" borderId="20" xfId="0" applyFont="1" applyFill="1" applyBorder="1" applyAlignment="1">
      <alignment horizontal="center" vertical="center"/>
    </xf>
    <xf numFmtId="0" fontId="2" fillId="0" borderId="28" xfId="0" applyFont="1" applyBorder="1" applyAlignment="1">
      <alignment horizontal="center" vertical="center" textRotation="180"/>
    </xf>
    <xf numFmtId="0" fontId="2" fillId="0" borderId="25" xfId="0" applyFont="1" applyBorder="1" applyAlignment="1">
      <alignment horizontal="center" vertical="center" textRotation="180"/>
    </xf>
    <xf numFmtId="0" fontId="2" fillId="0" borderId="24" xfId="0" applyFont="1" applyBorder="1" applyAlignment="1">
      <alignment horizontal="center" vertical="center"/>
    </xf>
    <xf numFmtId="0" fontId="2" fillId="0" borderId="0" xfId="0" applyFont="1" applyAlignment="1">
      <alignment horizontal="center" vertical="center"/>
    </xf>
    <xf numFmtId="0" fontId="2" fillId="0" borderId="20" xfId="0" applyFont="1" applyBorder="1" applyAlignment="1">
      <alignment horizontal="left" wrapText="1"/>
    </xf>
    <xf numFmtId="0" fontId="2" fillId="0" borderId="30" xfId="0" applyFont="1" applyBorder="1" applyAlignment="1">
      <alignment horizontal="left" wrapText="1"/>
    </xf>
    <xf numFmtId="1" fontId="4" fillId="0" borderId="0" xfId="0" applyNumberFormat="1" applyFont="1" applyAlignment="1">
      <alignment horizontal="center" vertical="center" wrapText="1"/>
    </xf>
    <xf numFmtId="0" fontId="2" fillId="6" borderId="7" xfId="0" applyFont="1" applyFill="1" applyBorder="1" applyAlignment="1">
      <alignment horizontal="center"/>
    </xf>
    <xf numFmtId="0" fontId="1" fillId="0" borderId="28" xfId="0" applyFont="1" applyBorder="1" applyAlignment="1">
      <alignment horizontal="left" vertical="top" wrapText="1"/>
    </xf>
    <xf numFmtId="165" fontId="2" fillId="3" borderId="20" xfId="0" applyNumberFormat="1" applyFont="1" applyFill="1" applyBorder="1"/>
    <xf numFmtId="0" fontId="3" fillId="0" borderId="78" xfId="0" applyFont="1" applyBorder="1"/>
    <xf numFmtId="0" fontId="2" fillId="0" borderId="20" xfId="0" applyFont="1" applyBorder="1" applyAlignment="1">
      <alignment horizontal="left"/>
    </xf>
    <xf numFmtId="0" fontId="2" fillId="3" borderId="20" xfId="0" applyFont="1" applyFill="1" applyBorder="1" applyAlignment="1">
      <alignment horizontal="center" wrapText="1"/>
    </xf>
    <xf numFmtId="0" fontId="29" fillId="0" borderId="20" xfId="0" applyFont="1" applyBorder="1" applyAlignment="1">
      <alignment horizontal="center" wrapText="1"/>
    </xf>
    <xf numFmtId="11" fontId="1" fillId="0" borderId="20" xfId="0" applyNumberFormat="1" applyFont="1" applyBorder="1" applyAlignment="1">
      <alignment horizontal="center"/>
    </xf>
    <xf numFmtId="0" fontId="2" fillId="3" borderId="82" xfId="0" applyFont="1" applyFill="1" applyBorder="1" applyAlignment="1">
      <alignment vertical="top" wrapText="1"/>
    </xf>
    <xf numFmtId="0" fontId="3" fillId="0" borderId="83" xfId="0" applyFont="1" applyBorder="1"/>
    <xf numFmtId="0" fontId="3" fillId="0" borderId="84" xfId="0" applyFont="1" applyBorder="1"/>
    <xf numFmtId="0" fontId="2" fillId="6" borderId="82" xfId="0" applyFont="1" applyFill="1" applyBorder="1" applyAlignment="1">
      <alignment vertical="top" wrapText="1"/>
    </xf>
    <xf numFmtId="0" fontId="28" fillId="0" borderId="30" xfId="0" applyFont="1" applyBorder="1" applyAlignment="1">
      <alignment horizontal="right" wrapText="1"/>
    </xf>
    <xf numFmtId="0" fontId="32" fillId="0" borderId="20" xfId="0" applyFont="1" applyBorder="1" applyAlignment="1">
      <alignment horizontal="center" vertical="center" wrapText="1"/>
    </xf>
    <xf numFmtId="0" fontId="1" fillId="0" borderId="23" xfId="0" applyFont="1" applyBorder="1" applyAlignment="1">
      <alignment horizontal="left" vertical="center" wrapText="1"/>
    </xf>
    <xf numFmtId="0" fontId="1" fillId="0" borderId="23" xfId="0" applyFont="1" applyBorder="1" applyAlignment="1">
      <alignment horizontal="left" wrapText="1"/>
    </xf>
    <xf numFmtId="11" fontId="1" fillId="0" borderId="30" xfId="0" applyNumberFormat="1" applyFont="1" applyBorder="1" applyAlignment="1">
      <alignment horizontal="center"/>
    </xf>
    <xf numFmtId="0" fontId="2" fillId="6" borderId="63" xfId="0" applyFont="1" applyFill="1" applyBorder="1" applyAlignment="1">
      <alignment horizontal="center"/>
    </xf>
    <xf numFmtId="0" fontId="1" fillId="0" borderId="28" xfId="0" applyFont="1" applyBorder="1" applyAlignment="1">
      <alignment horizontal="left" vertical="center" wrapText="1"/>
    </xf>
    <xf numFmtId="11" fontId="2" fillId="0" borderId="20" xfId="0" applyNumberFormat="1" applyFont="1" applyBorder="1" applyAlignment="1">
      <alignment horizontal="center"/>
    </xf>
    <xf numFmtId="0" fontId="2" fillId="2" borderId="20" xfId="0" applyFont="1" applyFill="1" applyBorder="1" applyAlignment="1">
      <alignment horizontal="center"/>
    </xf>
    <xf numFmtId="11" fontId="1" fillId="3" borderId="85" xfId="0" applyNumberFormat="1" applyFont="1" applyFill="1" applyBorder="1" applyAlignment="1">
      <alignment horizontal="left"/>
    </xf>
    <xf numFmtId="11" fontId="1" fillId="3" borderId="85" xfId="0" applyNumberFormat="1" applyFont="1" applyFill="1" applyBorder="1" applyAlignment="1">
      <alignment horizontal="center"/>
    </xf>
    <xf numFmtId="0" fontId="1" fillId="0" borderId="20" xfId="0" applyFont="1" applyBorder="1"/>
    <xf numFmtId="1" fontId="2" fillId="3" borderId="20" xfId="0" applyNumberFormat="1" applyFont="1" applyFill="1" applyBorder="1" applyAlignment="1">
      <alignment horizontal="center"/>
    </xf>
    <xf numFmtId="1" fontId="54" fillId="4" borderId="20" xfId="0" applyNumberFormat="1" applyFont="1" applyFill="1" applyBorder="1" applyAlignment="1">
      <alignment horizontal="center"/>
    </xf>
    <xf numFmtId="0" fontId="2" fillId="0" borderId="23" xfId="0" applyFont="1" applyBorder="1" applyAlignment="1">
      <alignment horizontal="center"/>
    </xf>
    <xf numFmtId="0" fontId="4" fillId="0" borderId="23" xfId="0" applyFont="1" applyBorder="1" applyAlignment="1">
      <alignment horizontal="center" vertical="center" wrapText="1"/>
    </xf>
    <xf numFmtId="0" fontId="2" fillId="3" borderId="7" xfId="0" applyFont="1" applyFill="1" applyBorder="1" applyAlignment="1">
      <alignment horizontal="center"/>
    </xf>
    <xf numFmtId="165" fontId="29" fillId="0" borderId="20" xfId="0" applyNumberFormat="1" applyFont="1" applyBorder="1" applyAlignment="1">
      <alignment horizontal="center" wrapText="1"/>
    </xf>
    <xf numFmtId="0" fontId="1" fillId="2" borderId="66" xfId="0" applyFont="1" applyFill="1" applyBorder="1" applyAlignment="1">
      <alignment horizontal="center"/>
    </xf>
    <xf numFmtId="0" fontId="3" fillId="0" borderId="87" xfId="0" applyFont="1" applyBorder="1"/>
    <xf numFmtId="0" fontId="1" fillId="2" borderId="20" xfId="0" applyFont="1" applyFill="1" applyBorder="1" applyAlignment="1">
      <alignment horizontal="center"/>
    </xf>
    <xf numFmtId="0" fontId="1" fillId="2" borderId="49" xfId="0" applyFont="1" applyFill="1" applyBorder="1" applyAlignment="1">
      <alignment horizontal="center"/>
    </xf>
    <xf numFmtId="49" fontId="2" fillId="2" borderId="86" xfId="0" applyNumberFormat="1" applyFont="1" applyFill="1" applyBorder="1" applyAlignment="1">
      <alignment horizontal="center"/>
    </xf>
    <xf numFmtId="0" fontId="3" fillId="0" borderId="88" xfId="0" applyFont="1" applyBorder="1"/>
    <xf numFmtId="0" fontId="2" fillId="2" borderId="20" xfId="0" applyFont="1" applyFill="1" applyBorder="1"/>
    <xf numFmtId="0" fontId="1" fillId="0" borderId="20" xfId="0" applyFont="1" applyBorder="1" applyAlignment="1">
      <alignment horizontal="left"/>
    </xf>
    <xf numFmtId="11" fontId="1" fillId="6" borderId="49" xfId="0" applyNumberFormat="1" applyFont="1" applyFill="1" applyBorder="1" applyAlignment="1">
      <alignment horizontal="center"/>
    </xf>
    <xf numFmtId="0" fontId="57" fillId="0" borderId="26" xfId="0" applyFont="1" applyBorder="1" applyAlignment="1">
      <alignment horizontal="center" vertical="center" wrapText="1"/>
    </xf>
    <xf numFmtId="0" fontId="2" fillId="6" borderId="20" xfId="0" applyFont="1" applyFill="1" applyBorder="1" applyAlignment="1">
      <alignment horizontal="center" vertical="center" wrapText="1"/>
    </xf>
    <xf numFmtId="0" fontId="2" fillId="3" borderId="89" xfId="0" applyFont="1" applyFill="1" applyBorder="1" applyAlignment="1">
      <alignment horizontal="left" vertical="top" wrapText="1"/>
    </xf>
    <xf numFmtId="165" fontId="2" fillId="0" borderId="26" xfId="0" applyNumberFormat="1" applyFont="1" applyBorder="1" applyAlignment="1">
      <alignment horizontal="center"/>
    </xf>
    <xf numFmtId="11" fontId="2" fillId="0" borderId="26" xfId="0" applyNumberFormat="1" applyFont="1" applyBorder="1" applyAlignment="1">
      <alignment horizontal="center"/>
    </xf>
    <xf numFmtId="165" fontId="2" fillId="0" borderId="25" xfId="0" applyNumberFormat="1" applyFont="1" applyBorder="1" applyAlignment="1">
      <alignment horizontal="center"/>
    </xf>
    <xf numFmtId="0" fontId="2" fillId="6" borderId="89" xfId="0" applyFont="1" applyFill="1" applyBorder="1" applyAlignment="1">
      <alignment horizontal="center"/>
    </xf>
    <xf numFmtId="0" fontId="2" fillId="6" borderId="20" xfId="0" applyFont="1" applyFill="1" applyBorder="1" applyAlignment="1">
      <alignment horizontal="center"/>
    </xf>
    <xf numFmtId="11" fontId="1" fillId="0" borderId="28" xfId="0" applyNumberFormat="1" applyFont="1" applyBorder="1" applyAlignment="1">
      <alignment horizontal="center"/>
    </xf>
    <xf numFmtId="11" fontId="1" fillId="0" borderId="0" xfId="0" applyNumberFormat="1" applyFont="1" applyAlignment="1">
      <alignment horizontal="center"/>
    </xf>
    <xf numFmtId="0" fontId="2" fillId="0" borderId="23" xfId="0" applyFont="1" applyBorder="1" applyAlignment="1">
      <alignment horizontal="left" wrapText="1"/>
    </xf>
    <xf numFmtId="0" fontId="2" fillId="3" borderId="49" xfId="0" applyFont="1" applyFill="1" applyBorder="1" applyAlignment="1">
      <alignment vertical="top" wrapText="1"/>
    </xf>
    <xf numFmtId="0" fontId="2" fillId="10" borderId="23" xfId="0" applyFont="1" applyFill="1" applyBorder="1" applyAlignment="1">
      <alignment horizontal="left" wrapText="1"/>
    </xf>
    <xf numFmtId="0" fontId="3" fillId="0" borderId="90" xfId="0" applyFont="1" applyBorder="1"/>
    <xf numFmtId="0" fontId="3" fillId="0" borderId="91" xfId="0" applyFont="1" applyBorder="1"/>
    <xf numFmtId="0" fontId="3" fillId="0" borderId="92" xfId="0" applyFont="1" applyBorder="1"/>
    <xf numFmtId="0" fontId="3" fillId="0" borderId="93" xfId="0" applyFont="1" applyBorder="1"/>
    <xf numFmtId="0" fontId="2" fillId="3" borderId="7" xfId="0" applyFont="1" applyFill="1" applyBorder="1" applyAlignment="1">
      <alignment vertical="top" wrapText="1"/>
    </xf>
    <xf numFmtId="0" fontId="1" fillId="2" borderId="68" xfId="0" applyFont="1" applyFill="1" applyBorder="1" applyAlignment="1">
      <alignment horizontal="center"/>
    </xf>
    <xf numFmtId="0" fontId="1" fillId="0" borderId="17" xfId="0" applyFont="1" applyBorder="1" applyAlignment="1">
      <alignment horizontal="center"/>
    </xf>
    <xf numFmtId="0" fontId="6" fillId="0" borderId="0" xfId="0" applyFont="1" applyAlignment="1">
      <alignment wrapText="1"/>
    </xf>
    <xf numFmtId="0" fontId="28" fillId="2" borderId="94" xfId="0" applyFont="1" applyFill="1" applyBorder="1" applyAlignment="1">
      <alignment horizontal="left" vertical="top" wrapText="1"/>
    </xf>
    <xf numFmtId="0" fontId="3" fillId="0" borderId="95" xfId="0" applyFont="1" applyBorder="1"/>
    <xf numFmtId="0" fontId="3" fillId="0" borderId="96" xfId="0" applyFont="1" applyBorder="1"/>
    <xf numFmtId="0" fontId="3" fillId="0" borderId="97" xfId="0" applyFont="1" applyBorder="1"/>
    <xf numFmtId="0" fontId="28" fillId="2" borderId="94" xfId="0" applyFont="1" applyFill="1" applyBorder="1" applyAlignment="1">
      <alignment horizontal="left" wrapText="1"/>
    </xf>
  </cellXfs>
  <cellStyles count="1">
    <cellStyle name="Normal" xfId="0" builtinId="0"/>
  </cellStyles>
  <dxfs count="396">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E36C09"/>
          <bgColor rgb="FFE36C09"/>
        </patternFill>
      </fill>
    </dxf>
    <dxf>
      <fill>
        <patternFill patternType="solid">
          <fgColor rgb="FF00B050"/>
          <bgColor rgb="FF00B05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9C0006"/>
      </font>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D0CECE"/>
          <bgColor rgb="FFD0CECE"/>
        </patternFill>
      </fill>
    </dxf>
    <dxf>
      <font>
        <color rgb="FF9C0006"/>
      </font>
      <fill>
        <patternFill patternType="solid">
          <fgColor rgb="FFD0CECE"/>
          <bgColor rgb="FFD0CECE"/>
        </patternFill>
      </fill>
    </dxf>
    <dxf>
      <fill>
        <patternFill patternType="solid">
          <fgColor rgb="FFD0CECE"/>
          <bgColor rgb="FFD0CECE"/>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C000"/>
          <bgColor rgb="FFFFC000"/>
        </patternFill>
      </fill>
    </dxf>
    <dxf>
      <font>
        <color rgb="FF000000"/>
      </font>
      <fill>
        <patternFill patternType="solid">
          <fgColor rgb="FFFFC000"/>
          <bgColor rgb="FFFFC000"/>
        </patternFill>
      </fill>
    </dxf>
    <dxf>
      <font>
        <color rgb="FF000000"/>
      </font>
      <fill>
        <patternFill patternType="solid">
          <fgColor rgb="FF00FF00"/>
          <bgColor rgb="FF00FF00"/>
        </patternFill>
      </fill>
    </dxf>
    <dxf>
      <font>
        <color rgb="FF000000"/>
      </font>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ont>
        <color rgb="FF000000"/>
      </font>
      <fill>
        <patternFill patternType="solid">
          <fgColor rgb="FFBFBFBF"/>
          <bgColor rgb="FFBFBFBF"/>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C0C0C0"/>
          <bgColor rgb="FFC0C0C0"/>
        </patternFill>
      </fill>
    </dxf>
    <dxf>
      <fill>
        <patternFill patternType="solid">
          <fgColor rgb="FFFF0000"/>
          <bgColor rgb="FFFF0000"/>
        </patternFill>
      </fill>
    </dxf>
    <dxf>
      <fill>
        <patternFill patternType="solid">
          <fgColor rgb="FF00FF00"/>
          <bgColor rgb="FF00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C0C0C0"/>
          <bgColor rgb="FFC0C0C0"/>
        </patternFill>
      </fill>
    </dxf>
    <dxf>
      <fill>
        <patternFill patternType="solid">
          <fgColor rgb="FFFFFF00"/>
          <bgColor rgb="FFFFFF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9C0006"/>
      </font>
      <fill>
        <patternFill patternType="solid">
          <fgColor rgb="FFFFC7CE"/>
          <bgColor rgb="FFFFC7CE"/>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ont>
        <color rgb="FF000000"/>
      </font>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00FF00"/>
          <bgColor rgb="FF00FF00"/>
        </patternFill>
      </fill>
    </dxf>
    <dxf>
      <fill>
        <patternFill patternType="solid">
          <fgColor rgb="FFFF0000"/>
          <bgColor rgb="FFFF0000"/>
        </patternFill>
      </fill>
    </dxf>
    <dxf>
      <font>
        <color rgb="FF00000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9900"/>
          <bgColor rgb="FFFF99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00FF00"/>
          <bgColor rgb="FF00FF00"/>
        </patternFill>
      </fill>
    </dxf>
    <dxf>
      <fill>
        <patternFill patternType="solid">
          <fgColor rgb="FFBFBFBF"/>
          <bgColor rgb="FFBFBFBF"/>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9933"/>
          <bgColor rgb="FFFF9933"/>
        </patternFill>
      </fill>
    </dxf>
    <dxf>
      <fill>
        <patternFill patternType="solid">
          <fgColor rgb="FF00FF00"/>
          <bgColor rgb="FF00FF00"/>
        </patternFill>
      </fill>
    </dxf>
    <dxf>
      <font>
        <color rgb="FF000000"/>
      </font>
      <fill>
        <patternFill patternType="solid">
          <fgColor rgb="FFFFFFFF"/>
          <bgColor rgb="FFFFFFFF"/>
        </patternFill>
      </fill>
    </dxf>
    <dxf>
      <font>
        <color rgb="FF000000"/>
      </font>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FF0000"/>
          <bgColor rgb="FFFF0000"/>
        </patternFill>
      </fill>
    </dxf>
    <dxf>
      <fill>
        <patternFill patternType="solid">
          <fgColor rgb="FFFFC000"/>
          <bgColor rgb="FFFFC000"/>
        </patternFill>
      </fill>
    </dxf>
    <dxf>
      <fill>
        <patternFill patternType="solid">
          <fgColor rgb="FFFFFFFF"/>
          <bgColor rgb="FFFFFFFF"/>
        </patternFill>
      </fill>
    </dxf>
    <dxf>
      <fill>
        <patternFill patternType="solid">
          <fgColor rgb="FFFF0000"/>
          <bgColor rgb="FFFF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customschemas.google.com/relationships/workbookmetadata" Target="metadata"/><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7.xml.rels><?xml version="1.0" encoding="UTF-8" standalone="yes"?>
<Relationships xmlns="http://schemas.openxmlformats.org/package/2006/relationships"><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5" Type="http://schemas.openxmlformats.org/officeDocument/2006/relationships/image" Target="../media/image34.png"/><Relationship Id="rId4" Type="http://schemas.openxmlformats.org/officeDocument/2006/relationships/image" Target="../media/image3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3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18.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_rels/drawing19.xml.rels><?xml version="1.0" encoding="UTF-8" standalone="yes"?>
<Relationships xmlns="http://schemas.openxmlformats.org/package/2006/relationships"><Relationship Id="rId8" Type="http://schemas.openxmlformats.org/officeDocument/2006/relationships/image" Target="../media/image56.png"/><Relationship Id="rId3" Type="http://schemas.openxmlformats.org/officeDocument/2006/relationships/image" Target="../media/image51.png"/><Relationship Id="rId7" Type="http://schemas.openxmlformats.org/officeDocument/2006/relationships/image" Target="../media/image55.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 Id="rId4" Type="http://schemas.openxmlformats.org/officeDocument/2006/relationships/image" Target="../media/image64.png"/></Relationships>
</file>

<file path=xl/drawings/_rels/drawing22.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6.png"/><Relationship Id="rId1" Type="http://schemas.openxmlformats.org/officeDocument/2006/relationships/image" Target="../media/image65.png"/></Relationships>
</file>

<file path=xl/drawings/_rels/drawing23.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8.png"/><Relationship Id="rId1" Type="http://schemas.openxmlformats.org/officeDocument/2006/relationships/image" Target="../media/image67.png"/></Relationships>
</file>

<file path=xl/drawings/_rels/drawing24.xml.rels><?xml version="1.0" encoding="UTF-8" standalone="yes"?>
<Relationships xmlns="http://schemas.openxmlformats.org/package/2006/relationships"><Relationship Id="rId1" Type="http://schemas.openxmlformats.org/officeDocument/2006/relationships/image" Target="../media/image69.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0.png"/></Relationships>
</file>

<file path=xl/drawings/_rels/drawing26.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4" Type="http://schemas.openxmlformats.org/officeDocument/2006/relationships/image" Target="../media/image74.png"/></Relationships>
</file>

<file path=xl/drawings/_rels/drawing27.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75.png"/><Relationship Id="rId4" Type="http://schemas.openxmlformats.org/officeDocument/2006/relationships/image" Target="../media/image7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79.png"/></Relationships>
</file>

<file path=xl/drawings/_rels/drawing29.xml.rels><?xml version="1.0" encoding="UTF-8" standalone="yes"?>
<Relationships xmlns="http://schemas.openxmlformats.org/package/2006/relationships"><Relationship Id="rId3" Type="http://schemas.openxmlformats.org/officeDocument/2006/relationships/image" Target="../media/image82.png"/><Relationship Id="rId7" Type="http://schemas.openxmlformats.org/officeDocument/2006/relationships/image" Target="../media/image86.png"/><Relationship Id="rId2" Type="http://schemas.openxmlformats.org/officeDocument/2006/relationships/image" Target="../media/image81.jpg"/><Relationship Id="rId1" Type="http://schemas.openxmlformats.org/officeDocument/2006/relationships/image" Target="../media/image80.png"/><Relationship Id="rId6" Type="http://schemas.openxmlformats.org/officeDocument/2006/relationships/image" Target="../media/image85.jpg"/><Relationship Id="rId5" Type="http://schemas.openxmlformats.org/officeDocument/2006/relationships/image" Target="../media/image84.png"/><Relationship Id="rId4" Type="http://schemas.openxmlformats.org/officeDocument/2006/relationships/image" Target="../media/image83.jpg"/></Relationships>
</file>

<file path=xl/drawings/drawing1.xml><?xml version="1.0" encoding="utf-8"?>
<xdr:wsDr xmlns:xdr="http://schemas.openxmlformats.org/drawingml/2006/spreadsheetDrawing" xmlns:a="http://schemas.openxmlformats.org/drawingml/2006/main">
  <xdr:oneCellAnchor>
    <xdr:from>
      <xdr:col>23</xdr:col>
      <xdr:colOff>790328</xdr:colOff>
      <xdr:row>21</xdr:row>
      <xdr:rowOff>12370</xdr:rowOff>
    </xdr:from>
    <xdr:ext cx="5703989" cy="275854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9659711" y="4811980"/>
          <a:ext cx="5703989" cy="2758540"/>
        </a:xfrm>
        <a:prstGeom prst="rect">
          <a:avLst/>
        </a:prstGeom>
        <a:noFill/>
      </xdr:spPr>
    </xdr:pic>
    <xdr:clientData fLocksWithSheet="0"/>
  </xdr:oneCellAnchor>
  <xdr:oneCellAnchor>
    <xdr:from>
      <xdr:col>19</xdr:col>
      <xdr:colOff>233300</xdr:colOff>
      <xdr:row>21</xdr:row>
      <xdr:rowOff>15339</xdr:rowOff>
    </xdr:from>
    <xdr:ext cx="3057525" cy="4867275"/>
    <xdr:pic>
      <xdr:nvPicPr>
        <xdr:cNvPr id="3" name="image3.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6628657" y="4814949"/>
          <a:ext cx="3057525" cy="4867275"/>
        </a:xfrm>
        <a:prstGeom prst="rect">
          <a:avLst/>
        </a:prstGeom>
        <a:noFill/>
      </xdr:spPr>
    </xdr:pic>
    <xdr:clientData fLocksWithSheet="0"/>
  </xdr:oneCellAnchor>
  <xdr:oneCellAnchor>
    <xdr:from>
      <xdr:col>0</xdr:col>
      <xdr:colOff>361950</xdr:colOff>
      <xdr:row>45</xdr:row>
      <xdr:rowOff>161925</xdr:rowOff>
    </xdr:from>
    <xdr:ext cx="6229350" cy="3371850"/>
    <xdr:pic>
      <xdr:nvPicPr>
        <xdr:cNvPr id="4" name="image4.png" title="Imag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361950</xdr:colOff>
      <xdr:row>45</xdr:row>
      <xdr:rowOff>161925</xdr:rowOff>
    </xdr:from>
    <xdr:ext cx="2095500" cy="1323975"/>
    <xdr:pic>
      <xdr:nvPicPr>
        <xdr:cNvPr id="5" name="image2.png" title="Imag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247650</xdr:colOff>
      <xdr:row>21</xdr:row>
      <xdr:rowOff>133350</xdr:rowOff>
    </xdr:from>
    <xdr:ext cx="6562725" cy="3162300"/>
    <xdr:pic>
      <xdr:nvPicPr>
        <xdr:cNvPr id="6" name="image5.png" title="Imag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editAs="oneCell">
    <xdr:from>
      <xdr:col>24</xdr:col>
      <xdr:colOff>480207</xdr:colOff>
      <xdr:row>39</xdr:row>
      <xdr:rowOff>61849</xdr:rowOff>
    </xdr:from>
    <xdr:to>
      <xdr:col>28</xdr:col>
      <xdr:colOff>114247</xdr:colOff>
      <xdr:row>62</xdr:row>
      <xdr:rowOff>12368</xdr:rowOff>
    </xdr:to>
    <xdr:pic>
      <xdr:nvPicPr>
        <xdr:cNvPr id="8" name="Image 7">
          <a:extLst>
            <a:ext uri="{FF2B5EF4-FFF2-40B4-BE49-F238E27FC236}">
              <a16:creationId xmlns:a16="http://schemas.microsoft.com/office/drawing/2014/main" id="{65046BC6-3A97-76F0-15E1-B204DBD710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388681" y="7756070"/>
          <a:ext cx="3023456" cy="4713019"/>
        </a:xfrm>
        <a:prstGeom prst="rect">
          <a:avLst/>
        </a:prstGeom>
      </xdr:spPr>
    </xdr:pic>
    <xdr:clientData/>
  </xdr:twoCellAnchor>
  <xdr:twoCellAnchor editAs="oneCell">
    <xdr:from>
      <xdr:col>28</xdr:col>
      <xdr:colOff>358734</xdr:colOff>
      <xdr:row>39</xdr:row>
      <xdr:rowOff>41117</xdr:rowOff>
    </xdr:from>
    <xdr:to>
      <xdr:col>31</xdr:col>
      <xdr:colOff>2251363</xdr:colOff>
      <xdr:row>61</xdr:row>
      <xdr:rowOff>155200</xdr:rowOff>
    </xdr:to>
    <xdr:pic>
      <xdr:nvPicPr>
        <xdr:cNvPr id="9" name="Image 8">
          <a:extLst>
            <a:ext uri="{FF2B5EF4-FFF2-40B4-BE49-F238E27FC236}">
              <a16:creationId xmlns:a16="http://schemas.microsoft.com/office/drawing/2014/main" id="{AEC521D0-C355-022E-AD79-7F3F968F29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656624" y="7735338"/>
          <a:ext cx="3574966" cy="4715771"/>
        </a:xfrm>
        <a:prstGeom prst="rect">
          <a:avLst/>
        </a:prstGeom>
      </xdr:spPr>
    </xdr:pic>
    <xdr:clientData/>
  </xdr:twoCellAnchor>
  <xdr:twoCellAnchor>
    <xdr:from>
      <xdr:col>21</xdr:col>
      <xdr:colOff>544286</xdr:colOff>
      <xdr:row>51</xdr:row>
      <xdr:rowOff>160811</xdr:rowOff>
    </xdr:from>
    <xdr:to>
      <xdr:col>22</xdr:col>
      <xdr:colOff>667987</xdr:colOff>
      <xdr:row>51</xdr:row>
      <xdr:rowOff>482434</xdr:rowOff>
    </xdr:to>
    <xdr:sp macro="" textlink="">
      <xdr:nvSpPr>
        <xdr:cNvPr id="10" name="ZoneTexte 9">
          <a:extLst>
            <a:ext uri="{FF2B5EF4-FFF2-40B4-BE49-F238E27FC236}">
              <a16:creationId xmlns:a16="http://schemas.microsoft.com/office/drawing/2014/main" id="{F23F39F1-429B-5B13-905E-F82E384AA681}"/>
            </a:ext>
          </a:extLst>
        </xdr:cNvPr>
        <xdr:cNvSpPr txBox="1"/>
      </xdr:nvSpPr>
      <xdr:spPr>
        <a:xfrm>
          <a:off x="7607630" y="9784772"/>
          <a:ext cx="1162792" cy="3216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Front View</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20</xdr:row>
      <xdr:rowOff>0</xdr:rowOff>
    </xdr:from>
    <xdr:ext cx="4876800" cy="2305050"/>
    <xdr:pic>
      <xdr:nvPicPr>
        <xdr:cNvPr id="2" name="image6.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35</xdr:row>
      <xdr:rowOff>161925</xdr:rowOff>
    </xdr:from>
    <xdr:ext cx="4876800" cy="2257425"/>
    <xdr:pic>
      <xdr:nvPicPr>
        <xdr:cNvPr id="3" name="image7.png" title="Image">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6</xdr:col>
      <xdr:colOff>19050</xdr:colOff>
      <xdr:row>6</xdr:row>
      <xdr:rowOff>133350</xdr:rowOff>
    </xdr:from>
    <xdr:ext cx="5295900" cy="3362325"/>
    <xdr:pic>
      <xdr:nvPicPr>
        <xdr:cNvPr id="2" name="image9.png" title="Image">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323850</xdr:colOff>
      <xdr:row>66</xdr:row>
      <xdr:rowOff>171450</xdr:rowOff>
    </xdr:from>
    <xdr:ext cx="10125075" cy="3514725"/>
    <xdr:pic>
      <xdr:nvPicPr>
        <xdr:cNvPr id="2" name="image10.png" title="Image">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3143250</xdr:colOff>
      <xdr:row>40</xdr:row>
      <xdr:rowOff>133350</xdr:rowOff>
    </xdr:from>
    <xdr:ext cx="2095500" cy="1323975"/>
    <xdr:pic>
      <xdr:nvPicPr>
        <xdr:cNvPr id="3" name="image2.png" title="Image">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323850</xdr:colOff>
      <xdr:row>39</xdr:row>
      <xdr:rowOff>95250</xdr:rowOff>
    </xdr:from>
    <xdr:ext cx="2466975" cy="4371975"/>
    <xdr:pic>
      <xdr:nvPicPr>
        <xdr:cNvPr id="4" name="image8.png" title="Image">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266700</xdr:colOff>
      <xdr:row>42</xdr:row>
      <xdr:rowOff>-161925</xdr:rowOff>
    </xdr:from>
    <xdr:ext cx="7362825" cy="6772275"/>
    <xdr:pic>
      <xdr:nvPicPr>
        <xdr:cNvPr id="2" name="image11.png" title="Image">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152400</xdr:colOff>
      <xdr:row>40</xdr:row>
      <xdr:rowOff>28575</xdr:rowOff>
    </xdr:from>
    <xdr:ext cx="7686676" cy="2895600"/>
    <xdr:pic>
      <xdr:nvPicPr>
        <xdr:cNvPr id="2" name="image13.png" title="Image">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xfrm>
          <a:off x="381000" y="6696075"/>
          <a:ext cx="7686676" cy="2895600"/>
        </a:xfrm>
        <a:prstGeom prst="rect">
          <a:avLst/>
        </a:prstGeom>
        <a:noFill/>
      </xdr:spPr>
    </xdr:pic>
    <xdr:clientData fLocksWithSheet="0"/>
  </xdr:oneCellAnchor>
  <xdr:oneCellAnchor>
    <xdr:from>
      <xdr:col>1</xdr:col>
      <xdr:colOff>152400</xdr:colOff>
      <xdr:row>59</xdr:row>
      <xdr:rowOff>9525</xdr:rowOff>
    </xdr:from>
    <xdr:ext cx="4076700" cy="876300"/>
    <xdr:pic>
      <xdr:nvPicPr>
        <xdr:cNvPr id="3" name="image14.png" title="Image">
          <a:extLst>
            <a:ext uri="{FF2B5EF4-FFF2-40B4-BE49-F238E27FC236}">
              <a16:creationId xmlns:a16="http://schemas.microsoft.com/office/drawing/2014/main" id="{00000000-0008-0000-1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571500</xdr:colOff>
      <xdr:row>59</xdr:row>
      <xdr:rowOff>9525</xdr:rowOff>
    </xdr:from>
    <xdr:ext cx="1495425" cy="447675"/>
    <xdr:pic>
      <xdr:nvPicPr>
        <xdr:cNvPr id="4" name="image12.png" title="Image">
          <a:extLst>
            <a:ext uri="{FF2B5EF4-FFF2-40B4-BE49-F238E27FC236}">
              <a16:creationId xmlns:a16="http://schemas.microsoft.com/office/drawing/2014/main" id="{00000000-0008-0000-1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twoCellAnchor editAs="oneCell">
    <xdr:from>
      <xdr:col>1</xdr:col>
      <xdr:colOff>523876</xdr:colOff>
      <xdr:row>66</xdr:row>
      <xdr:rowOff>10398</xdr:rowOff>
    </xdr:from>
    <xdr:to>
      <xdr:col>4</xdr:col>
      <xdr:colOff>0</xdr:colOff>
      <xdr:row>83</xdr:row>
      <xdr:rowOff>150494</xdr:rowOff>
    </xdr:to>
    <xdr:pic>
      <xdr:nvPicPr>
        <xdr:cNvPr id="6" name="Image 5">
          <a:extLst>
            <a:ext uri="{FF2B5EF4-FFF2-40B4-BE49-F238E27FC236}">
              <a16:creationId xmlns:a16="http://schemas.microsoft.com/office/drawing/2014/main" id="{214C435A-9725-5DD7-10DE-2FFE55137CC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52476" y="10887948"/>
          <a:ext cx="3524249" cy="2892821"/>
        </a:xfrm>
        <a:prstGeom prst="rect">
          <a:avLst/>
        </a:prstGeom>
      </xdr:spPr>
    </xdr:pic>
    <xdr:clientData/>
  </xdr:twoCellAnchor>
  <xdr:twoCellAnchor editAs="oneCell">
    <xdr:from>
      <xdr:col>4</xdr:col>
      <xdr:colOff>381000</xdr:colOff>
      <xdr:row>66</xdr:row>
      <xdr:rowOff>0</xdr:rowOff>
    </xdr:from>
    <xdr:to>
      <xdr:col>8</xdr:col>
      <xdr:colOff>837334</xdr:colOff>
      <xdr:row>83</xdr:row>
      <xdr:rowOff>158815</xdr:rowOff>
    </xdr:to>
    <xdr:pic>
      <xdr:nvPicPr>
        <xdr:cNvPr id="8" name="Image 7">
          <a:extLst>
            <a:ext uri="{FF2B5EF4-FFF2-40B4-BE49-F238E27FC236}">
              <a16:creationId xmlns:a16="http://schemas.microsoft.com/office/drawing/2014/main" id="{A792AA95-F82E-EE5A-13F7-F1536C9DBC9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57725" y="10877550"/>
          <a:ext cx="3542434" cy="2911540"/>
        </a:xfrm>
        <a:prstGeom prst="rect">
          <a:avLst/>
        </a:prstGeom>
      </xdr:spPr>
    </xdr:pic>
    <xdr:clientData/>
  </xdr:twoCellAnchor>
  <xdr:twoCellAnchor editAs="oneCell">
    <xdr:from>
      <xdr:col>9</xdr:col>
      <xdr:colOff>266701</xdr:colOff>
      <xdr:row>66</xdr:row>
      <xdr:rowOff>8066</xdr:rowOff>
    </xdr:from>
    <xdr:to>
      <xdr:col>14</xdr:col>
      <xdr:colOff>266700</xdr:colOff>
      <xdr:row>83</xdr:row>
      <xdr:rowOff>139374</xdr:rowOff>
    </xdr:to>
    <xdr:pic>
      <xdr:nvPicPr>
        <xdr:cNvPr id="10" name="Image 9">
          <a:extLst>
            <a:ext uri="{FF2B5EF4-FFF2-40B4-BE49-F238E27FC236}">
              <a16:creationId xmlns:a16="http://schemas.microsoft.com/office/drawing/2014/main" id="{041F142D-18EC-0751-2869-9111039B230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591551" y="10885616"/>
          <a:ext cx="3600449" cy="2884033"/>
        </a:xfrm>
        <a:prstGeom prst="rect">
          <a:avLst/>
        </a:prstGeom>
      </xdr:spPr>
    </xdr:pic>
    <xdr:clientData/>
  </xdr:twoCellAnchor>
  <xdr:twoCellAnchor>
    <xdr:from>
      <xdr:col>1</xdr:col>
      <xdr:colOff>1562101</xdr:colOff>
      <xdr:row>84</xdr:row>
      <xdr:rowOff>142876</xdr:rowOff>
    </xdr:from>
    <xdr:to>
      <xdr:col>2</xdr:col>
      <xdr:colOff>180976</xdr:colOff>
      <xdr:row>86</xdr:row>
      <xdr:rowOff>76200</xdr:rowOff>
    </xdr:to>
    <xdr:sp macro="" textlink="">
      <xdr:nvSpPr>
        <xdr:cNvPr id="11" name="ZoneTexte 10">
          <a:extLst>
            <a:ext uri="{FF2B5EF4-FFF2-40B4-BE49-F238E27FC236}">
              <a16:creationId xmlns:a16="http://schemas.microsoft.com/office/drawing/2014/main" id="{0B12DA50-68CC-7ADB-F3AD-95CFA4C02130}"/>
            </a:ext>
          </a:extLst>
        </xdr:cNvPr>
        <xdr:cNvSpPr txBox="1"/>
      </xdr:nvSpPr>
      <xdr:spPr>
        <a:xfrm>
          <a:off x="1790701" y="13935076"/>
          <a:ext cx="1676400" cy="257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100"/>
            <a:t>Upper tube (28x1.5)</a:t>
          </a:r>
        </a:p>
      </xdr:txBody>
    </xdr:sp>
    <xdr:clientData/>
  </xdr:twoCellAnchor>
  <xdr:twoCellAnchor>
    <xdr:from>
      <xdr:col>5</xdr:col>
      <xdr:colOff>533400</xdr:colOff>
      <xdr:row>84</xdr:row>
      <xdr:rowOff>152401</xdr:rowOff>
    </xdr:from>
    <xdr:to>
      <xdr:col>8</xdr:col>
      <xdr:colOff>57150</xdr:colOff>
      <xdr:row>86</xdr:row>
      <xdr:rowOff>95250</xdr:rowOff>
    </xdr:to>
    <xdr:sp macro="" textlink="">
      <xdr:nvSpPr>
        <xdr:cNvPr id="12" name="ZoneTexte 11">
          <a:extLst>
            <a:ext uri="{FF2B5EF4-FFF2-40B4-BE49-F238E27FC236}">
              <a16:creationId xmlns:a16="http://schemas.microsoft.com/office/drawing/2014/main" id="{3DDB68BF-631E-49D2-B870-C97682C4E55C}"/>
            </a:ext>
          </a:extLst>
        </xdr:cNvPr>
        <xdr:cNvSpPr txBox="1"/>
      </xdr:nvSpPr>
      <xdr:spPr>
        <a:xfrm>
          <a:off x="5581650" y="13944601"/>
          <a:ext cx="1838325" cy="266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Diagonal tube (25x1.5)</a:t>
          </a:r>
        </a:p>
      </xdr:txBody>
    </xdr:sp>
    <xdr:clientData/>
  </xdr:twoCellAnchor>
  <xdr:twoCellAnchor>
    <xdr:from>
      <xdr:col>10</xdr:col>
      <xdr:colOff>504825</xdr:colOff>
      <xdr:row>84</xdr:row>
      <xdr:rowOff>133350</xdr:rowOff>
    </xdr:from>
    <xdr:to>
      <xdr:col>13</xdr:col>
      <xdr:colOff>104775</xdr:colOff>
      <xdr:row>86</xdr:row>
      <xdr:rowOff>95251</xdr:rowOff>
    </xdr:to>
    <xdr:sp macro="" textlink="">
      <xdr:nvSpPr>
        <xdr:cNvPr id="13" name="ZoneTexte 12">
          <a:extLst>
            <a:ext uri="{FF2B5EF4-FFF2-40B4-BE49-F238E27FC236}">
              <a16:creationId xmlns:a16="http://schemas.microsoft.com/office/drawing/2014/main" id="{F2DC18AE-35A9-4060-95C4-AD42BD857146}"/>
            </a:ext>
          </a:extLst>
        </xdr:cNvPr>
        <xdr:cNvSpPr txBox="1"/>
      </xdr:nvSpPr>
      <xdr:spPr>
        <a:xfrm>
          <a:off x="9601200" y="13925550"/>
          <a:ext cx="1666875" cy="28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Lower tube </a:t>
          </a:r>
          <a:r>
            <a:rPr lang="fr-FR" sz="1100">
              <a:solidFill>
                <a:schemeClr val="dk1"/>
              </a:solidFill>
              <a:effectLst/>
              <a:latin typeface="+mn-lt"/>
              <a:ea typeface="+mn-ea"/>
              <a:cs typeface="+mn-cs"/>
            </a:rPr>
            <a:t>(25x1.5)</a:t>
          </a:r>
          <a:endParaRPr lang="fr-FR"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20</xdr:col>
      <xdr:colOff>0</xdr:colOff>
      <xdr:row>15</xdr:row>
      <xdr:rowOff>28575</xdr:rowOff>
    </xdr:from>
    <xdr:ext cx="1400175" cy="38100"/>
    <xdr:grpSp>
      <xdr:nvGrpSpPr>
        <xdr:cNvPr id="2" name="Shape 2">
          <a:extLst>
            <a:ext uri="{FF2B5EF4-FFF2-40B4-BE49-F238E27FC236}">
              <a16:creationId xmlns:a16="http://schemas.microsoft.com/office/drawing/2014/main" id="{00000000-0008-0000-1300-000002000000}"/>
            </a:ext>
          </a:extLst>
        </xdr:cNvPr>
        <xdr:cNvGrpSpPr/>
      </xdr:nvGrpSpPr>
      <xdr:grpSpPr>
        <a:xfrm>
          <a:off x="13801725" y="2495550"/>
          <a:ext cx="1400175" cy="38100"/>
          <a:chOff x="4645913" y="3780000"/>
          <a:chExt cx="1400175" cy="0"/>
        </a:xfrm>
      </xdr:grpSpPr>
      <xdr:cxnSp macro="">
        <xdr:nvCxnSpPr>
          <xdr:cNvPr id="3" name="Shape 3">
            <a:extLst>
              <a:ext uri="{FF2B5EF4-FFF2-40B4-BE49-F238E27FC236}">
                <a16:creationId xmlns:a16="http://schemas.microsoft.com/office/drawing/2014/main" id="{00000000-0008-0000-1300-000003000000}"/>
              </a:ext>
            </a:extLst>
          </xdr:cNvPr>
          <xdr:cNvCxnSpPr/>
        </xdr:nvCxnSpPr>
        <xdr:spPr>
          <a:xfrm>
            <a:off x="4645913" y="3780000"/>
            <a:ext cx="140017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23</xdr:col>
      <xdr:colOff>28575</xdr:colOff>
      <xdr:row>15</xdr:row>
      <xdr:rowOff>28575</xdr:rowOff>
    </xdr:from>
    <xdr:ext cx="2600325" cy="38100"/>
    <xdr:grpSp>
      <xdr:nvGrpSpPr>
        <xdr:cNvPr id="4" name="Shape 2">
          <a:extLst>
            <a:ext uri="{FF2B5EF4-FFF2-40B4-BE49-F238E27FC236}">
              <a16:creationId xmlns:a16="http://schemas.microsoft.com/office/drawing/2014/main" id="{00000000-0008-0000-1300-000004000000}"/>
            </a:ext>
          </a:extLst>
        </xdr:cNvPr>
        <xdr:cNvGrpSpPr/>
      </xdr:nvGrpSpPr>
      <xdr:grpSpPr>
        <a:xfrm>
          <a:off x="15049500" y="2495550"/>
          <a:ext cx="2600325" cy="38100"/>
          <a:chOff x="4045838" y="3780000"/>
          <a:chExt cx="2600325" cy="0"/>
        </a:xfrm>
      </xdr:grpSpPr>
      <xdr:cxnSp macro="">
        <xdr:nvCxnSpPr>
          <xdr:cNvPr id="5" name="Shape 4">
            <a:extLst>
              <a:ext uri="{FF2B5EF4-FFF2-40B4-BE49-F238E27FC236}">
                <a16:creationId xmlns:a16="http://schemas.microsoft.com/office/drawing/2014/main" id="{00000000-0008-0000-1300-000005000000}"/>
              </a:ext>
            </a:extLst>
          </xdr:cNvPr>
          <xdr:cNvCxnSpPr/>
        </xdr:nvCxnSpPr>
        <xdr:spPr>
          <a:xfrm>
            <a:off x="4045838" y="3780000"/>
            <a:ext cx="2600325" cy="0"/>
          </a:xfrm>
          <a:prstGeom prst="straightConnector1">
            <a:avLst/>
          </a:prstGeom>
          <a:noFill/>
          <a:ln w="9525" cap="flat" cmpd="sng">
            <a:solidFill>
              <a:srgbClr val="4A7DBA"/>
            </a:solidFill>
            <a:prstDash val="solid"/>
            <a:round/>
            <a:headEnd type="stealth" w="med" len="med"/>
            <a:tailEnd type="stealth" w="med" len="med"/>
          </a:ln>
        </xdr:spPr>
      </xdr:cxnSp>
    </xdr:grpSp>
    <xdr:clientData fLocksWithSheet="0"/>
  </xdr:oneCellAnchor>
  <xdr:oneCellAnchor>
    <xdr:from>
      <xdr:col>20</xdr:col>
      <xdr:colOff>-19050</xdr:colOff>
      <xdr:row>13</xdr:row>
      <xdr:rowOff>38100</xdr:rowOff>
    </xdr:from>
    <xdr:ext cx="38100" cy="419100"/>
    <xdr:grpSp>
      <xdr:nvGrpSpPr>
        <xdr:cNvPr id="6" name="Shape 2">
          <a:extLst>
            <a:ext uri="{FF2B5EF4-FFF2-40B4-BE49-F238E27FC236}">
              <a16:creationId xmlns:a16="http://schemas.microsoft.com/office/drawing/2014/main" id="{00000000-0008-0000-1300-000006000000}"/>
            </a:ext>
          </a:extLst>
        </xdr:cNvPr>
        <xdr:cNvGrpSpPr/>
      </xdr:nvGrpSpPr>
      <xdr:grpSpPr>
        <a:xfrm>
          <a:off x="13782675" y="2181225"/>
          <a:ext cx="38100" cy="419100"/>
          <a:chOff x="5346000" y="3570450"/>
          <a:chExt cx="0" cy="419100"/>
        </a:xfrm>
      </xdr:grpSpPr>
      <xdr:cxnSp macro="">
        <xdr:nvCxnSpPr>
          <xdr:cNvPr id="7" name="Shape 5">
            <a:extLst>
              <a:ext uri="{FF2B5EF4-FFF2-40B4-BE49-F238E27FC236}">
                <a16:creationId xmlns:a16="http://schemas.microsoft.com/office/drawing/2014/main" id="{00000000-0008-0000-1300-000007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23</xdr:col>
      <xdr:colOff>-9525</xdr:colOff>
      <xdr:row>13</xdr:row>
      <xdr:rowOff>38100</xdr:rowOff>
    </xdr:from>
    <xdr:ext cx="38100" cy="419100"/>
    <xdr:grpSp>
      <xdr:nvGrpSpPr>
        <xdr:cNvPr id="8" name="Shape 2">
          <a:extLst>
            <a:ext uri="{FF2B5EF4-FFF2-40B4-BE49-F238E27FC236}">
              <a16:creationId xmlns:a16="http://schemas.microsoft.com/office/drawing/2014/main" id="{00000000-0008-0000-1300-000008000000}"/>
            </a:ext>
          </a:extLst>
        </xdr:cNvPr>
        <xdr:cNvGrpSpPr/>
      </xdr:nvGrpSpPr>
      <xdr:grpSpPr>
        <a:xfrm>
          <a:off x="15011400" y="2181225"/>
          <a:ext cx="38100" cy="419100"/>
          <a:chOff x="5346000" y="3570450"/>
          <a:chExt cx="0" cy="419100"/>
        </a:xfrm>
      </xdr:grpSpPr>
      <xdr:cxnSp macro="">
        <xdr:nvCxnSpPr>
          <xdr:cNvPr id="9" name="Shape 5">
            <a:extLst>
              <a:ext uri="{FF2B5EF4-FFF2-40B4-BE49-F238E27FC236}">
                <a16:creationId xmlns:a16="http://schemas.microsoft.com/office/drawing/2014/main" id="{00000000-0008-0000-1300-000009000000}"/>
              </a:ext>
            </a:extLst>
          </xdr:cNvPr>
          <xdr:cNvCxnSpPr/>
        </xdr:nvCxnSpPr>
        <xdr:spPr>
          <a:xfrm>
            <a:off x="5346000" y="3570450"/>
            <a:ext cx="0" cy="419100"/>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26</xdr:col>
      <xdr:colOff>-19050</xdr:colOff>
      <xdr:row>9</xdr:row>
      <xdr:rowOff>28575</xdr:rowOff>
    </xdr:from>
    <xdr:ext cx="38100" cy="1533525"/>
    <xdr:grpSp>
      <xdr:nvGrpSpPr>
        <xdr:cNvPr id="10" name="Shape 2">
          <a:extLst>
            <a:ext uri="{FF2B5EF4-FFF2-40B4-BE49-F238E27FC236}">
              <a16:creationId xmlns:a16="http://schemas.microsoft.com/office/drawing/2014/main" id="{00000000-0008-0000-1300-00000A000000}"/>
            </a:ext>
          </a:extLst>
        </xdr:cNvPr>
        <xdr:cNvGrpSpPr/>
      </xdr:nvGrpSpPr>
      <xdr:grpSpPr>
        <a:xfrm>
          <a:off x="17287875" y="1524000"/>
          <a:ext cx="38100" cy="1533525"/>
          <a:chOff x="5346000" y="3013238"/>
          <a:chExt cx="0" cy="1533525"/>
        </a:xfrm>
      </xdr:grpSpPr>
      <xdr:cxnSp macro="">
        <xdr:nvCxnSpPr>
          <xdr:cNvPr id="11" name="Shape 6">
            <a:extLst>
              <a:ext uri="{FF2B5EF4-FFF2-40B4-BE49-F238E27FC236}">
                <a16:creationId xmlns:a16="http://schemas.microsoft.com/office/drawing/2014/main" id="{00000000-0008-0000-1300-00000B000000}"/>
              </a:ext>
            </a:extLst>
          </xdr:cNvPr>
          <xdr:cNvCxnSpPr/>
        </xdr:nvCxnSpPr>
        <xdr:spPr>
          <a:xfrm>
            <a:off x="5346000" y="3013238"/>
            <a:ext cx="0" cy="1533525"/>
          </a:xfrm>
          <a:prstGeom prst="straightConnector1">
            <a:avLst/>
          </a:prstGeom>
          <a:noFill/>
          <a:ln w="9525" cap="flat" cmpd="sng">
            <a:solidFill>
              <a:srgbClr val="4A7DBA"/>
            </a:solidFill>
            <a:prstDash val="solid"/>
            <a:round/>
            <a:headEnd type="none" w="sm" len="sm"/>
            <a:tailEnd type="none" w="sm" len="sm"/>
          </a:ln>
        </xdr:spPr>
      </xdr:cxnSp>
    </xdr:grpSp>
    <xdr:clientData fLocksWithSheet="0"/>
  </xdr:oneCellAnchor>
  <xdr:oneCellAnchor>
    <xdr:from>
      <xdr:col>1</xdr:col>
      <xdr:colOff>200025</xdr:colOff>
      <xdr:row>42</xdr:row>
      <xdr:rowOff>57150</xdr:rowOff>
    </xdr:from>
    <xdr:ext cx="10629900" cy="8991600"/>
    <xdr:pic>
      <xdr:nvPicPr>
        <xdr:cNvPr id="12" name="image15.png" title="Image">
          <a:extLst>
            <a:ext uri="{FF2B5EF4-FFF2-40B4-BE49-F238E27FC236}">
              <a16:creationId xmlns:a16="http://schemas.microsoft.com/office/drawing/2014/main" id="{00000000-0008-0000-13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352425</xdr:colOff>
      <xdr:row>31</xdr:row>
      <xdr:rowOff>57150</xdr:rowOff>
    </xdr:from>
    <xdr:ext cx="5200650" cy="4057650"/>
    <xdr:pic>
      <xdr:nvPicPr>
        <xdr:cNvPr id="2" name="image16.png" title="Image">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228600</xdr:colOff>
      <xdr:row>31</xdr:row>
      <xdr:rowOff>57150</xdr:rowOff>
    </xdr:from>
    <xdr:ext cx="6667500" cy="3533775"/>
    <xdr:pic>
      <xdr:nvPicPr>
        <xdr:cNvPr id="3" name="image17.png" title="Image">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295275</xdr:colOff>
      <xdr:row>41</xdr:row>
      <xdr:rowOff>-190500</xdr:rowOff>
    </xdr:from>
    <xdr:ext cx="3124200" cy="4991100"/>
    <xdr:pic>
      <xdr:nvPicPr>
        <xdr:cNvPr id="2" name="image18.png" title="Image">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xdr:col>
      <xdr:colOff>171450</xdr:colOff>
      <xdr:row>49</xdr:row>
      <xdr:rowOff>38100</xdr:rowOff>
    </xdr:from>
    <xdr:ext cx="4876800" cy="2895600"/>
    <xdr:pic>
      <xdr:nvPicPr>
        <xdr:cNvPr id="2" name="image21.png" title="Image">
          <a:extLst>
            <a:ext uri="{FF2B5EF4-FFF2-40B4-BE49-F238E27FC236}">
              <a16:creationId xmlns:a16="http://schemas.microsoft.com/office/drawing/2014/main" id="{00000000-0008-0000-1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171450</xdr:colOff>
      <xdr:row>67</xdr:row>
      <xdr:rowOff>123825</xdr:rowOff>
    </xdr:from>
    <xdr:ext cx="4876800" cy="2638425"/>
    <xdr:pic>
      <xdr:nvPicPr>
        <xdr:cNvPr id="3" name="image19.png" title="Image">
          <a:extLst>
            <a:ext uri="{FF2B5EF4-FFF2-40B4-BE49-F238E27FC236}">
              <a16:creationId xmlns:a16="http://schemas.microsoft.com/office/drawing/2014/main" id="{00000000-0008-0000-1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561975</xdr:colOff>
      <xdr:row>49</xdr:row>
      <xdr:rowOff>38100</xdr:rowOff>
    </xdr:from>
    <xdr:ext cx="5467350" cy="2895600"/>
    <xdr:pic>
      <xdr:nvPicPr>
        <xdr:cNvPr id="4" name="image22.png" title="Image">
          <a:extLst>
            <a:ext uri="{FF2B5EF4-FFF2-40B4-BE49-F238E27FC236}">
              <a16:creationId xmlns:a16="http://schemas.microsoft.com/office/drawing/2014/main" id="{00000000-0008-0000-1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561975</xdr:colOff>
      <xdr:row>67</xdr:row>
      <xdr:rowOff>123825</xdr:rowOff>
    </xdr:from>
    <xdr:ext cx="4705350" cy="2638425"/>
    <xdr:pic>
      <xdr:nvPicPr>
        <xdr:cNvPr id="5" name="image20.png" title="Image">
          <a:extLst>
            <a:ext uri="{FF2B5EF4-FFF2-40B4-BE49-F238E27FC236}">
              <a16:creationId xmlns:a16="http://schemas.microsoft.com/office/drawing/2014/main" id="{00000000-0008-0000-1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0</xdr:colOff>
      <xdr:row>40</xdr:row>
      <xdr:rowOff>0</xdr:rowOff>
    </xdr:from>
    <xdr:ext cx="4800600" cy="2457450"/>
    <xdr:pic>
      <xdr:nvPicPr>
        <xdr:cNvPr id="2" name="image23.png" title="Image">
          <a:extLst>
            <a:ext uri="{FF2B5EF4-FFF2-40B4-BE49-F238E27FC236}">
              <a16:creationId xmlns:a16="http://schemas.microsoft.com/office/drawing/2014/main" id="{00000000-0008-0000-1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152400</xdr:colOff>
      <xdr:row>37</xdr:row>
      <xdr:rowOff>142875</xdr:rowOff>
    </xdr:from>
    <xdr:ext cx="4552950" cy="2619375"/>
    <xdr:pic>
      <xdr:nvPicPr>
        <xdr:cNvPr id="2" name="image24.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28</xdr:col>
      <xdr:colOff>914400</xdr:colOff>
      <xdr:row>20</xdr:row>
      <xdr:rowOff>76200</xdr:rowOff>
    </xdr:from>
    <xdr:ext cx="1485900" cy="990600"/>
    <xdr:sp macro="" textlink="">
      <xdr:nvSpPr>
        <xdr:cNvPr id="8" name="Shape 8">
          <a:extLst>
            <a:ext uri="{FF2B5EF4-FFF2-40B4-BE49-F238E27FC236}">
              <a16:creationId xmlns:a16="http://schemas.microsoft.com/office/drawing/2014/main" id="{00000000-0008-0000-1B00-000008000000}"/>
            </a:ext>
          </a:extLst>
        </xdr:cNvPr>
        <xdr:cNvSpPr/>
      </xdr:nvSpPr>
      <xdr:spPr>
        <a:xfrm rot="-8893417">
          <a:off x="1158990" y="1887183"/>
          <a:ext cx="1646964" cy="127710"/>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28</xdr:col>
      <xdr:colOff>180975</xdr:colOff>
      <xdr:row>28</xdr:row>
      <xdr:rowOff>95250</xdr:rowOff>
    </xdr:from>
    <xdr:ext cx="2133600" cy="838200"/>
    <xdr:sp macro="" textlink="">
      <xdr:nvSpPr>
        <xdr:cNvPr id="9" name="Shape 9">
          <a:extLst>
            <a:ext uri="{FF2B5EF4-FFF2-40B4-BE49-F238E27FC236}">
              <a16:creationId xmlns:a16="http://schemas.microsoft.com/office/drawing/2014/main" id="{00000000-0008-0000-1B00-000009000000}"/>
            </a:ext>
          </a:extLst>
        </xdr:cNvPr>
        <xdr:cNvSpPr/>
      </xdr:nvSpPr>
      <xdr:spPr>
        <a:xfrm rot="9753429">
          <a:off x="2147317" y="947905"/>
          <a:ext cx="2158768" cy="176388"/>
        </a:xfrm>
        <a:prstGeom prst="rightArrow">
          <a:avLst>
            <a:gd name="adj1" fmla="val 50000"/>
            <a:gd name="adj2" fmla="val 50000"/>
          </a:avLst>
        </a:prstGeom>
        <a:solidFill>
          <a:srgbClr val="FFFFF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endParaRPr sz="1400"/>
        </a:p>
      </xdr:txBody>
    </xdr:sp>
    <xdr:clientData fLocksWithSheet="0"/>
  </xdr:oneCellAnchor>
  <xdr:oneCellAnchor>
    <xdr:from>
      <xdr:col>1</xdr:col>
      <xdr:colOff>342900</xdr:colOff>
      <xdr:row>4</xdr:row>
      <xdr:rowOff>19050</xdr:rowOff>
    </xdr:from>
    <xdr:ext cx="4381500" cy="4591050"/>
    <xdr:pic>
      <xdr:nvPicPr>
        <xdr:cNvPr id="2" name="image27.png" title="Image">
          <a:extLst>
            <a:ext uri="{FF2B5EF4-FFF2-40B4-BE49-F238E27FC236}">
              <a16:creationId xmlns:a16="http://schemas.microsoft.com/office/drawing/2014/main" id="{00000000-0008-0000-1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57150</xdr:colOff>
      <xdr:row>19</xdr:row>
      <xdr:rowOff>38100</xdr:rowOff>
    </xdr:from>
    <xdr:ext cx="4848225" cy="2124075"/>
    <xdr:pic>
      <xdr:nvPicPr>
        <xdr:cNvPr id="3" name="image26.png" title="Image">
          <a:extLst>
            <a:ext uri="{FF2B5EF4-FFF2-40B4-BE49-F238E27FC236}">
              <a16:creationId xmlns:a16="http://schemas.microsoft.com/office/drawing/2014/main" id="{00000000-0008-0000-1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66675</xdr:colOff>
      <xdr:row>33</xdr:row>
      <xdr:rowOff>104775</xdr:rowOff>
    </xdr:from>
    <xdr:ext cx="5295900" cy="2647950"/>
    <xdr:pic>
      <xdr:nvPicPr>
        <xdr:cNvPr id="4" name="image28.png" title="Image">
          <a:extLst>
            <a:ext uri="{FF2B5EF4-FFF2-40B4-BE49-F238E27FC236}">
              <a16:creationId xmlns:a16="http://schemas.microsoft.com/office/drawing/2014/main" id="{00000000-0008-0000-1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27</xdr:col>
      <xdr:colOff>314325</xdr:colOff>
      <xdr:row>17</xdr:row>
      <xdr:rowOff>171450</xdr:rowOff>
    </xdr:from>
    <xdr:ext cx="1914525" cy="2724150"/>
    <xdr:pic>
      <xdr:nvPicPr>
        <xdr:cNvPr id="5" name="image29.png" title="Image">
          <a:extLst>
            <a:ext uri="{FF2B5EF4-FFF2-40B4-BE49-F238E27FC236}">
              <a16:creationId xmlns:a16="http://schemas.microsoft.com/office/drawing/2014/main" id="{00000000-0008-0000-1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1190625</xdr:colOff>
      <xdr:row>21</xdr:row>
      <xdr:rowOff>161925</xdr:rowOff>
    </xdr:from>
    <xdr:ext cx="1524000" cy="2124075"/>
    <xdr:pic>
      <xdr:nvPicPr>
        <xdr:cNvPr id="6" name="image25.png" title="Image">
          <a:extLst>
            <a:ext uri="{FF2B5EF4-FFF2-40B4-BE49-F238E27FC236}">
              <a16:creationId xmlns:a16="http://schemas.microsoft.com/office/drawing/2014/main" id="{00000000-0008-0000-1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41</xdr:col>
      <xdr:colOff>0</xdr:colOff>
      <xdr:row>5</xdr:row>
      <xdr:rowOff>0</xdr:rowOff>
    </xdr:from>
    <xdr:ext cx="5257800" cy="2276475"/>
    <xdr:pic>
      <xdr:nvPicPr>
        <xdr:cNvPr id="2" name="image30.png">
          <a:extLst>
            <a:ext uri="{FF2B5EF4-FFF2-40B4-BE49-F238E27FC236}">
              <a16:creationId xmlns:a16="http://schemas.microsoft.com/office/drawing/2014/main" id="{00000000-0008-0000-1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2</xdr:col>
      <xdr:colOff>2619375</xdr:colOff>
      <xdr:row>44</xdr:row>
      <xdr:rowOff>66675</xdr:rowOff>
    </xdr:from>
    <xdr:ext cx="4124325" cy="3743325"/>
    <xdr:pic>
      <xdr:nvPicPr>
        <xdr:cNvPr id="2" name="image32.png" title="Image">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104775</xdr:colOff>
      <xdr:row>44</xdr:row>
      <xdr:rowOff>133350</xdr:rowOff>
    </xdr:from>
    <xdr:ext cx="3676650" cy="3619500"/>
    <xdr:pic>
      <xdr:nvPicPr>
        <xdr:cNvPr id="3" name="image31.png" title="Image">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85725</xdr:colOff>
      <xdr:row>44</xdr:row>
      <xdr:rowOff>133350</xdr:rowOff>
    </xdr:from>
    <xdr:ext cx="4543425" cy="4819650"/>
    <xdr:pic>
      <xdr:nvPicPr>
        <xdr:cNvPr id="4" name="image33.png" title="Image">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171450</xdr:colOff>
      <xdr:row>69</xdr:row>
      <xdr:rowOff>314325</xdr:rowOff>
    </xdr:from>
    <xdr:ext cx="3514725" cy="4438650"/>
    <xdr:pic>
      <xdr:nvPicPr>
        <xdr:cNvPr id="5" name="image34.png" title="Image">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4</xdr:col>
      <xdr:colOff>0</xdr:colOff>
      <xdr:row>0</xdr:row>
      <xdr:rowOff>123825</xdr:rowOff>
    </xdr:from>
    <xdr:ext cx="3886200" cy="1933575"/>
    <xdr:pic>
      <xdr:nvPicPr>
        <xdr:cNvPr id="2" name="image35.png">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8</xdr:row>
      <xdr:rowOff>0</xdr:rowOff>
    </xdr:from>
    <xdr:ext cx="4876800" cy="3219450"/>
    <xdr:pic>
      <xdr:nvPicPr>
        <xdr:cNvPr id="2" name="image38.png" title="Image">
          <a:extLst>
            <a:ext uri="{FF2B5EF4-FFF2-40B4-BE49-F238E27FC236}">
              <a16:creationId xmlns:a16="http://schemas.microsoft.com/office/drawing/2014/main" id="{00000000-0008-0000-2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29</xdr:row>
      <xdr:rowOff>0</xdr:rowOff>
    </xdr:from>
    <xdr:ext cx="4876800" cy="3114675"/>
    <xdr:pic>
      <xdr:nvPicPr>
        <xdr:cNvPr id="3" name="image39.png" title="Image">
          <a:extLst>
            <a:ext uri="{FF2B5EF4-FFF2-40B4-BE49-F238E27FC236}">
              <a16:creationId xmlns:a16="http://schemas.microsoft.com/office/drawing/2014/main" id="{00000000-0008-0000-2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0</xdr:colOff>
      <xdr:row>1</xdr:row>
      <xdr:rowOff>0</xdr:rowOff>
    </xdr:from>
    <xdr:ext cx="2362200" cy="2847975"/>
    <xdr:pic>
      <xdr:nvPicPr>
        <xdr:cNvPr id="4" name="image36.png" title="Image">
          <a:extLst>
            <a:ext uri="{FF2B5EF4-FFF2-40B4-BE49-F238E27FC236}">
              <a16:creationId xmlns:a16="http://schemas.microsoft.com/office/drawing/2014/main" id="{00000000-0008-0000-2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0</xdr:colOff>
      <xdr:row>19</xdr:row>
      <xdr:rowOff>0</xdr:rowOff>
    </xdr:from>
    <xdr:ext cx="4533900" cy="5600700"/>
    <xdr:pic>
      <xdr:nvPicPr>
        <xdr:cNvPr id="5" name="image37.png" title="Image">
          <a:extLst>
            <a:ext uri="{FF2B5EF4-FFF2-40B4-BE49-F238E27FC236}">
              <a16:creationId xmlns:a16="http://schemas.microsoft.com/office/drawing/2014/main" id="{00000000-0008-0000-2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6</xdr:row>
      <xdr:rowOff>161925</xdr:rowOff>
    </xdr:from>
    <xdr:ext cx="3629025" cy="4429125"/>
    <xdr:pic>
      <xdr:nvPicPr>
        <xdr:cNvPr id="2" name="image42.png" title="Image">
          <a:extLst>
            <a:ext uri="{FF2B5EF4-FFF2-40B4-BE49-F238E27FC236}">
              <a16:creationId xmlns:a16="http://schemas.microsoft.com/office/drawing/2014/main" id="{00000000-0008-0000-2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333375</xdr:colOff>
      <xdr:row>7</xdr:row>
      <xdr:rowOff>-190500</xdr:rowOff>
    </xdr:from>
    <xdr:ext cx="3714750" cy="4619625"/>
    <xdr:pic>
      <xdr:nvPicPr>
        <xdr:cNvPr id="3" name="image40.png" title="Image">
          <a:extLst>
            <a:ext uri="{FF2B5EF4-FFF2-40B4-BE49-F238E27FC236}">
              <a16:creationId xmlns:a16="http://schemas.microsoft.com/office/drawing/2014/main" id="{00000000-0008-0000-2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34</xdr:row>
      <xdr:rowOff>161925</xdr:rowOff>
    </xdr:from>
    <xdr:ext cx="3629025" cy="4381500"/>
    <xdr:pic>
      <xdr:nvPicPr>
        <xdr:cNvPr id="4" name="image41.png" title="Image">
          <a:extLst>
            <a:ext uri="{FF2B5EF4-FFF2-40B4-BE49-F238E27FC236}">
              <a16:creationId xmlns:a16="http://schemas.microsoft.com/office/drawing/2014/main" id="{00000000-0008-0000-2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9</xdr:col>
      <xdr:colOff>333375</xdr:colOff>
      <xdr:row>34</xdr:row>
      <xdr:rowOff>161925</xdr:rowOff>
    </xdr:from>
    <xdr:ext cx="4019550" cy="4381500"/>
    <xdr:pic>
      <xdr:nvPicPr>
        <xdr:cNvPr id="5" name="image43.png" title="Image">
          <a:extLst>
            <a:ext uri="{FF2B5EF4-FFF2-40B4-BE49-F238E27FC236}">
              <a16:creationId xmlns:a16="http://schemas.microsoft.com/office/drawing/2014/main" id="{00000000-0008-0000-2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dr:oneCellAnchor>
    <xdr:from>
      <xdr:col>1</xdr:col>
      <xdr:colOff>0</xdr:colOff>
      <xdr:row>37</xdr:row>
      <xdr:rowOff>142875</xdr:rowOff>
    </xdr:from>
    <xdr:ext cx="2371725" cy="1838325"/>
    <xdr:pic>
      <xdr:nvPicPr>
        <xdr:cNvPr id="2" name="image45.png">
          <a:extLst>
            <a:ext uri="{FF2B5EF4-FFF2-40B4-BE49-F238E27FC236}">
              <a16:creationId xmlns:a16="http://schemas.microsoft.com/office/drawing/2014/main" id="{00000000-0008-0000-2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37</xdr:row>
      <xdr:rowOff>152400</xdr:rowOff>
    </xdr:from>
    <xdr:ext cx="3600450" cy="1800225"/>
    <xdr:pic>
      <xdr:nvPicPr>
        <xdr:cNvPr id="3" name="image46.png">
          <a:extLst>
            <a:ext uri="{FF2B5EF4-FFF2-40B4-BE49-F238E27FC236}">
              <a16:creationId xmlns:a16="http://schemas.microsoft.com/office/drawing/2014/main" id="{00000000-0008-0000-2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24</xdr:row>
      <xdr:rowOff>0</xdr:rowOff>
    </xdr:from>
    <xdr:ext cx="3133725" cy="2019300"/>
    <xdr:pic>
      <xdr:nvPicPr>
        <xdr:cNvPr id="4" name="image44.png">
          <a:extLst>
            <a:ext uri="{FF2B5EF4-FFF2-40B4-BE49-F238E27FC236}">
              <a16:creationId xmlns:a16="http://schemas.microsoft.com/office/drawing/2014/main" id="{00000000-0008-0000-2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22</xdr:col>
      <xdr:colOff>133350</xdr:colOff>
      <xdr:row>1</xdr:row>
      <xdr:rowOff>114300</xdr:rowOff>
    </xdr:from>
    <xdr:ext cx="5238750" cy="2647950"/>
    <xdr:pic>
      <xdr:nvPicPr>
        <xdr:cNvPr id="5" name="image48.png">
          <a:extLst>
            <a:ext uri="{FF2B5EF4-FFF2-40B4-BE49-F238E27FC236}">
              <a16:creationId xmlns:a16="http://schemas.microsoft.com/office/drawing/2014/main" id="{00000000-0008-0000-2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49</xdr:row>
      <xdr:rowOff>142875</xdr:rowOff>
    </xdr:from>
    <xdr:ext cx="2324100" cy="1771650"/>
    <xdr:pic>
      <xdr:nvPicPr>
        <xdr:cNvPr id="6" name="image47.png">
          <a:extLst>
            <a:ext uri="{FF2B5EF4-FFF2-40B4-BE49-F238E27FC236}">
              <a16:creationId xmlns:a16="http://schemas.microsoft.com/office/drawing/2014/main" id="{00000000-0008-0000-2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0</xdr:colOff>
      <xdr:row>49</xdr:row>
      <xdr:rowOff>142875</xdr:rowOff>
    </xdr:from>
    <xdr:ext cx="2800350" cy="1733550"/>
    <xdr:pic>
      <xdr:nvPicPr>
        <xdr:cNvPr id="7" name="image51.png">
          <a:extLst>
            <a:ext uri="{FF2B5EF4-FFF2-40B4-BE49-F238E27FC236}">
              <a16:creationId xmlns:a16="http://schemas.microsoft.com/office/drawing/2014/main" id="{00000000-0008-0000-2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61</xdr:row>
      <xdr:rowOff>76200</xdr:rowOff>
    </xdr:from>
    <xdr:ext cx="3571875" cy="1781175"/>
    <xdr:pic>
      <xdr:nvPicPr>
        <xdr:cNvPr id="8" name="image49.png">
          <a:extLst>
            <a:ext uri="{FF2B5EF4-FFF2-40B4-BE49-F238E27FC236}">
              <a16:creationId xmlns:a16="http://schemas.microsoft.com/office/drawing/2014/main" id="{00000000-0008-0000-2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276225</xdr:colOff>
      <xdr:row>18</xdr:row>
      <xdr:rowOff>104775</xdr:rowOff>
    </xdr:from>
    <xdr:ext cx="6734175" cy="2705100"/>
    <xdr:pic>
      <xdr:nvPicPr>
        <xdr:cNvPr id="9" name="image50.png">
          <a:extLst>
            <a:ext uri="{FF2B5EF4-FFF2-40B4-BE49-F238E27FC236}">
              <a16:creationId xmlns:a16="http://schemas.microsoft.com/office/drawing/2014/main" id="{00000000-0008-0000-2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dr:oneCellAnchor>
    <xdr:from>
      <xdr:col>20</xdr:col>
      <xdr:colOff>0</xdr:colOff>
      <xdr:row>2</xdr:row>
      <xdr:rowOff>0</xdr:rowOff>
    </xdr:from>
    <xdr:ext cx="5276850" cy="2343150"/>
    <xdr:pic>
      <xdr:nvPicPr>
        <xdr:cNvPr id="2" name="image54.png">
          <a:extLst>
            <a:ext uri="{FF2B5EF4-FFF2-40B4-BE49-F238E27FC236}">
              <a16:creationId xmlns:a16="http://schemas.microsoft.com/office/drawing/2014/main" id="{00000000-0008-0000-2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161925</xdr:colOff>
      <xdr:row>18</xdr:row>
      <xdr:rowOff>57150</xdr:rowOff>
    </xdr:from>
    <xdr:ext cx="6296025" cy="1743075"/>
    <xdr:pic>
      <xdr:nvPicPr>
        <xdr:cNvPr id="3" name="image52.png">
          <a:extLst>
            <a:ext uri="{FF2B5EF4-FFF2-40B4-BE49-F238E27FC236}">
              <a16:creationId xmlns:a16="http://schemas.microsoft.com/office/drawing/2014/main" id="{00000000-0008-0000-2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17</xdr:row>
      <xdr:rowOff>0</xdr:rowOff>
    </xdr:from>
    <xdr:ext cx="5191125" cy="2286000"/>
    <xdr:pic>
      <xdr:nvPicPr>
        <xdr:cNvPr id="4" name="image55.png">
          <a:extLst>
            <a:ext uri="{FF2B5EF4-FFF2-40B4-BE49-F238E27FC236}">
              <a16:creationId xmlns:a16="http://schemas.microsoft.com/office/drawing/2014/main" id="{00000000-0008-0000-2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33</xdr:row>
      <xdr:rowOff>0</xdr:rowOff>
    </xdr:from>
    <xdr:ext cx="5457825" cy="2619375"/>
    <xdr:pic>
      <xdr:nvPicPr>
        <xdr:cNvPr id="5" name="image53.png">
          <a:extLst>
            <a:ext uri="{FF2B5EF4-FFF2-40B4-BE49-F238E27FC236}">
              <a16:creationId xmlns:a16="http://schemas.microsoft.com/office/drawing/2014/main" id="{00000000-0008-0000-2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10</xdr:col>
      <xdr:colOff>133350</xdr:colOff>
      <xdr:row>7</xdr:row>
      <xdr:rowOff>0</xdr:rowOff>
    </xdr:from>
    <xdr:ext cx="3209925" cy="1447800"/>
    <xdr:pic>
      <xdr:nvPicPr>
        <xdr:cNvPr id="2" name="image56.png">
          <a:extLst>
            <a:ext uri="{FF2B5EF4-FFF2-40B4-BE49-F238E27FC236}">
              <a16:creationId xmlns:a16="http://schemas.microsoft.com/office/drawing/2014/main" id="{00000000-0008-0000-2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36</xdr:row>
      <xdr:rowOff>133350</xdr:rowOff>
    </xdr:from>
    <xdr:ext cx="6324600" cy="3838575"/>
    <xdr:pic>
      <xdr:nvPicPr>
        <xdr:cNvPr id="3" name="image59.png">
          <a:extLst>
            <a:ext uri="{FF2B5EF4-FFF2-40B4-BE49-F238E27FC236}">
              <a16:creationId xmlns:a16="http://schemas.microsoft.com/office/drawing/2014/main" id="{00000000-0008-0000-2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161925</xdr:colOff>
      <xdr:row>5</xdr:row>
      <xdr:rowOff>104775</xdr:rowOff>
    </xdr:from>
    <xdr:ext cx="6048375" cy="3457575"/>
    <xdr:pic>
      <xdr:nvPicPr>
        <xdr:cNvPr id="4" name="image58.png">
          <a:extLst>
            <a:ext uri="{FF2B5EF4-FFF2-40B4-BE49-F238E27FC236}">
              <a16:creationId xmlns:a16="http://schemas.microsoft.com/office/drawing/2014/main" id="{00000000-0008-0000-2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60</xdr:row>
      <xdr:rowOff>28575</xdr:rowOff>
    </xdr:from>
    <xdr:ext cx="5362575" cy="1228725"/>
    <xdr:pic>
      <xdr:nvPicPr>
        <xdr:cNvPr id="5" name="image57.png">
          <a:extLst>
            <a:ext uri="{FF2B5EF4-FFF2-40B4-BE49-F238E27FC236}">
              <a16:creationId xmlns:a16="http://schemas.microsoft.com/office/drawing/2014/main" id="{00000000-0008-0000-2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dr:oneCellAnchor>
    <xdr:from>
      <xdr:col>8</xdr:col>
      <xdr:colOff>247650</xdr:colOff>
      <xdr:row>24</xdr:row>
      <xdr:rowOff>19050</xdr:rowOff>
    </xdr:from>
    <xdr:ext cx="3381375" cy="552450"/>
    <xdr:sp macro="" textlink="">
      <xdr:nvSpPr>
        <xdr:cNvPr id="10" name="Shape 10">
          <a:extLst>
            <a:ext uri="{FF2B5EF4-FFF2-40B4-BE49-F238E27FC236}">
              <a16:creationId xmlns:a16="http://schemas.microsoft.com/office/drawing/2014/main" id="{00000000-0008-0000-2B00-00000A000000}"/>
            </a:ext>
          </a:extLst>
        </xdr:cNvPr>
        <xdr:cNvSpPr/>
      </xdr:nvSpPr>
      <xdr:spPr>
        <a:xfrm>
          <a:off x="3660075" y="3503775"/>
          <a:ext cx="3371850" cy="552450"/>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95250</xdr:colOff>
      <xdr:row>21</xdr:row>
      <xdr:rowOff>9525</xdr:rowOff>
    </xdr:from>
    <xdr:ext cx="6477000" cy="2990850"/>
    <xdr:pic>
      <xdr:nvPicPr>
        <xdr:cNvPr id="2" name="image61.png">
          <a:extLst>
            <a:ext uri="{FF2B5EF4-FFF2-40B4-BE49-F238E27FC236}">
              <a16:creationId xmlns:a16="http://schemas.microsoft.com/office/drawing/2014/main" id="{00000000-0008-0000-2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304800</xdr:colOff>
      <xdr:row>42</xdr:row>
      <xdr:rowOff>57150</xdr:rowOff>
    </xdr:from>
    <xdr:ext cx="3400425" cy="2352675"/>
    <xdr:pic>
      <xdr:nvPicPr>
        <xdr:cNvPr id="3" name="image60.png">
          <a:extLst>
            <a:ext uri="{FF2B5EF4-FFF2-40B4-BE49-F238E27FC236}">
              <a16:creationId xmlns:a16="http://schemas.microsoft.com/office/drawing/2014/main" id="{00000000-0008-0000-2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85725</xdr:colOff>
      <xdr:row>47</xdr:row>
      <xdr:rowOff>57150</xdr:rowOff>
    </xdr:from>
    <xdr:ext cx="3990975" cy="923925"/>
    <xdr:pic>
      <xdr:nvPicPr>
        <xdr:cNvPr id="4" name="image57.png">
          <a:extLst>
            <a:ext uri="{FF2B5EF4-FFF2-40B4-BE49-F238E27FC236}">
              <a16:creationId xmlns:a16="http://schemas.microsoft.com/office/drawing/2014/main" id="{00000000-0008-0000-2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1</xdr:col>
      <xdr:colOff>180975</xdr:colOff>
      <xdr:row>10</xdr:row>
      <xdr:rowOff>9525</xdr:rowOff>
    </xdr:from>
    <xdr:ext cx="6238875" cy="2895600"/>
    <xdr:grpSp>
      <xdr:nvGrpSpPr>
        <xdr:cNvPr id="2" name="Shape 2">
          <a:extLst>
            <a:ext uri="{FF2B5EF4-FFF2-40B4-BE49-F238E27FC236}">
              <a16:creationId xmlns:a16="http://schemas.microsoft.com/office/drawing/2014/main" id="{00000000-0008-0000-2C00-000002000000}"/>
            </a:ext>
          </a:extLst>
        </xdr:cNvPr>
        <xdr:cNvGrpSpPr/>
      </xdr:nvGrpSpPr>
      <xdr:grpSpPr>
        <a:xfrm>
          <a:off x="514350" y="1628775"/>
          <a:ext cx="6238875" cy="2895600"/>
          <a:chOff x="2226563" y="2332200"/>
          <a:chExt cx="6238875" cy="2895600"/>
        </a:xfrm>
      </xdr:grpSpPr>
      <xdr:grpSp>
        <xdr:nvGrpSpPr>
          <xdr:cNvPr id="11" name="Shape 11">
            <a:extLst>
              <a:ext uri="{FF2B5EF4-FFF2-40B4-BE49-F238E27FC236}">
                <a16:creationId xmlns:a16="http://schemas.microsoft.com/office/drawing/2014/main" id="{00000000-0008-0000-2C00-00000B000000}"/>
              </a:ext>
            </a:extLst>
          </xdr:cNvPr>
          <xdr:cNvGrpSpPr/>
        </xdr:nvGrpSpPr>
        <xdr:grpSpPr>
          <a:xfrm>
            <a:off x="2226563" y="2332200"/>
            <a:ext cx="6238875" cy="2895600"/>
            <a:chOff x="371475" y="1581150"/>
            <a:chExt cx="5476875" cy="2895600"/>
          </a:xfrm>
        </xdr:grpSpPr>
        <xdr:sp macro="" textlink="">
          <xdr:nvSpPr>
            <xdr:cNvPr id="12" name="Shape 12">
              <a:extLst>
                <a:ext uri="{FF2B5EF4-FFF2-40B4-BE49-F238E27FC236}">
                  <a16:creationId xmlns:a16="http://schemas.microsoft.com/office/drawing/2014/main" id="{00000000-0008-0000-2C00-00000C000000}"/>
                </a:ext>
              </a:extLst>
            </xdr:cNvPr>
            <xdr:cNvSpPr/>
          </xdr:nvSpPr>
          <xdr:spPr>
            <a:xfrm>
              <a:off x="371475" y="1581150"/>
              <a:ext cx="5476875" cy="2895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13" name="Shape 13">
              <a:extLst>
                <a:ext uri="{FF2B5EF4-FFF2-40B4-BE49-F238E27FC236}">
                  <a16:creationId xmlns:a16="http://schemas.microsoft.com/office/drawing/2014/main" id="{00000000-0008-0000-2C00-00000D000000}"/>
                </a:ext>
              </a:extLst>
            </xdr:cNvPr>
            <xdr:cNvPicPr preferRelativeResize="0"/>
          </xdr:nvPicPr>
          <xdr:blipFill rotWithShape="1">
            <a:blip xmlns:r="http://schemas.openxmlformats.org/officeDocument/2006/relationships" r:embed="rId1">
              <a:alphaModFix/>
            </a:blip>
            <a:srcRect l="37231" t="39656" r="44418" b="27041"/>
            <a:stretch/>
          </xdr:blipFill>
          <xdr:spPr>
            <a:xfrm>
              <a:off x="371475" y="1581150"/>
              <a:ext cx="2552700" cy="2895600"/>
            </a:xfrm>
            <a:prstGeom prst="rect">
              <a:avLst/>
            </a:prstGeom>
            <a:noFill/>
            <a:ln>
              <a:noFill/>
            </a:ln>
          </xdr:spPr>
        </xdr:pic>
        <xdr:sp macro="" textlink="">
          <xdr:nvSpPr>
            <xdr:cNvPr id="14" name="Shape 14">
              <a:extLst>
                <a:ext uri="{FF2B5EF4-FFF2-40B4-BE49-F238E27FC236}">
                  <a16:creationId xmlns:a16="http://schemas.microsoft.com/office/drawing/2014/main" id="{00000000-0008-0000-2C00-00000E000000}"/>
                </a:ext>
              </a:extLst>
            </xdr:cNvPr>
            <xdr:cNvSpPr txBox="1"/>
          </xdr:nvSpPr>
          <xdr:spPr>
            <a:xfrm>
              <a:off x="3095625" y="2495550"/>
              <a:ext cx="2752725" cy="1162050"/>
            </a:xfrm>
            <a:prstGeom prst="rect">
              <a:avLst/>
            </a:prstGeom>
            <a:solidFill>
              <a:srgbClr val="9900CC">
                <a:alpha val="29803"/>
              </a:srgbClr>
            </a:solidFill>
            <a:ln w="9525" cap="flat" cmpd="sng">
              <a:solidFill>
                <a:srgbClr val="000000"/>
              </a:solidFill>
              <a:prstDash val="solid"/>
              <a:miter lim="800000"/>
              <a:headEnd type="none" w="sm" len="sm"/>
              <a:tailEnd type="none" w="sm" len="sm"/>
            </a:ln>
          </xdr:spPr>
          <xdr:txBody>
            <a:bodyPr spcFirstLastPara="1" wrap="square" lIns="91425" tIns="45700" rIns="91425" bIns="45700" anchor="t" anchorCtr="0">
              <a:spAutoFit/>
            </a:bodyPr>
            <a:lstStyle/>
            <a:p>
              <a:pPr marL="0" lvl="0" indent="0" algn="l" rtl="0">
                <a:lnSpc>
                  <a:spcPct val="107000"/>
                </a:lnSpc>
                <a:spcBef>
                  <a:spcPts val="0"/>
                </a:spcBef>
                <a:spcAft>
                  <a:spcPts val="0"/>
                </a:spcAft>
                <a:buNone/>
              </a:pPr>
              <a:r>
                <a:rPr lang="en-US" sz="1100">
                  <a:latin typeface="Arial"/>
                  <a:ea typeface="Arial"/>
                  <a:cs typeface="Arial"/>
                  <a:sym typeface="Arial"/>
                </a:rPr>
                <a:t>Front Bulkhead Support T3.14:</a:t>
              </a:r>
              <a:br>
                <a:rPr lang="en-US" sz="1100">
                  <a:latin typeface="Arial"/>
                  <a:ea typeface="Arial"/>
                  <a:cs typeface="Arial"/>
                  <a:sym typeface="Arial"/>
                </a:rPr>
              </a:br>
              <a:r>
                <a:rPr lang="en-US" sz="1100">
                  <a:latin typeface="Arial"/>
                  <a:ea typeface="Arial"/>
                  <a:cs typeface="Arial"/>
                  <a:sym typeface="Arial"/>
                </a:rPr>
                <a:t>T3.14.2 Equivalency in the SES is based on a half car model for the weakest area.</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First option: Flat panel assumption</a:t>
              </a:r>
              <a:endParaRPr sz="1100">
                <a:latin typeface="Arial"/>
                <a:ea typeface="Arial"/>
                <a:cs typeface="Arial"/>
                <a:sym typeface="Arial"/>
              </a:endParaRPr>
            </a:p>
            <a:p>
              <a:pPr marL="0" lvl="0" indent="0" algn="l" rtl="0">
                <a:lnSpc>
                  <a:spcPct val="107000"/>
                </a:lnSpc>
                <a:spcBef>
                  <a:spcPts val="800"/>
                </a:spcBef>
                <a:spcAft>
                  <a:spcPts val="0"/>
                </a:spcAft>
                <a:buNone/>
              </a:pPr>
              <a:r>
                <a:rPr lang="en-US" sz="1100">
                  <a:latin typeface="Arial"/>
                  <a:ea typeface="Arial"/>
                  <a:cs typeface="Arial"/>
                  <a:sym typeface="Arial"/>
                </a:rPr>
                <a:t>-Panel height = FBHS</a:t>
              </a:r>
              <a:endParaRPr sz="1100">
                <a:latin typeface="Arial"/>
                <a:ea typeface="Arial"/>
                <a:cs typeface="Arial"/>
                <a:sym typeface="Arial"/>
              </a:endParaRPr>
            </a:p>
          </xdr:txBody>
        </xdr:sp>
      </xdr:grpSp>
    </xdr:grpSp>
    <xdr:clientData fLocksWithSheet="0"/>
  </xdr:oneCellAnchor>
  <xdr:oneCellAnchor>
    <xdr:from>
      <xdr:col>4</xdr:col>
      <xdr:colOff>200025</xdr:colOff>
      <xdr:row>11</xdr:row>
      <xdr:rowOff>57150</xdr:rowOff>
    </xdr:from>
    <xdr:ext cx="419100" cy="266700"/>
    <xdr:sp macro="" textlink="">
      <xdr:nvSpPr>
        <xdr:cNvPr id="15" name="Shape 15">
          <a:extLst>
            <a:ext uri="{FF2B5EF4-FFF2-40B4-BE49-F238E27FC236}">
              <a16:creationId xmlns:a16="http://schemas.microsoft.com/office/drawing/2014/main" id="{00000000-0008-0000-2C00-00000F000000}"/>
            </a:ext>
          </a:extLst>
        </xdr:cNvPr>
        <xdr:cNvSpPr txBox="1"/>
      </xdr:nvSpPr>
      <xdr:spPr>
        <a:xfrm>
          <a:off x="5138924" y="3647720"/>
          <a:ext cx="414152" cy="264560"/>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FBH</a:t>
          </a:r>
          <a:endParaRPr sz="1400"/>
        </a:p>
      </xdr:txBody>
    </xdr:sp>
    <xdr:clientData fLocksWithSheet="0"/>
  </xdr:oneCellAnchor>
  <xdr:oneCellAnchor>
    <xdr:from>
      <xdr:col>9</xdr:col>
      <xdr:colOff>200025</xdr:colOff>
      <xdr:row>15</xdr:row>
      <xdr:rowOff>95250</xdr:rowOff>
    </xdr:from>
    <xdr:ext cx="3238500" cy="1257300"/>
    <xdr:sp macro="" textlink="">
      <xdr:nvSpPr>
        <xdr:cNvPr id="16" name="Shape 16">
          <a:extLst>
            <a:ext uri="{FF2B5EF4-FFF2-40B4-BE49-F238E27FC236}">
              <a16:creationId xmlns:a16="http://schemas.microsoft.com/office/drawing/2014/main" id="{00000000-0008-0000-2C00-000010000000}"/>
            </a:ext>
          </a:extLst>
        </xdr:cNvPr>
        <xdr:cNvSpPr/>
      </xdr:nvSpPr>
      <xdr:spPr>
        <a:xfrm>
          <a:off x="3736275" y="3160875"/>
          <a:ext cx="3219450" cy="1238250"/>
        </a:xfrm>
        <a:prstGeom prst="rect">
          <a:avLst/>
        </a:prstGeom>
        <a:solidFill>
          <a:srgbClr val="E0B2F0"/>
        </a:solidFill>
        <a:ln w="1270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Front Bulkhead Support T3.13: </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T3.13.4 Equivalency in the SES is based on a half car model for the weakest area. </a:t>
          </a:r>
          <a:endParaRPr sz="1400"/>
        </a:p>
        <a:p>
          <a:pPr marL="0" lvl="0" indent="0" algn="l" rtl="0">
            <a:spcBef>
              <a:spcPts val="0"/>
            </a:spcBef>
            <a:spcAft>
              <a:spcPts val="0"/>
            </a:spcAft>
            <a:buNone/>
          </a:pPr>
          <a:endParaRPr sz="1100" b="0" i="0" u="none" strike="noStrike">
            <a:solidFill>
              <a:srgbClr val="000000"/>
            </a:solidFill>
            <a:latin typeface="Calibri"/>
            <a:ea typeface="Calibri"/>
            <a:cs typeface="Calibri"/>
            <a:sym typeface="Calibri"/>
          </a:endParaRPr>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First option: flat panel assumption</a:t>
          </a:r>
          <a:endParaRPr sz="1400"/>
        </a:p>
        <a:p>
          <a:pPr marL="0" lvl="0" indent="0" algn="l" rtl="0">
            <a:spcBef>
              <a:spcPts val="0"/>
            </a:spcBef>
            <a:spcAft>
              <a:spcPts val="0"/>
            </a:spcAft>
            <a:buNone/>
          </a:pPr>
          <a:r>
            <a:rPr lang="en-US" sz="1100" b="0" i="0" u="none" strike="noStrike">
              <a:solidFill>
                <a:srgbClr val="000000"/>
              </a:solidFill>
              <a:latin typeface="Calibri"/>
              <a:ea typeface="Calibri"/>
              <a:cs typeface="Calibri"/>
              <a:sym typeface="Calibri"/>
            </a:rPr>
            <a:t>- panel height = FBHS</a:t>
          </a:r>
          <a:endParaRPr sz="1400"/>
        </a:p>
      </xdr:txBody>
    </xdr:sp>
    <xdr:clientData fLocksWithSheet="0"/>
  </xdr:oneCellAnchor>
  <xdr:oneCellAnchor>
    <xdr:from>
      <xdr:col>19</xdr:col>
      <xdr:colOff>142875</xdr:colOff>
      <xdr:row>0</xdr:row>
      <xdr:rowOff>47625</xdr:rowOff>
    </xdr:from>
    <xdr:ext cx="7105650" cy="4219575"/>
    <xdr:pic>
      <xdr:nvPicPr>
        <xdr:cNvPr id="3" name="image62.png">
          <a:extLst>
            <a:ext uri="{FF2B5EF4-FFF2-40B4-BE49-F238E27FC236}">
              <a16:creationId xmlns:a16="http://schemas.microsoft.com/office/drawing/2014/main" id="{00000000-0008-0000-2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21</xdr:col>
      <xdr:colOff>295275</xdr:colOff>
      <xdr:row>25</xdr:row>
      <xdr:rowOff>66675</xdr:rowOff>
    </xdr:from>
    <xdr:ext cx="5381625" cy="1228725"/>
    <xdr:pic>
      <xdr:nvPicPr>
        <xdr:cNvPr id="4" name="image57.png">
          <a:extLst>
            <a:ext uri="{FF2B5EF4-FFF2-40B4-BE49-F238E27FC236}">
              <a16:creationId xmlns:a16="http://schemas.microsoft.com/office/drawing/2014/main" id="{00000000-0008-0000-2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dr:oneCellAnchor>
    <xdr:from>
      <xdr:col>1</xdr:col>
      <xdr:colOff>323850</xdr:colOff>
      <xdr:row>21</xdr:row>
      <xdr:rowOff>142875</xdr:rowOff>
    </xdr:from>
    <xdr:ext cx="6276975" cy="3419475"/>
    <xdr:pic>
      <xdr:nvPicPr>
        <xdr:cNvPr id="2" name="image63.png">
          <a:extLst>
            <a:ext uri="{FF2B5EF4-FFF2-40B4-BE49-F238E27FC236}">
              <a16:creationId xmlns:a16="http://schemas.microsoft.com/office/drawing/2014/main" id="{00000000-0008-0000-2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dr:oneCellAnchor>
    <xdr:from>
      <xdr:col>3</xdr:col>
      <xdr:colOff>0</xdr:colOff>
      <xdr:row>17</xdr:row>
      <xdr:rowOff>9525</xdr:rowOff>
    </xdr:from>
    <xdr:ext cx="1714500" cy="838200"/>
    <xdr:sp macro="" textlink="">
      <xdr:nvSpPr>
        <xdr:cNvPr id="17" name="Shape 17">
          <a:extLst>
            <a:ext uri="{FF2B5EF4-FFF2-40B4-BE49-F238E27FC236}">
              <a16:creationId xmlns:a16="http://schemas.microsoft.com/office/drawing/2014/main" id="{00000000-0008-0000-2F00-000011000000}"/>
            </a:ext>
          </a:extLst>
        </xdr:cNvPr>
        <xdr:cNvSpPr txBox="1"/>
      </xdr:nvSpPr>
      <xdr:spPr>
        <a:xfrm>
          <a:off x="4493513" y="3360900"/>
          <a:ext cx="1704975" cy="838200"/>
        </a:xfrm>
        <a:prstGeom prst="rect">
          <a:avLst/>
        </a:prstGeom>
        <a:solidFill>
          <a:schemeClr val="lt1"/>
        </a:solidFill>
        <a:ln>
          <a:noFill/>
        </a:ln>
      </xdr:spPr>
      <xdr:txBody>
        <a:bodyPr spcFirstLastPara="1" wrap="square" lIns="0" tIns="36000" rIns="0" bIns="360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Lower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Ymax, used to derive shear strenght for  any attachment</a:t>
          </a:r>
          <a:endParaRPr sz="1400"/>
        </a:p>
      </xdr:txBody>
    </xdr:sp>
    <xdr:clientData fLocksWithSheet="0"/>
  </xdr:oneCellAnchor>
  <xdr:oneCellAnchor>
    <xdr:from>
      <xdr:col>13</xdr:col>
      <xdr:colOff>104775</xdr:colOff>
      <xdr:row>14</xdr:row>
      <xdr:rowOff>104775</xdr:rowOff>
    </xdr:from>
    <xdr:ext cx="2085975" cy="419100"/>
    <xdr:sp macro="" textlink="">
      <xdr:nvSpPr>
        <xdr:cNvPr id="18" name="Shape 18">
          <a:extLst>
            <a:ext uri="{FF2B5EF4-FFF2-40B4-BE49-F238E27FC236}">
              <a16:creationId xmlns:a16="http://schemas.microsoft.com/office/drawing/2014/main" id="{00000000-0008-0000-2F00-000012000000}"/>
            </a:ext>
          </a:extLst>
        </xdr:cNvPr>
        <xdr:cNvSpPr txBox="1"/>
      </xdr:nvSpPr>
      <xdr:spPr>
        <a:xfrm>
          <a:off x="4303013" y="3575213"/>
          <a:ext cx="2085975" cy="409575"/>
        </a:xfrm>
        <a:prstGeom prst="rect">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a:solidFill>
                <a:schemeClr val="dk1"/>
              </a:solidFill>
              <a:latin typeface="Calibri"/>
              <a:ea typeface="Calibri"/>
              <a:cs typeface="Calibri"/>
              <a:sym typeface="Calibri"/>
            </a:rPr>
            <a:t>Higher Peak:</a:t>
          </a:r>
          <a:endParaRPr sz="1400"/>
        </a:p>
        <a:p>
          <a:pPr marL="0" lvl="0" indent="0" algn="l" rtl="0">
            <a:spcBef>
              <a:spcPts val="0"/>
            </a:spcBef>
            <a:spcAft>
              <a:spcPts val="0"/>
            </a:spcAft>
            <a:buNone/>
          </a:pPr>
          <a:r>
            <a:rPr lang="en-US" sz="1200" b="1">
              <a:solidFill>
                <a:schemeClr val="dk1"/>
              </a:solidFill>
              <a:latin typeface="Calibri"/>
              <a:ea typeface="Calibri"/>
              <a:cs typeface="Calibri"/>
              <a:sym typeface="Calibri"/>
            </a:rPr>
            <a:t>T3.1</a:t>
          </a:r>
          <a:r>
            <a:rPr lang="en-US" sz="1200" b="1" i="0" u="none" strike="noStrike">
              <a:solidFill>
                <a:schemeClr val="dk1"/>
              </a:solidFill>
              <a:latin typeface="Calibri"/>
              <a:ea typeface="Calibri"/>
              <a:cs typeface="Calibri"/>
              <a:sym typeface="Calibri"/>
            </a:rPr>
            <a:t>3</a:t>
          </a:r>
          <a:r>
            <a:rPr lang="en-US" sz="1200" b="1">
              <a:solidFill>
                <a:schemeClr val="dk1"/>
              </a:solidFill>
              <a:latin typeface="Calibri"/>
              <a:ea typeface="Calibri"/>
              <a:cs typeface="Calibri"/>
              <a:sym typeface="Calibri"/>
            </a:rPr>
            <a:t> / T3.1</a:t>
          </a:r>
          <a:r>
            <a:rPr lang="en-US" sz="1200" b="1" i="0" u="none" strike="noStrike">
              <a:solidFill>
                <a:schemeClr val="dk1"/>
              </a:solidFill>
              <a:latin typeface="Calibri"/>
              <a:ea typeface="Calibri"/>
              <a:cs typeface="Calibri"/>
              <a:sym typeface="Calibri"/>
            </a:rPr>
            <a:t>4 </a:t>
          </a:r>
          <a:r>
            <a:rPr lang="en-US" sz="1200" b="1">
              <a:solidFill>
                <a:schemeClr val="dk1"/>
              </a:solidFill>
              <a:latin typeface="Calibri"/>
              <a:ea typeface="Calibri"/>
              <a:cs typeface="Calibri"/>
              <a:sym typeface="Calibri"/>
            </a:rPr>
            <a:t>requirement</a:t>
          </a:r>
          <a:endParaRPr sz="1400"/>
        </a:p>
      </xdr:txBody>
    </xdr:sp>
    <xdr:clientData fLocksWithSheet="0"/>
  </xdr:oneCellAnchor>
  <xdr:oneCellAnchor>
    <xdr:from>
      <xdr:col>0</xdr:col>
      <xdr:colOff>123825</xdr:colOff>
      <xdr:row>14</xdr:row>
      <xdr:rowOff>133350</xdr:rowOff>
    </xdr:from>
    <xdr:ext cx="6848475" cy="4724400"/>
    <xdr:pic>
      <xdr:nvPicPr>
        <xdr:cNvPr id="2" name="image64.png">
          <a:extLst>
            <a:ext uri="{FF2B5EF4-FFF2-40B4-BE49-F238E27FC236}">
              <a16:creationId xmlns:a16="http://schemas.microsoft.com/office/drawing/2014/main" id="{00000000-0008-0000-2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dr:oneCellAnchor>
    <xdr:from>
      <xdr:col>2</xdr:col>
      <xdr:colOff>171450</xdr:colOff>
      <xdr:row>35</xdr:row>
      <xdr:rowOff>0</xdr:rowOff>
    </xdr:from>
    <xdr:ext cx="5200650" cy="1838325"/>
    <xdr:pic>
      <xdr:nvPicPr>
        <xdr:cNvPr id="2" name="image66.png">
          <a:extLst>
            <a:ext uri="{FF2B5EF4-FFF2-40B4-BE49-F238E27FC236}">
              <a16:creationId xmlns:a16="http://schemas.microsoft.com/office/drawing/2014/main" id="{00000000-0008-0000-3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323850</xdr:colOff>
      <xdr:row>13</xdr:row>
      <xdr:rowOff>95250</xdr:rowOff>
    </xdr:from>
    <xdr:ext cx="6486525" cy="2447925"/>
    <xdr:pic>
      <xdr:nvPicPr>
        <xdr:cNvPr id="3" name="image68.png">
          <a:extLst>
            <a:ext uri="{FF2B5EF4-FFF2-40B4-BE49-F238E27FC236}">
              <a16:creationId xmlns:a16="http://schemas.microsoft.com/office/drawing/2014/main" id="{00000000-0008-0000-3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22</xdr:col>
      <xdr:colOff>161925</xdr:colOff>
      <xdr:row>7</xdr:row>
      <xdr:rowOff>180975</xdr:rowOff>
    </xdr:from>
    <xdr:ext cx="3781425" cy="2590800"/>
    <xdr:pic>
      <xdr:nvPicPr>
        <xdr:cNvPr id="4" name="image67.png">
          <a:extLst>
            <a:ext uri="{FF2B5EF4-FFF2-40B4-BE49-F238E27FC236}">
              <a16:creationId xmlns:a16="http://schemas.microsoft.com/office/drawing/2014/main" id="{00000000-0008-0000-3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323850</xdr:colOff>
      <xdr:row>30</xdr:row>
      <xdr:rowOff>114300</xdr:rowOff>
    </xdr:from>
    <xdr:ext cx="6419850" cy="2162175"/>
    <xdr:pic>
      <xdr:nvPicPr>
        <xdr:cNvPr id="5" name="image65.png">
          <a:extLst>
            <a:ext uri="{FF2B5EF4-FFF2-40B4-BE49-F238E27FC236}">
              <a16:creationId xmlns:a16="http://schemas.microsoft.com/office/drawing/2014/main" id="{00000000-0008-0000-3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1</xdr:col>
      <xdr:colOff>0</xdr:colOff>
      <xdr:row>37</xdr:row>
      <xdr:rowOff>19050</xdr:rowOff>
    </xdr:from>
    <xdr:ext cx="6477000" cy="2266950"/>
    <xdr:pic>
      <xdr:nvPicPr>
        <xdr:cNvPr id="2" name="image72.png">
          <a:extLst>
            <a:ext uri="{FF2B5EF4-FFF2-40B4-BE49-F238E27FC236}">
              <a16:creationId xmlns:a16="http://schemas.microsoft.com/office/drawing/2014/main" id="{00000000-0008-0000-3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7</xdr:row>
      <xdr:rowOff>152400</xdr:rowOff>
    </xdr:from>
    <xdr:ext cx="6305550" cy="2514600"/>
    <xdr:pic>
      <xdr:nvPicPr>
        <xdr:cNvPr id="3" name="image71.png">
          <a:extLst>
            <a:ext uri="{FF2B5EF4-FFF2-40B4-BE49-F238E27FC236}">
              <a16:creationId xmlns:a16="http://schemas.microsoft.com/office/drawing/2014/main" id="{00000000-0008-0000-3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228600</xdr:colOff>
      <xdr:row>33</xdr:row>
      <xdr:rowOff>76200</xdr:rowOff>
    </xdr:from>
    <xdr:ext cx="4191000" cy="2743200"/>
    <xdr:pic>
      <xdr:nvPicPr>
        <xdr:cNvPr id="4" name="image70.png">
          <a:extLst>
            <a:ext uri="{FF2B5EF4-FFF2-40B4-BE49-F238E27FC236}">
              <a16:creationId xmlns:a16="http://schemas.microsoft.com/office/drawing/2014/main" id="{00000000-0008-0000-3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20</xdr:col>
      <xdr:colOff>114300</xdr:colOff>
      <xdr:row>5</xdr:row>
      <xdr:rowOff>47625</xdr:rowOff>
    </xdr:from>
    <xdr:ext cx="5210175" cy="2790825"/>
    <xdr:pic>
      <xdr:nvPicPr>
        <xdr:cNvPr id="5" name="image69.png">
          <a:extLst>
            <a:ext uri="{FF2B5EF4-FFF2-40B4-BE49-F238E27FC236}">
              <a16:creationId xmlns:a16="http://schemas.microsoft.com/office/drawing/2014/main" id="{00000000-0008-0000-3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0</xdr:col>
      <xdr:colOff>66675</xdr:colOff>
      <xdr:row>1</xdr:row>
      <xdr:rowOff>142875</xdr:rowOff>
    </xdr:from>
    <xdr:ext cx="7038975" cy="3467100"/>
    <xdr:pic>
      <xdr:nvPicPr>
        <xdr:cNvPr id="2" name="image73.png">
          <a:extLst>
            <a:ext uri="{FF2B5EF4-FFF2-40B4-BE49-F238E27FC236}">
              <a16:creationId xmlns:a16="http://schemas.microsoft.com/office/drawing/2014/main" id="{00000000-0008-0000-3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1</xdr:col>
      <xdr:colOff>323850</xdr:colOff>
      <xdr:row>27</xdr:row>
      <xdr:rowOff>57150</xdr:rowOff>
    </xdr:from>
    <xdr:ext cx="5819775" cy="4686300"/>
    <xdr:grpSp>
      <xdr:nvGrpSpPr>
        <xdr:cNvPr id="2" name="Shape 2">
          <a:extLst>
            <a:ext uri="{FF2B5EF4-FFF2-40B4-BE49-F238E27FC236}">
              <a16:creationId xmlns:a16="http://schemas.microsoft.com/office/drawing/2014/main" id="{00000000-0008-0000-3300-000002000000}"/>
            </a:ext>
          </a:extLst>
        </xdr:cNvPr>
        <xdr:cNvGrpSpPr/>
      </xdr:nvGrpSpPr>
      <xdr:grpSpPr>
        <a:xfrm>
          <a:off x="657225" y="4429125"/>
          <a:ext cx="5819775" cy="4686300"/>
          <a:chOff x="2436113" y="1436850"/>
          <a:chExt cx="5819775" cy="4686300"/>
        </a:xfrm>
      </xdr:grpSpPr>
      <xdr:grpSp>
        <xdr:nvGrpSpPr>
          <xdr:cNvPr id="19" name="Shape 19">
            <a:extLst>
              <a:ext uri="{FF2B5EF4-FFF2-40B4-BE49-F238E27FC236}">
                <a16:creationId xmlns:a16="http://schemas.microsoft.com/office/drawing/2014/main" id="{00000000-0008-0000-3300-000013000000}"/>
              </a:ext>
            </a:extLst>
          </xdr:cNvPr>
          <xdr:cNvGrpSpPr/>
        </xdr:nvGrpSpPr>
        <xdr:grpSpPr>
          <a:xfrm>
            <a:off x="2436113" y="1436850"/>
            <a:ext cx="5819775" cy="4686300"/>
            <a:chOff x="6610349" y="2045781"/>
            <a:chExt cx="7219951" cy="7364919"/>
          </a:xfrm>
        </xdr:grpSpPr>
        <xdr:sp macro="" textlink="">
          <xdr:nvSpPr>
            <xdr:cNvPr id="12" name="Shape 12">
              <a:extLst>
                <a:ext uri="{FF2B5EF4-FFF2-40B4-BE49-F238E27FC236}">
                  <a16:creationId xmlns:a16="http://schemas.microsoft.com/office/drawing/2014/main" id="{00000000-0008-0000-3300-00000C000000}"/>
                </a:ext>
              </a:extLst>
            </xdr:cNvPr>
            <xdr:cNvSpPr/>
          </xdr:nvSpPr>
          <xdr:spPr>
            <a:xfrm>
              <a:off x="6610349" y="2045781"/>
              <a:ext cx="7219950" cy="7364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0" name="Shape 20">
              <a:extLst>
                <a:ext uri="{FF2B5EF4-FFF2-40B4-BE49-F238E27FC236}">
                  <a16:creationId xmlns:a16="http://schemas.microsoft.com/office/drawing/2014/main" id="{00000000-0008-0000-3300-000014000000}"/>
                </a:ext>
              </a:extLst>
            </xdr:cNvPr>
            <xdr:cNvPicPr preferRelativeResize="0"/>
          </xdr:nvPicPr>
          <xdr:blipFill rotWithShape="1">
            <a:blip xmlns:r="http://schemas.openxmlformats.org/officeDocument/2006/relationships" r:embed="rId1">
              <a:alphaModFix/>
            </a:blip>
            <a:srcRect l="27817" t="11674" r="30470" b="14087"/>
            <a:stretch/>
          </xdr:blipFill>
          <xdr:spPr>
            <a:xfrm>
              <a:off x="6610349" y="2047875"/>
              <a:ext cx="3648075" cy="4057650"/>
            </a:xfrm>
            <a:prstGeom prst="rect">
              <a:avLst/>
            </a:prstGeom>
            <a:noFill/>
            <a:ln>
              <a:noFill/>
            </a:ln>
          </xdr:spPr>
        </xdr:pic>
        <xdr:pic>
          <xdr:nvPicPr>
            <xdr:cNvPr id="21" name="Shape 21">
              <a:extLst>
                <a:ext uri="{FF2B5EF4-FFF2-40B4-BE49-F238E27FC236}">
                  <a16:creationId xmlns:a16="http://schemas.microsoft.com/office/drawing/2014/main" id="{00000000-0008-0000-3300-000015000000}"/>
                </a:ext>
              </a:extLst>
            </xdr:cNvPr>
            <xdr:cNvPicPr preferRelativeResize="0"/>
          </xdr:nvPicPr>
          <xdr:blipFill rotWithShape="1">
            <a:blip xmlns:r="http://schemas.openxmlformats.org/officeDocument/2006/relationships" r:embed="rId2">
              <a:alphaModFix/>
            </a:blip>
            <a:srcRect l="27081" t="10970" r="28899" b="10852"/>
            <a:stretch/>
          </xdr:blipFill>
          <xdr:spPr>
            <a:xfrm>
              <a:off x="10172699" y="2045781"/>
              <a:ext cx="3657601" cy="4059744"/>
            </a:xfrm>
            <a:prstGeom prst="rect">
              <a:avLst/>
            </a:prstGeom>
            <a:noFill/>
            <a:ln>
              <a:noFill/>
            </a:ln>
          </xdr:spPr>
        </xdr:pic>
        <xdr:pic>
          <xdr:nvPicPr>
            <xdr:cNvPr id="22" name="Shape 22">
              <a:extLst>
                <a:ext uri="{FF2B5EF4-FFF2-40B4-BE49-F238E27FC236}">
                  <a16:creationId xmlns:a16="http://schemas.microsoft.com/office/drawing/2014/main" id="{00000000-0008-0000-3300-000016000000}"/>
                </a:ext>
              </a:extLst>
            </xdr:cNvPr>
            <xdr:cNvPicPr preferRelativeResize="0"/>
          </xdr:nvPicPr>
          <xdr:blipFill rotWithShape="1">
            <a:blip xmlns:r="http://schemas.openxmlformats.org/officeDocument/2006/relationships" r:embed="rId3">
              <a:alphaModFix/>
            </a:blip>
            <a:srcRect l="5669" t="26572" r="14149" b="14191"/>
            <a:stretch/>
          </xdr:blipFill>
          <xdr:spPr>
            <a:xfrm>
              <a:off x="6610350" y="6076950"/>
              <a:ext cx="7219950" cy="3333750"/>
            </a:xfrm>
            <a:prstGeom prst="rect">
              <a:avLst/>
            </a:prstGeom>
            <a:noFill/>
            <a:ln>
              <a:noFill/>
            </a:ln>
          </xdr:spPr>
        </xdr:pic>
      </xdr:grpSp>
    </xdr:grpSp>
    <xdr:clientData fLocksWithSheet="0"/>
  </xdr:oneCellAnchor>
  <xdr:oneCellAnchor>
    <xdr:from>
      <xdr:col>28</xdr:col>
      <xdr:colOff>76200</xdr:colOff>
      <xdr:row>6</xdr:row>
      <xdr:rowOff>133350</xdr:rowOff>
    </xdr:from>
    <xdr:ext cx="3028950" cy="3552825"/>
    <xdr:grpSp>
      <xdr:nvGrpSpPr>
        <xdr:cNvPr id="3" name="Shape 2">
          <a:extLst>
            <a:ext uri="{FF2B5EF4-FFF2-40B4-BE49-F238E27FC236}">
              <a16:creationId xmlns:a16="http://schemas.microsoft.com/office/drawing/2014/main" id="{00000000-0008-0000-3300-000003000000}"/>
            </a:ext>
          </a:extLst>
        </xdr:cNvPr>
        <xdr:cNvGrpSpPr/>
      </xdr:nvGrpSpPr>
      <xdr:grpSpPr>
        <a:xfrm>
          <a:off x="9486900" y="1104900"/>
          <a:ext cx="3028950" cy="3552825"/>
          <a:chOff x="3831525" y="2003588"/>
          <a:chExt cx="3028950" cy="3552825"/>
        </a:xfrm>
      </xdr:grpSpPr>
      <xdr:grpSp>
        <xdr:nvGrpSpPr>
          <xdr:cNvPr id="23" name="Shape 23">
            <a:extLst>
              <a:ext uri="{FF2B5EF4-FFF2-40B4-BE49-F238E27FC236}">
                <a16:creationId xmlns:a16="http://schemas.microsoft.com/office/drawing/2014/main" id="{00000000-0008-0000-3300-000017000000}"/>
              </a:ext>
            </a:extLst>
          </xdr:cNvPr>
          <xdr:cNvGrpSpPr/>
        </xdr:nvGrpSpPr>
        <xdr:grpSpPr>
          <a:xfrm>
            <a:off x="3831525" y="2003588"/>
            <a:ext cx="3028950" cy="3552825"/>
            <a:chOff x="9486900" y="1104900"/>
            <a:chExt cx="2647950" cy="3552825"/>
          </a:xfrm>
        </xdr:grpSpPr>
        <xdr:sp macro="" textlink="">
          <xdr:nvSpPr>
            <xdr:cNvPr id="4" name="Shape 12">
              <a:extLst>
                <a:ext uri="{FF2B5EF4-FFF2-40B4-BE49-F238E27FC236}">
                  <a16:creationId xmlns:a16="http://schemas.microsoft.com/office/drawing/2014/main" id="{00000000-0008-0000-3300-000004000000}"/>
                </a:ext>
              </a:extLst>
            </xdr:cNvPr>
            <xdr:cNvSpPr/>
          </xdr:nvSpPr>
          <xdr:spPr>
            <a:xfrm>
              <a:off x="9486900" y="1104900"/>
              <a:ext cx="2647950" cy="3552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4" name="Shape 24">
              <a:extLst>
                <a:ext uri="{FF2B5EF4-FFF2-40B4-BE49-F238E27FC236}">
                  <a16:creationId xmlns:a16="http://schemas.microsoft.com/office/drawing/2014/main" id="{00000000-0008-0000-3300-000018000000}"/>
                </a:ext>
              </a:extLst>
            </xdr:cNvPr>
            <xdr:cNvPicPr preferRelativeResize="0"/>
          </xdr:nvPicPr>
          <xdr:blipFill rotWithShape="1">
            <a:blip xmlns:r="http://schemas.openxmlformats.org/officeDocument/2006/relationships" r:embed="rId4">
              <a:alphaModFix/>
            </a:blip>
            <a:srcRect t="9280" b="6264"/>
            <a:stretch/>
          </xdr:blipFill>
          <xdr:spPr>
            <a:xfrm>
              <a:off x="9486900" y="1104900"/>
              <a:ext cx="2343150" cy="3486150"/>
            </a:xfrm>
            <a:prstGeom prst="rect">
              <a:avLst/>
            </a:prstGeom>
            <a:noFill/>
            <a:ln>
              <a:noFill/>
            </a:ln>
          </xdr:spPr>
        </xdr:pic>
        <xdr:pic>
          <xdr:nvPicPr>
            <xdr:cNvPr id="25" name="Shape 25">
              <a:extLst>
                <a:ext uri="{FF2B5EF4-FFF2-40B4-BE49-F238E27FC236}">
                  <a16:creationId xmlns:a16="http://schemas.microsoft.com/office/drawing/2014/main" id="{00000000-0008-0000-3300-000019000000}"/>
                </a:ext>
              </a:extLst>
            </xdr:cNvPr>
            <xdr:cNvPicPr preferRelativeResize="0"/>
          </xdr:nvPicPr>
          <xdr:blipFill rotWithShape="1">
            <a:blip xmlns:r="http://schemas.openxmlformats.org/officeDocument/2006/relationships" r:embed="rId5">
              <a:alphaModFix/>
            </a:blip>
            <a:srcRect/>
            <a:stretch/>
          </xdr:blipFill>
          <xdr:spPr>
            <a:xfrm>
              <a:off x="11106150" y="3629025"/>
              <a:ext cx="1028700" cy="1028700"/>
            </a:xfrm>
            <a:prstGeom prst="rect">
              <a:avLst/>
            </a:prstGeom>
            <a:noFill/>
            <a:ln>
              <a:noFill/>
            </a:ln>
          </xdr:spPr>
        </xdr:pic>
      </xdr:grpSp>
    </xdr:grpSp>
    <xdr:clientData fLocksWithSheet="0"/>
  </xdr:oneCellAnchor>
  <xdr:oneCellAnchor>
    <xdr:from>
      <xdr:col>20</xdr:col>
      <xdr:colOff>238125</xdr:colOff>
      <xdr:row>6</xdr:row>
      <xdr:rowOff>142875</xdr:rowOff>
    </xdr:from>
    <xdr:ext cx="2895600" cy="3571875"/>
    <xdr:grpSp>
      <xdr:nvGrpSpPr>
        <xdr:cNvPr id="5" name="Shape 2">
          <a:extLst>
            <a:ext uri="{FF2B5EF4-FFF2-40B4-BE49-F238E27FC236}">
              <a16:creationId xmlns:a16="http://schemas.microsoft.com/office/drawing/2014/main" id="{00000000-0008-0000-3300-000005000000}"/>
            </a:ext>
          </a:extLst>
        </xdr:cNvPr>
        <xdr:cNvGrpSpPr/>
      </xdr:nvGrpSpPr>
      <xdr:grpSpPr>
        <a:xfrm>
          <a:off x="6905625" y="1114425"/>
          <a:ext cx="2895600" cy="3571875"/>
          <a:chOff x="3898200" y="1994063"/>
          <a:chExt cx="2895600" cy="3571875"/>
        </a:xfrm>
      </xdr:grpSpPr>
      <xdr:grpSp>
        <xdr:nvGrpSpPr>
          <xdr:cNvPr id="26" name="Shape 26">
            <a:extLst>
              <a:ext uri="{FF2B5EF4-FFF2-40B4-BE49-F238E27FC236}">
                <a16:creationId xmlns:a16="http://schemas.microsoft.com/office/drawing/2014/main" id="{00000000-0008-0000-3300-00001A000000}"/>
              </a:ext>
            </a:extLst>
          </xdr:cNvPr>
          <xdr:cNvGrpSpPr/>
        </xdr:nvGrpSpPr>
        <xdr:grpSpPr>
          <a:xfrm>
            <a:off x="3898200" y="1994063"/>
            <a:ext cx="2895600" cy="3571875"/>
            <a:chOff x="6905625" y="1114425"/>
            <a:chExt cx="2505075" cy="3571875"/>
          </a:xfrm>
        </xdr:grpSpPr>
        <xdr:sp macro="" textlink="">
          <xdr:nvSpPr>
            <xdr:cNvPr id="6" name="Shape 12">
              <a:extLst>
                <a:ext uri="{FF2B5EF4-FFF2-40B4-BE49-F238E27FC236}">
                  <a16:creationId xmlns:a16="http://schemas.microsoft.com/office/drawing/2014/main" id="{00000000-0008-0000-3300-000006000000}"/>
                </a:ext>
              </a:extLst>
            </xdr:cNvPr>
            <xdr:cNvSpPr/>
          </xdr:nvSpPr>
          <xdr:spPr>
            <a:xfrm>
              <a:off x="6905625" y="1114425"/>
              <a:ext cx="2505075" cy="3571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27" name="Shape 27">
              <a:extLst>
                <a:ext uri="{FF2B5EF4-FFF2-40B4-BE49-F238E27FC236}">
                  <a16:creationId xmlns:a16="http://schemas.microsoft.com/office/drawing/2014/main" id="{00000000-0008-0000-3300-00001B000000}"/>
                </a:ext>
              </a:extLst>
            </xdr:cNvPr>
            <xdr:cNvPicPr preferRelativeResize="0"/>
          </xdr:nvPicPr>
          <xdr:blipFill rotWithShape="1">
            <a:blip xmlns:r="http://schemas.openxmlformats.org/officeDocument/2006/relationships" r:embed="rId6">
              <a:alphaModFix/>
            </a:blip>
            <a:srcRect/>
            <a:stretch/>
          </xdr:blipFill>
          <xdr:spPr>
            <a:xfrm>
              <a:off x="6905625" y="1114425"/>
              <a:ext cx="2505075" cy="3476625"/>
            </a:xfrm>
            <a:prstGeom prst="rect">
              <a:avLst/>
            </a:prstGeom>
            <a:noFill/>
            <a:ln>
              <a:noFill/>
            </a:ln>
          </xdr:spPr>
        </xdr:pic>
        <xdr:pic>
          <xdr:nvPicPr>
            <xdr:cNvPr id="28" name="Shape 28">
              <a:extLst>
                <a:ext uri="{FF2B5EF4-FFF2-40B4-BE49-F238E27FC236}">
                  <a16:creationId xmlns:a16="http://schemas.microsoft.com/office/drawing/2014/main" id="{00000000-0008-0000-3300-00001C000000}"/>
                </a:ext>
              </a:extLst>
            </xdr:cNvPr>
            <xdr:cNvPicPr preferRelativeResize="0"/>
          </xdr:nvPicPr>
          <xdr:blipFill rotWithShape="1">
            <a:blip xmlns:r="http://schemas.openxmlformats.org/officeDocument/2006/relationships" r:embed="rId5">
              <a:alphaModFix/>
            </a:blip>
            <a:srcRect/>
            <a:stretch/>
          </xdr:blipFill>
          <xdr:spPr>
            <a:xfrm>
              <a:off x="6905625" y="3657600"/>
              <a:ext cx="1028700" cy="1028700"/>
            </a:xfrm>
            <a:prstGeom prst="rect">
              <a:avLst/>
            </a:prstGeom>
            <a:noFill/>
            <a:ln>
              <a:noFill/>
            </a:ln>
          </xdr:spPr>
        </xdr:pic>
      </xdr:grpSp>
    </xdr:grpSp>
    <xdr:clientData fLocksWithSheet="0"/>
  </xdr:oneCellAnchor>
  <xdr:oneCellAnchor>
    <xdr:from>
      <xdr:col>13</xdr:col>
      <xdr:colOff>228600</xdr:colOff>
      <xdr:row>45</xdr:row>
      <xdr:rowOff>19050</xdr:rowOff>
    </xdr:from>
    <xdr:ext cx="1371600" cy="1352550"/>
    <xdr:pic>
      <xdr:nvPicPr>
        <xdr:cNvPr id="7" name="image74.png">
          <a:extLst>
            <a:ext uri="{FF2B5EF4-FFF2-40B4-BE49-F238E27FC236}">
              <a16:creationId xmlns:a16="http://schemas.microsoft.com/office/drawing/2014/main" id="{00000000-0008-0000-3300-000007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dr:oneCellAnchor>
    <xdr:from>
      <xdr:col>3</xdr:col>
      <xdr:colOff>76200</xdr:colOff>
      <xdr:row>22</xdr:row>
      <xdr:rowOff>142875</xdr:rowOff>
    </xdr:from>
    <xdr:ext cx="4791075" cy="2667000"/>
    <xdr:grpSp>
      <xdr:nvGrpSpPr>
        <xdr:cNvPr id="2" name="Shape 2">
          <a:extLst>
            <a:ext uri="{FF2B5EF4-FFF2-40B4-BE49-F238E27FC236}">
              <a16:creationId xmlns:a16="http://schemas.microsoft.com/office/drawing/2014/main" id="{00000000-0008-0000-3400-000002000000}"/>
            </a:ext>
          </a:extLst>
        </xdr:cNvPr>
        <xdr:cNvGrpSpPr/>
      </xdr:nvGrpSpPr>
      <xdr:grpSpPr>
        <a:xfrm>
          <a:off x="1076325" y="3705225"/>
          <a:ext cx="4791075" cy="2667000"/>
          <a:chOff x="2950463" y="2446500"/>
          <a:chExt cx="4791075" cy="2667000"/>
        </a:xfrm>
      </xdr:grpSpPr>
      <xdr:grpSp>
        <xdr:nvGrpSpPr>
          <xdr:cNvPr id="29" name="Shape 29">
            <a:extLst>
              <a:ext uri="{FF2B5EF4-FFF2-40B4-BE49-F238E27FC236}">
                <a16:creationId xmlns:a16="http://schemas.microsoft.com/office/drawing/2014/main" id="{00000000-0008-0000-3400-00001D000000}"/>
              </a:ext>
            </a:extLst>
          </xdr:cNvPr>
          <xdr:cNvGrpSpPr/>
        </xdr:nvGrpSpPr>
        <xdr:grpSpPr>
          <a:xfrm>
            <a:off x="2950463" y="2446500"/>
            <a:ext cx="4791075" cy="2667000"/>
            <a:chOff x="4114800" y="3943350"/>
            <a:chExt cx="4314412" cy="2839916"/>
          </a:xfrm>
        </xdr:grpSpPr>
        <xdr:sp macro="" textlink="">
          <xdr:nvSpPr>
            <xdr:cNvPr id="12" name="Shape 12">
              <a:extLst>
                <a:ext uri="{FF2B5EF4-FFF2-40B4-BE49-F238E27FC236}">
                  <a16:creationId xmlns:a16="http://schemas.microsoft.com/office/drawing/2014/main" id="{00000000-0008-0000-3400-00000C000000}"/>
                </a:ext>
              </a:extLst>
            </xdr:cNvPr>
            <xdr:cNvSpPr/>
          </xdr:nvSpPr>
          <xdr:spPr>
            <a:xfrm>
              <a:off x="4114800" y="3943350"/>
              <a:ext cx="4314400" cy="2839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0" name="Shape 30">
              <a:extLst>
                <a:ext uri="{FF2B5EF4-FFF2-40B4-BE49-F238E27FC236}">
                  <a16:creationId xmlns:a16="http://schemas.microsoft.com/office/drawing/2014/main" id="{00000000-0008-0000-3400-00001E000000}"/>
                </a:ext>
              </a:extLst>
            </xdr:cNvPr>
            <xdr:cNvCxnSpPr/>
          </xdr:nvCxnSpPr>
          <xdr:spPr>
            <a:xfrm rot="10800000" flipH="1">
              <a:off x="4114800" y="4937321"/>
              <a:ext cx="2298423" cy="517270"/>
            </a:xfrm>
            <a:prstGeom prst="straightConnector1">
              <a:avLst/>
            </a:prstGeom>
            <a:noFill/>
            <a:ln w="9525" cap="flat" cmpd="sng">
              <a:solidFill>
                <a:srgbClr val="4A7DBA"/>
              </a:solidFill>
              <a:prstDash val="solid"/>
              <a:round/>
              <a:headEnd type="none" w="sm" len="sm"/>
              <a:tailEnd type="none" w="sm" len="sm"/>
            </a:ln>
          </xdr:spPr>
        </xdr:cxnSp>
        <xdr:cxnSp macro="">
          <xdr:nvCxnSpPr>
            <xdr:cNvPr id="31" name="Shape 31">
              <a:extLst>
                <a:ext uri="{FF2B5EF4-FFF2-40B4-BE49-F238E27FC236}">
                  <a16:creationId xmlns:a16="http://schemas.microsoft.com/office/drawing/2014/main" id="{00000000-0008-0000-3400-00001F000000}"/>
                </a:ext>
              </a:extLst>
            </xdr:cNvPr>
            <xdr:cNvCxnSpPr/>
          </xdr:nvCxnSpPr>
          <xdr:spPr>
            <a:xfrm>
              <a:off x="4114800" y="5454591"/>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2" name="Shape 32">
              <a:extLst>
                <a:ext uri="{FF2B5EF4-FFF2-40B4-BE49-F238E27FC236}">
                  <a16:creationId xmlns:a16="http://schemas.microsoft.com/office/drawing/2014/main" id="{00000000-0008-0000-3400-000020000000}"/>
                </a:ext>
              </a:extLst>
            </xdr:cNvPr>
            <xdr:cNvCxnSpPr/>
          </xdr:nvCxnSpPr>
          <xdr:spPr>
            <a:xfrm>
              <a:off x="4114800" y="6499274"/>
              <a:ext cx="2298423" cy="0"/>
            </a:xfrm>
            <a:prstGeom prst="straightConnector1">
              <a:avLst/>
            </a:prstGeom>
            <a:noFill/>
            <a:ln w="9525" cap="flat" cmpd="sng">
              <a:solidFill>
                <a:srgbClr val="4A7DBA"/>
              </a:solidFill>
              <a:prstDash val="solid"/>
              <a:round/>
              <a:headEnd type="none" w="sm" len="sm"/>
              <a:tailEnd type="none" w="sm" len="sm"/>
            </a:ln>
          </xdr:spPr>
        </xdr:cxnSp>
        <xdr:cxnSp macro="">
          <xdr:nvCxnSpPr>
            <xdr:cNvPr id="33" name="Shape 33">
              <a:extLst>
                <a:ext uri="{FF2B5EF4-FFF2-40B4-BE49-F238E27FC236}">
                  <a16:creationId xmlns:a16="http://schemas.microsoft.com/office/drawing/2014/main" id="{00000000-0008-0000-3400-000021000000}"/>
                </a:ext>
              </a:extLst>
            </xdr:cNvPr>
            <xdr:cNvCxnSpPr/>
          </xdr:nvCxnSpPr>
          <xdr:spPr>
            <a:xfrm>
              <a:off x="4114800" y="5454591"/>
              <a:ext cx="0"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4" name="Shape 34">
              <a:extLst>
                <a:ext uri="{FF2B5EF4-FFF2-40B4-BE49-F238E27FC236}">
                  <a16:creationId xmlns:a16="http://schemas.microsoft.com/office/drawing/2014/main" id="{00000000-0008-0000-3400-000022000000}"/>
                </a:ext>
              </a:extLst>
            </xdr:cNvPr>
            <xdr:cNvCxnSpPr/>
          </xdr:nvCxnSpPr>
          <xdr:spPr>
            <a:xfrm rot="10800000" flipH="1">
              <a:off x="4114800" y="5454591"/>
              <a:ext cx="2298423" cy="1044683"/>
            </a:xfrm>
            <a:prstGeom prst="straightConnector1">
              <a:avLst/>
            </a:prstGeom>
            <a:noFill/>
            <a:ln w="9525" cap="flat" cmpd="sng">
              <a:solidFill>
                <a:srgbClr val="4A7DBA"/>
              </a:solidFill>
              <a:prstDash val="solid"/>
              <a:round/>
              <a:headEnd type="none" w="sm" len="sm"/>
              <a:tailEnd type="none" w="sm" len="sm"/>
            </a:ln>
          </xdr:spPr>
        </xdr:cxnSp>
        <xdr:cxnSp macro="">
          <xdr:nvCxnSpPr>
            <xdr:cNvPr id="35" name="Shape 35">
              <a:extLst>
                <a:ext uri="{FF2B5EF4-FFF2-40B4-BE49-F238E27FC236}">
                  <a16:creationId xmlns:a16="http://schemas.microsoft.com/office/drawing/2014/main" id="{00000000-0008-0000-3400-000023000000}"/>
                </a:ext>
              </a:extLst>
            </xdr:cNvPr>
            <xdr:cNvCxnSpPr/>
          </xdr:nvCxnSpPr>
          <xdr:spPr>
            <a:xfrm>
              <a:off x="6413223" y="4937321"/>
              <a:ext cx="0" cy="1582239"/>
            </a:xfrm>
            <a:prstGeom prst="straightConnector1">
              <a:avLst/>
            </a:prstGeom>
            <a:noFill/>
            <a:ln w="76200" cap="flat" cmpd="sng">
              <a:solidFill>
                <a:srgbClr val="FF0000"/>
              </a:solidFill>
              <a:prstDash val="solid"/>
              <a:round/>
              <a:headEnd type="none" w="sm" len="sm"/>
              <a:tailEnd type="none" w="sm" len="sm"/>
            </a:ln>
          </xdr:spPr>
        </xdr:cxnSp>
        <xdr:cxnSp macro="">
          <xdr:nvCxnSpPr>
            <xdr:cNvPr id="36" name="Shape 36">
              <a:extLst>
                <a:ext uri="{FF2B5EF4-FFF2-40B4-BE49-F238E27FC236}">
                  <a16:creationId xmlns:a16="http://schemas.microsoft.com/office/drawing/2014/main" id="{00000000-0008-0000-3400-000024000000}"/>
                </a:ext>
              </a:extLst>
            </xdr:cNvPr>
            <xdr:cNvCxnSpPr/>
          </xdr:nvCxnSpPr>
          <xdr:spPr>
            <a:xfrm>
              <a:off x="6452179" y="5454591"/>
              <a:ext cx="1947816" cy="283992"/>
            </a:xfrm>
            <a:prstGeom prst="straightConnector1">
              <a:avLst/>
            </a:prstGeom>
            <a:noFill/>
            <a:ln w="28575" cap="flat" cmpd="sng">
              <a:solidFill>
                <a:srgbClr val="4A7DBA"/>
              </a:solidFill>
              <a:prstDash val="dash"/>
              <a:round/>
              <a:headEnd type="none" w="sm" len="sm"/>
              <a:tailEnd type="none" w="sm" len="sm"/>
            </a:ln>
          </xdr:spPr>
        </xdr:cxnSp>
        <xdr:cxnSp macro="">
          <xdr:nvCxnSpPr>
            <xdr:cNvPr id="37" name="Shape 37">
              <a:extLst>
                <a:ext uri="{FF2B5EF4-FFF2-40B4-BE49-F238E27FC236}">
                  <a16:creationId xmlns:a16="http://schemas.microsoft.com/office/drawing/2014/main" id="{00000000-0008-0000-3400-000025000000}"/>
                </a:ext>
              </a:extLst>
            </xdr:cNvPr>
            <xdr:cNvCxnSpPr/>
          </xdr:nvCxnSpPr>
          <xdr:spPr>
            <a:xfrm>
              <a:off x="6413223" y="5728440"/>
              <a:ext cx="2015989" cy="30428"/>
            </a:xfrm>
            <a:prstGeom prst="straightConnector1">
              <a:avLst/>
            </a:prstGeom>
            <a:noFill/>
            <a:ln w="9525" cap="flat" cmpd="sng">
              <a:solidFill>
                <a:srgbClr val="4A7DBA"/>
              </a:solidFill>
              <a:prstDash val="solid"/>
              <a:round/>
              <a:headEnd type="none" w="sm" len="sm"/>
              <a:tailEnd type="none" w="sm" len="sm"/>
            </a:ln>
          </xdr:spPr>
        </xdr:cxnSp>
        <xdr:cxnSp macro="">
          <xdr:nvCxnSpPr>
            <xdr:cNvPr id="38" name="Shape 38">
              <a:extLst>
                <a:ext uri="{FF2B5EF4-FFF2-40B4-BE49-F238E27FC236}">
                  <a16:creationId xmlns:a16="http://schemas.microsoft.com/office/drawing/2014/main" id="{00000000-0008-0000-3400-000026000000}"/>
                </a:ext>
              </a:extLst>
            </xdr:cNvPr>
            <xdr:cNvCxnSpPr/>
          </xdr:nvCxnSpPr>
          <xdr:spPr>
            <a:xfrm>
              <a:off x="6413223" y="6468847"/>
              <a:ext cx="2015989" cy="0"/>
            </a:xfrm>
            <a:prstGeom prst="straightConnector1">
              <a:avLst/>
            </a:prstGeom>
            <a:noFill/>
            <a:ln w="9525" cap="flat" cmpd="sng">
              <a:solidFill>
                <a:srgbClr val="4A7DBA"/>
              </a:solidFill>
              <a:prstDash val="solid"/>
              <a:round/>
              <a:headEnd type="none" w="sm" len="sm"/>
              <a:tailEnd type="none" w="sm" len="sm"/>
            </a:ln>
          </xdr:spPr>
        </xdr:cxnSp>
        <xdr:cxnSp macro="">
          <xdr:nvCxnSpPr>
            <xdr:cNvPr id="39" name="Shape 39">
              <a:extLst>
                <a:ext uri="{FF2B5EF4-FFF2-40B4-BE49-F238E27FC236}">
                  <a16:creationId xmlns:a16="http://schemas.microsoft.com/office/drawing/2014/main" id="{00000000-0008-0000-3400-000027000000}"/>
                </a:ext>
              </a:extLst>
            </xdr:cNvPr>
            <xdr:cNvCxnSpPr/>
          </xdr:nvCxnSpPr>
          <xdr:spPr>
            <a:xfrm>
              <a:off x="6413223" y="5718298"/>
              <a:ext cx="2015989" cy="780977"/>
            </a:xfrm>
            <a:prstGeom prst="straightConnector1">
              <a:avLst/>
            </a:prstGeom>
            <a:noFill/>
            <a:ln w="9525" cap="flat" cmpd="sng">
              <a:solidFill>
                <a:srgbClr val="4A7DBA"/>
              </a:solidFill>
              <a:prstDash val="solid"/>
              <a:round/>
              <a:headEnd type="none" w="sm" len="sm"/>
              <a:tailEnd type="none" w="sm" len="sm"/>
            </a:ln>
          </xdr:spPr>
        </xdr:cxnSp>
        <xdr:cxnSp macro="">
          <xdr:nvCxnSpPr>
            <xdr:cNvPr id="40" name="Shape 40">
              <a:extLst>
                <a:ext uri="{FF2B5EF4-FFF2-40B4-BE49-F238E27FC236}">
                  <a16:creationId xmlns:a16="http://schemas.microsoft.com/office/drawing/2014/main" id="{00000000-0008-0000-3400-000028000000}"/>
                </a:ext>
              </a:extLst>
            </xdr:cNvPr>
            <xdr:cNvCxnSpPr/>
          </xdr:nvCxnSpPr>
          <xdr:spPr>
            <a:xfrm flipH="1">
              <a:off x="8399995" y="3943350"/>
              <a:ext cx="29217" cy="2555924"/>
            </a:xfrm>
            <a:prstGeom prst="straightConnector1">
              <a:avLst/>
            </a:prstGeom>
            <a:noFill/>
            <a:ln w="76200" cap="flat" cmpd="sng">
              <a:solidFill>
                <a:srgbClr val="FF0000"/>
              </a:solidFill>
              <a:prstDash val="solid"/>
              <a:round/>
              <a:headEnd type="none" w="sm" len="sm"/>
              <a:tailEnd type="none" w="sm" len="sm"/>
            </a:ln>
          </xdr:spPr>
        </xdr:cxnSp>
        <xdr:cxnSp macro="">
          <xdr:nvCxnSpPr>
            <xdr:cNvPr id="41" name="Shape 41">
              <a:extLst>
                <a:ext uri="{FF2B5EF4-FFF2-40B4-BE49-F238E27FC236}">
                  <a16:creationId xmlns:a16="http://schemas.microsoft.com/office/drawing/2014/main" id="{00000000-0008-0000-3400-000029000000}"/>
                </a:ext>
              </a:extLst>
            </xdr:cNvPr>
            <xdr:cNvCxnSpPr/>
          </xdr:nvCxnSpPr>
          <xdr:spPr>
            <a:xfrm>
              <a:off x="6617743" y="5454591"/>
              <a:ext cx="0" cy="283992"/>
            </a:xfrm>
            <a:prstGeom prst="straightConnector1">
              <a:avLst/>
            </a:prstGeom>
            <a:noFill/>
            <a:ln w="9525" cap="flat" cmpd="sng">
              <a:solidFill>
                <a:srgbClr val="4A7DBA"/>
              </a:solidFill>
              <a:prstDash val="solid"/>
              <a:round/>
              <a:headEnd type="triangle" w="med" len="med"/>
              <a:tailEnd type="triangle" w="med" len="med"/>
            </a:ln>
          </xdr:spPr>
        </xdr:cxnSp>
        <xdr:sp macro="" textlink="">
          <xdr:nvSpPr>
            <xdr:cNvPr id="42" name="Shape 42">
              <a:extLst>
                <a:ext uri="{FF2B5EF4-FFF2-40B4-BE49-F238E27FC236}">
                  <a16:creationId xmlns:a16="http://schemas.microsoft.com/office/drawing/2014/main" id="{00000000-0008-0000-3400-00002A000000}"/>
                </a:ext>
              </a:extLst>
            </xdr:cNvPr>
            <xdr:cNvSpPr txBox="1"/>
          </xdr:nvSpPr>
          <xdr:spPr>
            <a:xfrm>
              <a:off x="6384005" y="4653329"/>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1</a:t>
              </a:r>
              <a:endParaRPr sz="1100"/>
            </a:p>
          </xdr:txBody>
        </xdr:sp>
        <xdr:sp macro="" textlink="">
          <xdr:nvSpPr>
            <xdr:cNvPr id="43" name="Shape 43">
              <a:extLst>
                <a:ext uri="{FF2B5EF4-FFF2-40B4-BE49-F238E27FC236}">
                  <a16:creationId xmlns:a16="http://schemas.microsoft.com/office/drawing/2014/main" id="{00000000-0008-0000-3400-00002B000000}"/>
                </a:ext>
              </a:extLst>
            </xdr:cNvPr>
            <xdr:cNvSpPr txBox="1"/>
          </xdr:nvSpPr>
          <xdr:spPr>
            <a:xfrm>
              <a:off x="6413223" y="5160457"/>
              <a:ext cx="301911"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2</a:t>
              </a:r>
              <a:endParaRPr sz="1100"/>
            </a:p>
          </xdr:txBody>
        </xdr:sp>
        <xdr:sp macro="" textlink="">
          <xdr:nvSpPr>
            <xdr:cNvPr id="44" name="Shape 44">
              <a:extLst>
                <a:ext uri="{FF2B5EF4-FFF2-40B4-BE49-F238E27FC236}">
                  <a16:creationId xmlns:a16="http://schemas.microsoft.com/office/drawing/2014/main" id="{00000000-0008-0000-3400-00002C000000}"/>
                </a:ext>
              </a:extLst>
            </xdr:cNvPr>
            <xdr:cNvSpPr txBox="1"/>
          </xdr:nvSpPr>
          <xdr:spPr>
            <a:xfrm>
              <a:off x="6384005" y="6407991"/>
              <a:ext cx="301911" cy="375275"/>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3</a:t>
              </a:r>
              <a:endParaRPr sz="1100"/>
            </a:p>
          </xdr:txBody>
        </xdr:sp>
        <xdr:sp macro="" textlink="">
          <xdr:nvSpPr>
            <xdr:cNvPr id="45" name="Shape 45">
              <a:extLst>
                <a:ext uri="{FF2B5EF4-FFF2-40B4-BE49-F238E27FC236}">
                  <a16:creationId xmlns:a16="http://schemas.microsoft.com/office/drawing/2014/main" id="{00000000-0008-0000-3400-00002D000000}"/>
                </a:ext>
              </a:extLst>
            </xdr:cNvPr>
            <xdr:cNvSpPr txBox="1"/>
          </xdr:nvSpPr>
          <xdr:spPr>
            <a:xfrm>
              <a:off x="5984703" y="5535731"/>
              <a:ext cx="486954" cy="365132"/>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r>
                <a:rPr lang="en-US" sz="1100"/>
                <a:t>(4)</a:t>
              </a:r>
              <a:endParaRPr sz="1100"/>
            </a:p>
          </xdr:txBody>
        </xdr:sp>
      </xdr:grp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sylvie.milleret@ec-lyon.fr" TargetMode="External"/><Relationship Id="rId1" Type="http://schemas.openxmlformats.org/officeDocument/2006/relationships/hyperlink" Target="mailto:ayman.rachidi@etu.ec-lyon.fr"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pane ySplit="22" topLeftCell="A23" activePane="bottomLeft" state="frozen"/>
      <selection pane="bottomLeft" activeCell="B24" sqref="B24"/>
    </sheetView>
  </sheetViews>
  <sheetFormatPr baseColWidth="10" defaultColWidth="12.5703125" defaultRowHeight="15" customHeight="1"/>
  <cols>
    <col min="1" max="1" width="9.140625" customWidth="1"/>
    <col min="2" max="2" width="11" customWidth="1"/>
    <col min="3" max="26" width="11.42578125" customWidth="1"/>
  </cols>
  <sheetData>
    <row r="1" spans="1:26" ht="12.75" customHeight="1">
      <c r="A1" s="1">
        <v>2025</v>
      </c>
      <c r="B1" s="2" t="s">
        <v>0</v>
      </c>
      <c r="C1" s="3" t="s">
        <v>1</v>
      </c>
      <c r="D1" s="3"/>
      <c r="E1" s="3"/>
      <c r="F1" s="3"/>
      <c r="G1" s="4"/>
      <c r="H1" s="4"/>
      <c r="I1" s="4"/>
      <c r="J1" s="4"/>
      <c r="K1" s="4"/>
      <c r="L1" s="4"/>
      <c r="M1" s="4"/>
      <c r="N1" s="4"/>
      <c r="O1" s="4"/>
      <c r="P1" s="5"/>
      <c r="Q1" s="6"/>
      <c r="R1" s="6"/>
      <c r="S1" s="6"/>
      <c r="T1" s="6"/>
      <c r="U1" s="6"/>
      <c r="V1" s="6"/>
      <c r="W1" s="6"/>
      <c r="X1" s="6"/>
      <c r="Y1" s="6"/>
      <c r="Z1" s="6"/>
    </row>
    <row r="2" spans="1:26" ht="12.75" customHeight="1">
      <c r="A2" s="7"/>
      <c r="B2" s="6"/>
      <c r="C2" s="6"/>
      <c r="D2" s="6"/>
      <c r="E2" s="6"/>
      <c r="F2" s="6"/>
      <c r="G2" s="6"/>
      <c r="H2" s="6"/>
      <c r="I2" s="6"/>
      <c r="J2" s="6"/>
      <c r="K2" s="6"/>
      <c r="L2" s="6"/>
      <c r="M2" s="6"/>
      <c r="N2" s="6"/>
      <c r="O2" s="6"/>
      <c r="P2" s="8"/>
      <c r="Q2" s="6"/>
      <c r="R2" s="6"/>
      <c r="S2" s="6"/>
      <c r="T2" s="6"/>
      <c r="U2" s="6"/>
      <c r="V2" s="6"/>
      <c r="W2" s="6"/>
      <c r="X2" s="6"/>
      <c r="Y2" s="6"/>
      <c r="Z2" s="6"/>
    </row>
    <row r="3" spans="1:26" ht="12.75" customHeight="1">
      <c r="A3" s="581" t="s">
        <v>2</v>
      </c>
      <c r="B3" s="582"/>
      <c r="C3" s="582"/>
      <c r="D3" s="582"/>
      <c r="E3" s="582"/>
      <c r="F3" s="582"/>
      <c r="G3" s="582"/>
      <c r="H3" s="582"/>
      <c r="I3" s="582"/>
      <c r="J3" s="582"/>
      <c r="K3" s="582"/>
      <c r="L3" s="582"/>
      <c r="M3" s="582"/>
      <c r="N3" s="582"/>
      <c r="O3" s="583"/>
      <c r="P3" s="8"/>
      <c r="Q3" s="6"/>
      <c r="R3" s="6"/>
      <c r="S3" s="6"/>
      <c r="T3" s="6"/>
      <c r="U3" s="6"/>
      <c r="V3" s="6"/>
      <c r="W3" s="6"/>
      <c r="X3" s="6"/>
      <c r="Y3" s="6"/>
      <c r="Z3" s="6"/>
    </row>
    <row r="4" spans="1:26" ht="12.75" customHeight="1">
      <c r="A4" s="9"/>
      <c r="B4" s="10"/>
      <c r="C4" s="10"/>
      <c r="D4" s="10"/>
      <c r="E4" s="10"/>
      <c r="F4" s="10"/>
      <c r="G4" s="10"/>
      <c r="H4" s="10"/>
      <c r="I4" s="10"/>
      <c r="J4" s="10"/>
      <c r="K4" s="10"/>
      <c r="L4" s="10"/>
      <c r="M4" s="10"/>
      <c r="N4" s="10"/>
      <c r="O4" s="10"/>
      <c r="P4" s="8"/>
      <c r="Q4" s="6"/>
      <c r="R4" s="6"/>
      <c r="S4" s="6"/>
      <c r="T4" s="6"/>
      <c r="U4" s="6"/>
      <c r="V4" s="6"/>
      <c r="W4" s="6"/>
      <c r="X4" s="6"/>
      <c r="Y4" s="6"/>
      <c r="Z4" s="6"/>
    </row>
    <row r="5" spans="1:26" ht="12.75" customHeight="1">
      <c r="A5" s="11" t="s">
        <v>3</v>
      </c>
      <c r="B5" s="10"/>
      <c r="C5" s="10"/>
      <c r="D5" s="10"/>
      <c r="E5" s="10"/>
      <c r="F5" s="10"/>
      <c r="G5" s="10"/>
      <c r="H5" s="10"/>
      <c r="I5" s="10"/>
      <c r="J5" s="10"/>
      <c r="K5" s="10"/>
      <c r="L5" s="10"/>
      <c r="M5" s="10"/>
      <c r="N5" s="10"/>
      <c r="O5" s="10"/>
      <c r="P5" s="8"/>
      <c r="Q5" s="6"/>
      <c r="R5" s="6"/>
      <c r="S5" s="6"/>
      <c r="T5" s="6"/>
      <c r="U5" s="6"/>
      <c r="V5" s="6"/>
      <c r="W5" s="6"/>
      <c r="X5" s="6"/>
      <c r="Y5" s="6"/>
      <c r="Z5" s="6"/>
    </row>
    <row r="6" spans="1:26" ht="12.75" customHeight="1">
      <c r="A6" s="11"/>
      <c r="B6" s="10"/>
      <c r="C6" s="10"/>
      <c r="D6" s="10"/>
      <c r="E6" s="10"/>
      <c r="F6" s="10"/>
      <c r="G6" s="10"/>
      <c r="H6" s="10"/>
      <c r="I6" s="10"/>
      <c r="J6" s="10"/>
      <c r="K6" s="10"/>
      <c r="L6" s="10"/>
      <c r="M6" s="10"/>
      <c r="N6" s="10"/>
      <c r="O6" s="10"/>
      <c r="P6" s="8"/>
      <c r="Q6" s="6"/>
      <c r="R6" s="6"/>
      <c r="S6" s="6"/>
      <c r="T6" s="6"/>
      <c r="U6" s="6"/>
      <c r="V6" s="6"/>
      <c r="W6" s="6"/>
      <c r="X6" s="6"/>
      <c r="Y6" s="6"/>
      <c r="Z6" s="6"/>
    </row>
    <row r="7" spans="1:26" ht="12.75" customHeight="1">
      <c r="A7" s="11" t="s">
        <v>4</v>
      </c>
      <c r="B7" s="10"/>
      <c r="C7" s="10"/>
      <c r="D7" s="10"/>
      <c r="E7" s="10"/>
      <c r="F7" s="10"/>
      <c r="G7" s="10"/>
      <c r="H7" s="10"/>
      <c r="I7" s="10"/>
      <c r="J7" s="10"/>
      <c r="K7" s="10"/>
      <c r="L7" s="10"/>
      <c r="M7" s="10"/>
      <c r="N7" s="10"/>
      <c r="O7" s="10"/>
      <c r="P7" s="8"/>
      <c r="Q7" s="6"/>
      <c r="R7" s="6"/>
      <c r="S7" s="6"/>
      <c r="T7" s="6"/>
      <c r="U7" s="6"/>
      <c r="V7" s="6"/>
      <c r="W7" s="6"/>
      <c r="X7" s="6"/>
      <c r="Y7" s="6"/>
      <c r="Z7" s="6"/>
    </row>
    <row r="8" spans="1:26" ht="12.75" customHeight="1">
      <c r="A8" s="11"/>
      <c r="B8" s="10"/>
      <c r="C8" s="10"/>
      <c r="D8" s="10"/>
      <c r="E8" s="10"/>
      <c r="F8" s="10"/>
      <c r="G8" s="10"/>
      <c r="H8" s="10"/>
      <c r="I8" s="10"/>
      <c r="J8" s="10"/>
      <c r="K8" s="10"/>
      <c r="L8" s="10"/>
      <c r="M8" s="10"/>
      <c r="N8" s="10"/>
      <c r="O8" s="10"/>
      <c r="P8" s="8"/>
      <c r="Q8" s="6"/>
      <c r="R8" s="6"/>
      <c r="S8" s="6"/>
      <c r="T8" s="6"/>
      <c r="U8" s="6"/>
      <c r="V8" s="6"/>
      <c r="W8" s="6"/>
      <c r="X8" s="6"/>
      <c r="Y8" s="6"/>
      <c r="Z8" s="6"/>
    </row>
    <row r="9" spans="1:26" ht="12.75" customHeight="1">
      <c r="A9" s="12" t="s">
        <v>5</v>
      </c>
      <c r="B9" s="10"/>
      <c r="C9" s="10"/>
      <c r="D9" s="10"/>
      <c r="E9" s="10"/>
      <c r="F9" s="10"/>
      <c r="G9" s="10"/>
      <c r="H9" s="10"/>
      <c r="I9" s="10"/>
      <c r="J9" s="10"/>
      <c r="K9" s="10"/>
      <c r="L9" s="10"/>
      <c r="M9" s="10"/>
      <c r="N9" s="10"/>
      <c r="O9" s="10"/>
      <c r="P9" s="8"/>
      <c r="Q9" s="6"/>
      <c r="R9" s="6"/>
      <c r="S9" s="6"/>
      <c r="T9" s="6"/>
      <c r="U9" s="6"/>
      <c r="V9" s="6"/>
      <c r="W9" s="6"/>
      <c r="X9" s="6"/>
      <c r="Y9" s="6"/>
      <c r="Z9" s="6"/>
    </row>
    <row r="10" spans="1:26" ht="12.75" customHeight="1">
      <c r="A10" s="11"/>
      <c r="B10" s="10"/>
      <c r="C10" s="10"/>
      <c r="D10" s="10"/>
      <c r="E10" s="10"/>
      <c r="F10" s="10"/>
      <c r="G10" s="10"/>
      <c r="H10" s="10"/>
      <c r="I10" s="10"/>
      <c r="J10" s="10"/>
      <c r="K10" s="10"/>
      <c r="L10" s="10"/>
      <c r="M10" s="10"/>
      <c r="N10" s="10"/>
      <c r="O10" s="10"/>
      <c r="P10" s="8"/>
      <c r="Q10" s="6"/>
      <c r="R10" s="6"/>
      <c r="S10" s="6"/>
      <c r="T10" s="6"/>
      <c r="U10" s="6"/>
      <c r="V10" s="6"/>
      <c r="W10" s="6"/>
      <c r="X10" s="6"/>
      <c r="Y10" s="6"/>
      <c r="Z10" s="6"/>
    </row>
    <row r="11" spans="1:26" ht="12.75" customHeight="1">
      <c r="A11" s="581" t="s">
        <v>6</v>
      </c>
      <c r="B11" s="582"/>
      <c r="C11" s="582"/>
      <c r="D11" s="582"/>
      <c r="E11" s="582"/>
      <c r="F11" s="582"/>
      <c r="G11" s="582"/>
      <c r="H11" s="582"/>
      <c r="I11" s="582"/>
      <c r="J11" s="582"/>
      <c r="K11" s="582"/>
      <c r="L11" s="582"/>
      <c r="M11" s="582"/>
      <c r="N11" s="582"/>
      <c r="O11" s="582"/>
      <c r="P11" s="584"/>
      <c r="Q11" s="6"/>
      <c r="R11" s="6"/>
      <c r="S11" s="6"/>
      <c r="T11" s="6"/>
      <c r="U11" s="6"/>
      <c r="V11" s="6"/>
      <c r="W11" s="6"/>
      <c r="X11" s="6"/>
      <c r="Y11" s="6"/>
      <c r="Z11" s="6"/>
    </row>
    <row r="12" spans="1:26" ht="12.75" customHeight="1">
      <c r="A12" s="581" t="s">
        <v>7</v>
      </c>
      <c r="B12" s="582"/>
      <c r="C12" s="582"/>
      <c r="D12" s="582"/>
      <c r="E12" s="582"/>
      <c r="F12" s="582"/>
      <c r="G12" s="582"/>
      <c r="H12" s="582"/>
      <c r="I12" s="582"/>
      <c r="J12" s="582"/>
      <c r="K12" s="582"/>
      <c r="L12" s="582"/>
      <c r="M12" s="582"/>
      <c r="N12" s="582"/>
      <c r="O12" s="582"/>
      <c r="P12" s="584"/>
      <c r="Q12" s="6"/>
      <c r="R12" s="6"/>
      <c r="S12" s="6"/>
      <c r="T12" s="6"/>
      <c r="U12" s="6"/>
      <c r="V12" s="6"/>
      <c r="W12" s="6"/>
      <c r="X12" s="6"/>
      <c r="Y12" s="6"/>
      <c r="Z12" s="6"/>
    </row>
    <row r="13" spans="1:26" ht="25.5" customHeight="1">
      <c r="A13" s="585" t="s">
        <v>8</v>
      </c>
      <c r="B13" s="582"/>
      <c r="C13" s="582"/>
      <c r="D13" s="582"/>
      <c r="E13" s="582"/>
      <c r="F13" s="582"/>
      <c r="G13" s="582"/>
      <c r="H13" s="582"/>
      <c r="I13" s="582"/>
      <c r="J13" s="582"/>
      <c r="K13" s="582"/>
      <c r="L13" s="582"/>
      <c r="M13" s="582"/>
      <c r="N13" s="582"/>
      <c r="O13" s="582"/>
      <c r="P13" s="584"/>
      <c r="Q13" s="6"/>
      <c r="R13" s="6"/>
      <c r="S13" s="6"/>
      <c r="T13" s="6"/>
      <c r="U13" s="6"/>
      <c r="V13" s="6"/>
      <c r="W13" s="6"/>
      <c r="X13" s="6"/>
      <c r="Y13" s="6"/>
      <c r="Z13" s="6"/>
    </row>
    <row r="14" spans="1:26" ht="25.5" customHeight="1">
      <c r="A14" s="585" t="s">
        <v>9</v>
      </c>
      <c r="B14" s="582"/>
      <c r="C14" s="582"/>
      <c r="D14" s="582"/>
      <c r="E14" s="582"/>
      <c r="F14" s="582"/>
      <c r="G14" s="582"/>
      <c r="H14" s="582"/>
      <c r="I14" s="582"/>
      <c r="J14" s="582"/>
      <c r="K14" s="582"/>
      <c r="L14" s="582"/>
      <c r="M14" s="582"/>
      <c r="N14" s="582"/>
      <c r="O14" s="582"/>
      <c r="P14" s="584"/>
      <c r="Q14" s="6"/>
      <c r="R14" s="6"/>
      <c r="S14" s="6"/>
      <c r="T14" s="6"/>
      <c r="U14" s="6"/>
      <c r="V14" s="6"/>
      <c r="W14" s="6"/>
      <c r="X14" s="6"/>
      <c r="Y14" s="6"/>
      <c r="Z14" s="6"/>
    </row>
    <row r="15" spans="1:26" ht="12.75" customHeight="1">
      <c r="A15" s="11" t="s">
        <v>10</v>
      </c>
      <c r="B15" s="13"/>
      <c r="C15" s="13"/>
      <c r="D15" s="13"/>
      <c r="E15" s="13"/>
      <c r="F15" s="13"/>
      <c r="G15" s="13"/>
      <c r="H15" s="13"/>
      <c r="I15" s="13"/>
      <c r="J15" s="13"/>
      <c r="K15" s="13"/>
      <c r="L15" s="13"/>
      <c r="M15" s="13"/>
      <c r="N15" s="13"/>
      <c r="O15" s="13"/>
      <c r="P15" s="14"/>
      <c r="Q15" s="6"/>
      <c r="R15" s="6"/>
      <c r="S15" s="6"/>
      <c r="T15" s="6"/>
      <c r="U15" s="6"/>
      <c r="V15" s="6"/>
      <c r="W15" s="6"/>
      <c r="X15" s="6"/>
      <c r="Y15" s="6"/>
      <c r="Z15" s="6"/>
    </row>
    <row r="16" spans="1:26" ht="12.75" customHeight="1">
      <c r="A16" s="9"/>
      <c r="B16" s="13"/>
      <c r="C16" s="13"/>
      <c r="D16" s="13"/>
      <c r="E16" s="13"/>
      <c r="F16" s="13"/>
      <c r="G16" s="13"/>
      <c r="H16" s="13"/>
      <c r="I16" s="13"/>
      <c r="J16" s="13"/>
      <c r="K16" s="13"/>
      <c r="L16" s="13"/>
      <c r="M16" s="13"/>
      <c r="N16" s="13"/>
      <c r="O16" s="13"/>
      <c r="P16" s="14"/>
      <c r="Q16" s="6"/>
      <c r="R16" s="6"/>
      <c r="S16" s="6"/>
      <c r="T16" s="6"/>
      <c r="U16" s="6"/>
      <c r="V16" s="6"/>
      <c r="W16" s="6"/>
      <c r="X16" s="6"/>
      <c r="Y16" s="6"/>
      <c r="Z16" s="6"/>
    </row>
    <row r="17" spans="1:26" ht="12.75" customHeight="1">
      <c r="A17" s="15" t="s">
        <v>11</v>
      </c>
      <c r="B17" s="6"/>
      <c r="C17" s="6"/>
      <c r="D17" s="6"/>
      <c r="E17" s="6"/>
      <c r="F17" s="6"/>
      <c r="G17" s="6"/>
      <c r="H17" s="6"/>
      <c r="I17" s="6"/>
      <c r="J17" s="6"/>
      <c r="K17" s="6"/>
      <c r="L17" s="6"/>
      <c r="M17" s="6"/>
      <c r="N17" s="6"/>
      <c r="O17" s="6"/>
      <c r="P17" s="8"/>
      <c r="Q17" s="6"/>
      <c r="R17" s="6"/>
      <c r="S17" s="6"/>
      <c r="T17" s="6"/>
      <c r="U17" s="6"/>
      <c r="V17" s="6"/>
      <c r="W17" s="6"/>
      <c r="X17" s="6"/>
      <c r="Y17" s="6"/>
      <c r="Z17" s="6"/>
    </row>
    <row r="18" spans="1:26" ht="12.75" customHeight="1">
      <c r="A18" s="15" t="s">
        <v>12</v>
      </c>
      <c r="B18" s="6"/>
      <c r="C18" s="6"/>
      <c r="D18" s="6"/>
      <c r="E18" s="6"/>
      <c r="F18" s="6"/>
      <c r="G18" s="6"/>
      <c r="H18" s="6"/>
      <c r="I18" s="6"/>
      <c r="J18" s="6"/>
      <c r="K18" s="6"/>
      <c r="L18" s="6"/>
      <c r="M18" s="6"/>
      <c r="N18" s="6"/>
      <c r="O18" s="6"/>
      <c r="P18" s="8"/>
      <c r="Q18" s="6"/>
      <c r="R18" s="6"/>
      <c r="S18" s="6"/>
      <c r="T18" s="6"/>
      <c r="U18" s="6"/>
      <c r="V18" s="6"/>
      <c r="W18" s="6"/>
      <c r="X18" s="6"/>
      <c r="Y18" s="6"/>
      <c r="Z18" s="6"/>
    </row>
    <row r="19" spans="1:26" ht="12.75" customHeight="1">
      <c r="A19" s="15"/>
      <c r="B19" s="6"/>
      <c r="C19" s="6"/>
      <c r="D19" s="6"/>
      <c r="E19" s="6"/>
      <c r="F19" s="6"/>
      <c r="G19" s="6"/>
      <c r="H19" s="6"/>
      <c r="I19" s="6"/>
      <c r="J19" s="6"/>
      <c r="K19" s="6"/>
      <c r="L19" s="6"/>
      <c r="M19" s="6"/>
      <c r="N19" s="6"/>
      <c r="O19" s="6"/>
      <c r="P19" s="8"/>
      <c r="Q19" s="6"/>
      <c r="R19" s="6"/>
      <c r="S19" s="6"/>
      <c r="T19" s="6"/>
      <c r="U19" s="6"/>
      <c r="V19" s="6"/>
      <c r="W19" s="6"/>
      <c r="X19" s="6"/>
      <c r="Y19" s="6"/>
      <c r="Z19" s="6"/>
    </row>
    <row r="20" spans="1:26" ht="12.75" customHeight="1">
      <c r="A20" s="7"/>
      <c r="B20" s="578" t="s">
        <v>13</v>
      </c>
      <c r="C20" s="579"/>
      <c r="D20" s="579"/>
      <c r="E20" s="579"/>
      <c r="F20" s="579"/>
      <c r="G20" s="579"/>
      <c r="H20" s="579"/>
      <c r="I20" s="580"/>
      <c r="J20" s="6"/>
      <c r="K20" s="6"/>
      <c r="L20" s="6"/>
      <c r="M20" s="6"/>
      <c r="N20" s="6"/>
      <c r="O20" s="6"/>
      <c r="P20" s="8"/>
      <c r="Q20" s="6"/>
      <c r="R20" s="6"/>
      <c r="S20" s="6"/>
      <c r="T20" s="6"/>
      <c r="U20" s="6"/>
      <c r="V20" s="6"/>
      <c r="W20" s="6"/>
      <c r="X20" s="6"/>
      <c r="Y20" s="6"/>
      <c r="Z20" s="6"/>
    </row>
    <row r="21" spans="1:26" ht="12.75" customHeight="1">
      <c r="A21" s="7"/>
      <c r="B21" s="6"/>
      <c r="C21" s="6"/>
      <c r="D21" s="6"/>
      <c r="E21" s="6"/>
      <c r="F21" s="6"/>
      <c r="G21" s="6"/>
      <c r="H21" s="6"/>
      <c r="I21" s="6"/>
      <c r="J21" s="6"/>
      <c r="K21" s="6"/>
      <c r="L21" s="6"/>
      <c r="M21" s="6"/>
      <c r="N21" s="6"/>
      <c r="O21" s="6"/>
      <c r="P21" s="8"/>
      <c r="Q21" s="6"/>
      <c r="R21" s="6"/>
      <c r="S21" s="6"/>
      <c r="T21" s="6"/>
      <c r="U21" s="6"/>
      <c r="V21" s="6"/>
      <c r="W21" s="6"/>
      <c r="X21" s="6"/>
      <c r="Y21" s="6"/>
      <c r="Z21" s="6"/>
    </row>
    <row r="22" spans="1:26" ht="12.75" customHeight="1">
      <c r="A22" s="15" t="s">
        <v>14</v>
      </c>
      <c r="B22" s="2"/>
      <c r="C22" s="2"/>
      <c r="D22" s="2"/>
      <c r="E22" s="2"/>
      <c r="F22" s="2"/>
      <c r="G22" s="2"/>
      <c r="H22" s="2"/>
      <c r="I22" s="2"/>
      <c r="J22" s="2"/>
      <c r="K22" s="2"/>
      <c r="L22" s="2"/>
      <c r="M22" s="2"/>
      <c r="N22" s="2"/>
      <c r="O22" s="2"/>
      <c r="P22" s="16"/>
      <c r="Q22" s="2"/>
      <c r="R22" s="2"/>
      <c r="S22" s="2"/>
      <c r="T22" s="2"/>
      <c r="U22" s="2"/>
      <c r="V22" s="2"/>
      <c r="W22" s="2"/>
      <c r="X22" s="2"/>
      <c r="Y22" s="2"/>
      <c r="Z22" s="2"/>
    </row>
    <row r="23" spans="1:26" ht="12.75" customHeight="1">
      <c r="A23" s="17" t="s">
        <v>15</v>
      </c>
      <c r="B23" s="6" t="s">
        <v>16</v>
      </c>
      <c r="C23" s="6"/>
      <c r="D23" s="6"/>
      <c r="E23" s="6"/>
      <c r="F23" s="6"/>
      <c r="G23" s="6"/>
      <c r="H23" s="6"/>
      <c r="I23" s="6"/>
      <c r="J23" s="6"/>
      <c r="K23" s="6"/>
      <c r="L23" s="6"/>
      <c r="M23" s="6"/>
      <c r="N23" s="6"/>
      <c r="O23" s="6"/>
      <c r="P23" s="8"/>
      <c r="Q23" s="6"/>
      <c r="R23" s="6"/>
      <c r="S23" s="6"/>
      <c r="T23" s="6"/>
      <c r="U23" s="6"/>
      <c r="V23" s="6"/>
      <c r="W23" s="6"/>
      <c r="X23" s="6"/>
      <c r="Y23" s="6"/>
      <c r="Z23" s="6"/>
    </row>
    <row r="24" spans="1:26" ht="12.75" customHeight="1">
      <c r="A24" s="17"/>
      <c r="B24" s="18" t="s">
        <v>17</v>
      </c>
      <c r="C24" s="6"/>
      <c r="D24" s="6"/>
      <c r="E24" s="6"/>
      <c r="F24" s="6"/>
      <c r="G24" s="6"/>
      <c r="H24" s="6"/>
      <c r="I24" s="6"/>
      <c r="J24" s="6"/>
      <c r="K24" s="6"/>
      <c r="L24" s="6"/>
      <c r="M24" s="6"/>
      <c r="N24" s="6"/>
      <c r="O24" s="6"/>
      <c r="P24" s="8"/>
      <c r="Q24" s="6"/>
      <c r="R24" s="6"/>
      <c r="S24" s="6"/>
      <c r="T24" s="6"/>
      <c r="U24" s="6"/>
      <c r="V24" s="6"/>
      <c r="W24" s="6"/>
      <c r="X24" s="6"/>
      <c r="Y24" s="6"/>
      <c r="Z24" s="6"/>
    </row>
    <row r="25" spans="1:26" ht="12.75" customHeight="1">
      <c r="A25" s="17"/>
      <c r="B25" s="18" t="s">
        <v>18</v>
      </c>
      <c r="C25" s="6"/>
      <c r="D25" s="6"/>
      <c r="E25" s="6"/>
      <c r="F25" s="6"/>
      <c r="G25" s="6"/>
      <c r="H25" s="6"/>
      <c r="I25" s="6"/>
      <c r="J25" s="6"/>
      <c r="K25" s="6"/>
      <c r="L25" s="6"/>
      <c r="M25" s="6"/>
      <c r="N25" s="6"/>
      <c r="O25" s="6"/>
      <c r="P25" s="8"/>
      <c r="Q25" s="6"/>
      <c r="R25" s="6"/>
      <c r="S25" s="6"/>
      <c r="T25" s="6"/>
      <c r="U25" s="6"/>
      <c r="V25" s="6"/>
      <c r="W25" s="6"/>
      <c r="X25" s="6"/>
      <c r="Y25" s="6"/>
      <c r="Z25" s="6"/>
    </row>
    <row r="26" spans="1:26" ht="12.75" customHeight="1">
      <c r="A26" s="17"/>
      <c r="B26" s="18" t="s">
        <v>19</v>
      </c>
      <c r="C26" s="6"/>
      <c r="D26" s="6"/>
      <c r="E26" s="6"/>
      <c r="F26" s="6"/>
      <c r="G26" s="6"/>
      <c r="H26" s="6"/>
      <c r="I26" s="6"/>
      <c r="J26" s="6"/>
      <c r="K26" s="6"/>
      <c r="L26" s="6"/>
      <c r="M26" s="6"/>
      <c r="N26" s="6"/>
      <c r="O26" s="6"/>
      <c r="P26" s="8"/>
      <c r="Q26" s="6"/>
      <c r="R26" s="6"/>
      <c r="S26" s="6"/>
      <c r="T26" s="6"/>
      <c r="U26" s="6"/>
      <c r="V26" s="6"/>
      <c r="W26" s="6"/>
      <c r="X26" s="6"/>
      <c r="Y26" s="6"/>
      <c r="Z26" s="6"/>
    </row>
    <row r="27" spans="1:26" ht="12.75" customHeight="1">
      <c r="A27" s="17"/>
      <c r="B27" s="18" t="s">
        <v>20</v>
      </c>
      <c r="C27" s="6"/>
      <c r="D27" s="6"/>
      <c r="E27" s="6"/>
      <c r="F27" s="6"/>
      <c r="G27" s="6"/>
      <c r="H27" s="6"/>
      <c r="I27" s="6"/>
      <c r="J27" s="6"/>
      <c r="K27" s="6"/>
      <c r="L27" s="6"/>
      <c r="M27" s="6"/>
      <c r="N27" s="6"/>
      <c r="O27" s="6"/>
      <c r="P27" s="8"/>
      <c r="Q27" s="6"/>
      <c r="R27" s="6"/>
      <c r="S27" s="6"/>
      <c r="T27" s="6"/>
      <c r="U27" s="6"/>
      <c r="V27" s="6"/>
      <c r="W27" s="6"/>
      <c r="X27" s="6"/>
      <c r="Y27" s="6"/>
      <c r="Z27" s="6"/>
    </row>
    <row r="28" spans="1:26" ht="12.75" customHeight="1">
      <c r="A28" s="17"/>
      <c r="B28" s="18" t="s">
        <v>21</v>
      </c>
      <c r="C28" s="6"/>
      <c r="D28" s="6"/>
      <c r="E28" s="6"/>
      <c r="F28" s="6"/>
      <c r="G28" s="6"/>
      <c r="H28" s="6"/>
      <c r="I28" s="6"/>
      <c r="J28" s="6"/>
      <c r="K28" s="6"/>
      <c r="L28" s="6"/>
      <c r="M28" s="6"/>
      <c r="N28" s="6"/>
      <c r="O28" s="6"/>
      <c r="P28" s="8"/>
      <c r="Q28" s="6"/>
      <c r="R28" s="6"/>
      <c r="S28" s="6"/>
      <c r="T28" s="6"/>
      <c r="U28" s="6"/>
      <c r="V28" s="6"/>
      <c r="W28" s="6"/>
      <c r="X28" s="6"/>
      <c r="Y28" s="6"/>
      <c r="Z28" s="6"/>
    </row>
    <row r="29" spans="1:26" ht="12.75" customHeight="1">
      <c r="A29" s="17"/>
      <c r="B29" s="18" t="s">
        <v>22</v>
      </c>
      <c r="C29" s="6"/>
      <c r="D29" s="6"/>
      <c r="E29" s="6"/>
      <c r="F29" s="6"/>
      <c r="G29" s="6"/>
      <c r="H29" s="6"/>
      <c r="I29" s="6"/>
      <c r="J29" s="6"/>
      <c r="K29" s="6"/>
      <c r="L29" s="6"/>
      <c r="M29" s="6"/>
      <c r="N29" s="6"/>
      <c r="O29" s="6"/>
      <c r="P29" s="8"/>
      <c r="Q29" s="6"/>
      <c r="R29" s="6"/>
      <c r="S29" s="6"/>
      <c r="T29" s="6"/>
      <c r="U29" s="6"/>
      <c r="V29" s="6"/>
      <c r="W29" s="6"/>
      <c r="X29" s="6"/>
      <c r="Y29" s="6"/>
      <c r="Z29" s="6"/>
    </row>
    <row r="30" spans="1:26" ht="12.75" customHeight="1">
      <c r="A30" s="17"/>
      <c r="B30" s="18" t="s">
        <v>23</v>
      </c>
      <c r="C30" s="6"/>
      <c r="D30" s="6"/>
      <c r="E30" s="6"/>
      <c r="F30" s="6"/>
      <c r="G30" s="6"/>
      <c r="H30" s="6"/>
      <c r="I30" s="6"/>
      <c r="J30" s="6"/>
      <c r="K30" s="6"/>
      <c r="L30" s="6"/>
      <c r="M30" s="6"/>
      <c r="N30" s="6"/>
      <c r="O30" s="6"/>
      <c r="P30" s="8"/>
      <c r="Q30" s="6"/>
      <c r="R30" s="6"/>
      <c r="S30" s="6"/>
      <c r="T30" s="6"/>
      <c r="U30" s="6"/>
      <c r="V30" s="6"/>
      <c r="W30" s="6"/>
      <c r="X30" s="6"/>
      <c r="Y30" s="6"/>
      <c r="Z30" s="6"/>
    </row>
    <row r="31" spans="1:26" ht="12.75" customHeight="1">
      <c r="A31" s="17"/>
      <c r="B31" s="18" t="s">
        <v>24</v>
      </c>
      <c r="C31" s="6"/>
      <c r="D31" s="6"/>
      <c r="E31" s="6"/>
      <c r="F31" s="6"/>
      <c r="G31" s="6"/>
      <c r="H31" s="6"/>
      <c r="I31" s="6"/>
      <c r="J31" s="6"/>
      <c r="K31" s="6"/>
      <c r="L31" s="6"/>
      <c r="M31" s="6"/>
      <c r="N31" s="6"/>
      <c r="O31" s="6"/>
      <c r="P31" s="8"/>
      <c r="Q31" s="6"/>
      <c r="R31" s="6"/>
      <c r="S31" s="6"/>
      <c r="T31" s="6"/>
      <c r="U31" s="6"/>
      <c r="V31" s="6"/>
      <c r="W31" s="6"/>
      <c r="X31" s="6"/>
      <c r="Y31" s="6"/>
      <c r="Z31" s="6"/>
    </row>
    <row r="32" spans="1:26" ht="12.75" customHeight="1">
      <c r="A32" s="7"/>
      <c r="B32" s="19" t="s">
        <v>25</v>
      </c>
      <c r="C32" s="6"/>
      <c r="D32" s="6"/>
      <c r="E32" s="6"/>
      <c r="F32" s="6"/>
      <c r="G32" s="6"/>
      <c r="H32" s="6"/>
      <c r="I32" s="6"/>
      <c r="J32" s="6"/>
      <c r="K32" s="6"/>
      <c r="L32" s="6"/>
      <c r="M32" s="6"/>
      <c r="N32" s="6"/>
      <c r="O32" s="6"/>
      <c r="P32" s="8"/>
      <c r="Q32" s="6"/>
      <c r="R32" s="6"/>
      <c r="S32" s="6"/>
      <c r="T32" s="6"/>
      <c r="U32" s="6"/>
      <c r="V32" s="6"/>
      <c r="W32" s="6"/>
      <c r="X32" s="6"/>
      <c r="Y32" s="6"/>
      <c r="Z32" s="6"/>
    </row>
    <row r="33" spans="1:26" ht="12.75" customHeight="1">
      <c r="A33" s="7"/>
      <c r="B33" s="18" t="s">
        <v>26</v>
      </c>
      <c r="C33" s="6"/>
      <c r="D33" s="6"/>
      <c r="E33" s="6"/>
      <c r="F33" s="6"/>
      <c r="G33" s="6"/>
      <c r="H33" s="6"/>
      <c r="I33" s="6"/>
      <c r="J33" s="6"/>
      <c r="K33" s="6"/>
      <c r="L33" s="6"/>
      <c r="M33" s="6"/>
      <c r="N33" s="6"/>
      <c r="O33" s="6"/>
      <c r="P33" s="8"/>
      <c r="Q33" s="6"/>
      <c r="R33" s="6"/>
      <c r="S33" s="6"/>
      <c r="T33" s="6"/>
      <c r="U33" s="6"/>
      <c r="V33" s="6"/>
      <c r="W33" s="6"/>
      <c r="X33" s="6"/>
      <c r="Y33" s="6"/>
      <c r="Z33" s="6"/>
    </row>
    <row r="34" spans="1:26" ht="12.75" customHeight="1">
      <c r="A34" s="7"/>
      <c r="B34" s="18" t="s">
        <v>27</v>
      </c>
      <c r="C34" s="6"/>
      <c r="D34" s="6"/>
      <c r="E34" s="6"/>
      <c r="F34" s="6"/>
      <c r="G34" s="6"/>
      <c r="H34" s="6"/>
      <c r="I34" s="6"/>
      <c r="J34" s="6"/>
      <c r="K34" s="6"/>
      <c r="L34" s="6"/>
      <c r="M34" s="6"/>
      <c r="N34" s="6"/>
      <c r="O34" s="6"/>
      <c r="P34" s="8"/>
      <c r="Q34" s="6"/>
      <c r="R34" s="6"/>
      <c r="S34" s="6"/>
      <c r="T34" s="6"/>
      <c r="U34" s="6"/>
      <c r="V34" s="6"/>
      <c r="W34" s="6"/>
      <c r="X34" s="6"/>
      <c r="Y34" s="6"/>
      <c r="Z34" s="6"/>
    </row>
    <row r="35" spans="1:26" ht="12.75" customHeight="1">
      <c r="A35" s="7"/>
      <c r="B35" s="18" t="s">
        <v>28</v>
      </c>
      <c r="C35" s="6"/>
      <c r="D35" s="6"/>
      <c r="E35" s="6"/>
      <c r="F35" s="6"/>
      <c r="G35" s="6"/>
      <c r="H35" s="6"/>
      <c r="I35" s="6"/>
      <c r="J35" s="6"/>
      <c r="K35" s="6"/>
      <c r="L35" s="6"/>
      <c r="M35" s="6"/>
      <c r="N35" s="6"/>
      <c r="O35" s="6"/>
      <c r="P35" s="8"/>
      <c r="Q35" s="6"/>
      <c r="R35" s="6"/>
      <c r="S35" s="6"/>
      <c r="T35" s="6"/>
      <c r="U35" s="6"/>
      <c r="V35" s="6"/>
      <c r="W35" s="6"/>
      <c r="X35" s="6"/>
      <c r="Y35" s="6"/>
      <c r="Z35" s="6"/>
    </row>
    <row r="36" spans="1:26" ht="12.75" customHeight="1">
      <c r="A36" s="17"/>
      <c r="B36" s="18" t="s">
        <v>29</v>
      </c>
      <c r="C36" s="6"/>
      <c r="D36" s="6"/>
      <c r="E36" s="6"/>
      <c r="F36" s="6"/>
      <c r="G36" s="6"/>
      <c r="H36" s="6"/>
      <c r="I36" s="6"/>
      <c r="J36" s="6"/>
      <c r="K36" s="6"/>
      <c r="L36" s="6"/>
      <c r="M36" s="6"/>
      <c r="N36" s="6"/>
      <c r="O36" s="6"/>
      <c r="P36" s="8"/>
      <c r="Q36" s="6"/>
      <c r="R36" s="6"/>
      <c r="S36" s="6"/>
      <c r="T36" s="6"/>
      <c r="U36" s="6"/>
      <c r="V36" s="6"/>
      <c r="W36" s="6"/>
      <c r="X36" s="6"/>
      <c r="Y36" s="6"/>
      <c r="Z36" s="6"/>
    </row>
    <row r="37" spans="1:26" ht="12.75" customHeight="1">
      <c r="A37" s="7"/>
      <c r="B37" s="18" t="s">
        <v>30</v>
      </c>
      <c r="C37" s="6"/>
      <c r="D37" s="6"/>
      <c r="E37" s="6"/>
      <c r="F37" s="6"/>
      <c r="G37" s="6"/>
      <c r="H37" s="6"/>
      <c r="I37" s="6"/>
      <c r="J37" s="6"/>
      <c r="K37" s="6"/>
      <c r="L37" s="6"/>
      <c r="M37" s="6"/>
      <c r="N37" s="6"/>
      <c r="O37" s="6"/>
      <c r="P37" s="8"/>
      <c r="Q37" s="6"/>
      <c r="R37" s="6"/>
      <c r="S37" s="6"/>
      <c r="T37" s="6"/>
      <c r="U37" s="6"/>
      <c r="V37" s="6"/>
      <c r="W37" s="6"/>
      <c r="X37" s="6"/>
      <c r="Y37" s="6"/>
      <c r="Z37" s="6"/>
    </row>
    <row r="38" spans="1:26" ht="12.75" customHeight="1">
      <c r="A38" s="17" t="s">
        <v>0</v>
      </c>
      <c r="B38" s="18" t="s">
        <v>31</v>
      </c>
      <c r="C38" s="6"/>
      <c r="D38" s="6"/>
      <c r="E38" s="6"/>
      <c r="F38" s="6"/>
      <c r="G38" s="6"/>
      <c r="H38" s="6"/>
      <c r="I38" s="6"/>
      <c r="J38" s="6"/>
      <c r="K38" s="6"/>
      <c r="L38" s="6"/>
      <c r="M38" s="6"/>
      <c r="N38" s="6"/>
      <c r="O38" s="6"/>
      <c r="P38" s="8"/>
      <c r="Q38" s="6"/>
      <c r="R38" s="6"/>
      <c r="S38" s="6"/>
      <c r="T38" s="6"/>
      <c r="U38" s="6"/>
      <c r="V38" s="6"/>
      <c r="W38" s="6"/>
      <c r="X38" s="6"/>
      <c r="Y38" s="6"/>
      <c r="Z38" s="6"/>
    </row>
    <row r="39" spans="1:26" ht="12.75" customHeight="1">
      <c r="A39" s="17"/>
      <c r="B39" s="18" t="s">
        <v>32</v>
      </c>
      <c r="C39" s="6"/>
      <c r="D39" s="6"/>
      <c r="E39" s="6"/>
      <c r="F39" s="6"/>
      <c r="G39" s="6"/>
      <c r="H39" s="6"/>
      <c r="I39" s="6"/>
      <c r="J39" s="6"/>
      <c r="K39" s="6"/>
      <c r="L39" s="6"/>
      <c r="M39" s="6"/>
      <c r="N39" s="6"/>
      <c r="O39" s="6"/>
      <c r="P39" s="8"/>
      <c r="Q39" s="6"/>
      <c r="R39" s="6"/>
      <c r="S39" s="6"/>
      <c r="T39" s="6"/>
      <c r="U39" s="6"/>
      <c r="V39" s="6"/>
      <c r="W39" s="6"/>
      <c r="X39" s="6"/>
      <c r="Y39" s="6"/>
      <c r="Z39" s="6"/>
    </row>
    <row r="40" spans="1:26" ht="12.75" customHeight="1">
      <c r="A40" s="7"/>
      <c r="B40" s="18" t="s">
        <v>33</v>
      </c>
      <c r="C40" s="6"/>
      <c r="D40" s="6"/>
      <c r="E40" s="6"/>
      <c r="F40" s="6"/>
      <c r="G40" s="6"/>
      <c r="H40" s="6"/>
      <c r="I40" s="6"/>
      <c r="J40" s="6"/>
      <c r="K40" s="6"/>
      <c r="L40" s="6"/>
      <c r="M40" s="6"/>
      <c r="N40" s="6"/>
      <c r="O40" s="6"/>
      <c r="P40" s="8"/>
      <c r="Q40" s="6"/>
      <c r="R40" s="6"/>
      <c r="S40" s="6"/>
      <c r="T40" s="6"/>
      <c r="U40" s="6"/>
      <c r="V40" s="6"/>
      <c r="W40" s="6"/>
      <c r="X40" s="6"/>
      <c r="Y40" s="6"/>
      <c r="Z40" s="6"/>
    </row>
    <row r="41" spans="1:26" ht="12.75" customHeight="1">
      <c r="A41" s="7"/>
      <c r="B41" s="18" t="s">
        <v>34</v>
      </c>
      <c r="C41" s="6"/>
      <c r="D41" s="6"/>
      <c r="E41" s="6"/>
      <c r="F41" s="6"/>
      <c r="G41" s="6"/>
      <c r="H41" s="6"/>
      <c r="I41" s="6"/>
      <c r="J41" s="6"/>
      <c r="K41" s="6"/>
      <c r="L41" s="6"/>
      <c r="M41" s="6"/>
      <c r="N41" s="6"/>
      <c r="O41" s="6"/>
      <c r="P41" s="8"/>
      <c r="Q41" s="6"/>
      <c r="R41" s="6"/>
      <c r="S41" s="6"/>
      <c r="T41" s="6"/>
      <c r="U41" s="6"/>
      <c r="V41" s="6"/>
      <c r="W41" s="6"/>
      <c r="X41" s="6"/>
      <c r="Y41" s="6"/>
      <c r="Z41" s="6"/>
    </row>
    <row r="42" spans="1:26" ht="12.75" customHeight="1">
      <c r="A42" s="7"/>
      <c r="B42" s="18" t="s">
        <v>35</v>
      </c>
      <c r="C42" s="6"/>
      <c r="D42" s="6"/>
      <c r="E42" s="6"/>
      <c r="F42" s="6"/>
      <c r="G42" s="6"/>
      <c r="H42" s="6"/>
      <c r="I42" s="6"/>
      <c r="J42" s="6"/>
      <c r="K42" s="6"/>
      <c r="L42" s="6"/>
      <c r="M42" s="6"/>
      <c r="N42" s="6"/>
      <c r="O42" s="6"/>
      <c r="P42" s="8"/>
      <c r="Q42" s="6"/>
      <c r="R42" s="6"/>
      <c r="S42" s="6"/>
      <c r="T42" s="6"/>
      <c r="U42" s="6"/>
      <c r="V42" s="6"/>
      <c r="W42" s="6"/>
      <c r="X42" s="6"/>
      <c r="Y42" s="6"/>
      <c r="Z42" s="6"/>
    </row>
    <row r="43" spans="1:26" ht="12.75" customHeight="1">
      <c r="A43" s="7"/>
      <c r="B43" s="6"/>
      <c r="C43" s="6"/>
      <c r="D43" s="6"/>
      <c r="E43" s="6"/>
      <c r="F43" s="6"/>
      <c r="G43" s="6"/>
      <c r="H43" s="6"/>
      <c r="I43" s="6"/>
      <c r="J43" s="6"/>
      <c r="K43" s="6"/>
      <c r="L43" s="6"/>
      <c r="M43" s="6"/>
      <c r="N43" s="6"/>
      <c r="O43" s="6"/>
      <c r="P43" s="8"/>
      <c r="Q43" s="6"/>
      <c r="R43" s="6"/>
      <c r="S43" s="6"/>
      <c r="T43" s="6"/>
      <c r="U43" s="6"/>
      <c r="V43" s="6"/>
      <c r="W43" s="6"/>
      <c r="X43" s="6"/>
      <c r="Y43" s="6"/>
      <c r="Z43" s="6"/>
    </row>
    <row r="44" spans="1:26" ht="12.75" customHeight="1">
      <c r="A44" s="7"/>
      <c r="B44" s="18" t="s">
        <v>36</v>
      </c>
      <c r="C44" s="6"/>
      <c r="D44" s="6"/>
      <c r="E44" s="6"/>
      <c r="F44" s="6"/>
      <c r="G44" s="6"/>
      <c r="H44" s="6"/>
      <c r="I44" s="6"/>
      <c r="J44" s="6"/>
      <c r="K44" s="6"/>
      <c r="L44" s="6"/>
      <c r="M44" s="6"/>
      <c r="N44" s="6"/>
      <c r="O44" s="6"/>
      <c r="P44" s="8"/>
      <c r="Q44" s="6"/>
      <c r="R44" s="6"/>
      <c r="S44" s="6"/>
      <c r="T44" s="6"/>
      <c r="U44" s="6"/>
      <c r="V44" s="6"/>
      <c r="W44" s="6"/>
      <c r="X44" s="6"/>
      <c r="Y44" s="6"/>
      <c r="Z44" s="6"/>
    </row>
    <row r="45" spans="1:26" ht="12.75" customHeight="1">
      <c r="A45" s="7"/>
      <c r="B45" s="6"/>
      <c r="C45" s="6"/>
      <c r="D45" s="6"/>
      <c r="E45" s="6"/>
      <c r="F45" s="6"/>
      <c r="G45" s="6"/>
      <c r="H45" s="6"/>
      <c r="I45" s="6"/>
      <c r="J45" s="6"/>
      <c r="K45" s="6"/>
      <c r="L45" s="6"/>
      <c r="M45" s="6"/>
      <c r="N45" s="6"/>
      <c r="O45" s="6"/>
      <c r="P45" s="8"/>
      <c r="Q45" s="6"/>
      <c r="R45" s="6"/>
      <c r="S45" s="6"/>
      <c r="T45" s="6"/>
      <c r="U45" s="6"/>
      <c r="V45" s="6"/>
      <c r="W45" s="6"/>
      <c r="X45" s="6"/>
      <c r="Y45" s="6"/>
      <c r="Z45" s="6"/>
    </row>
    <row r="46" spans="1:26" ht="12.75" customHeight="1">
      <c r="A46" s="7"/>
      <c r="B46" s="6"/>
      <c r="C46" s="6"/>
      <c r="D46" s="6"/>
      <c r="E46" s="6"/>
      <c r="F46" s="6"/>
      <c r="G46" s="6"/>
      <c r="H46" s="6"/>
      <c r="I46" s="6"/>
      <c r="J46" s="6"/>
      <c r="K46" s="6"/>
      <c r="L46" s="6"/>
      <c r="M46" s="6"/>
      <c r="N46" s="6"/>
      <c r="O46" s="6"/>
      <c r="P46" s="8"/>
      <c r="Q46" s="6"/>
      <c r="R46" s="6"/>
      <c r="S46" s="6"/>
      <c r="T46" s="6"/>
      <c r="U46" s="6"/>
      <c r="V46" s="6"/>
      <c r="W46" s="6"/>
      <c r="X46" s="6"/>
      <c r="Y46" s="6"/>
      <c r="Z46" s="6"/>
    </row>
    <row r="47" spans="1:26" ht="12.75" customHeight="1">
      <c r="A47" s="7"/>
      <c r="B47" s="6"/>
      <c r="C47" s="6"/>
      <c r="D47" s="6"/>
      <c r="E47" s="6"/>
      <c r="F47" s="6"/>
      <c r="G47" s="6"/>
      <c r="H47" s="6"/>
      <c r="I47" s="6"/>
      <c r="J47" s="6"/>
      <c r="K47" s="6"/>
      <c r="L47" s="6"/>
      <c r="M47" s="6"/>
      <c r="N47" s="6"/>
      <c r="O47" s="6"/>
      <c r="P47" s="8"/>
      <c r="Q47" s="6"/>
      <c r="R47" s="6"/>
      <c r="S47" s="6"/>
      <c r="T47" s="6"/>
      <c r="U47" s="6"/>
      <c r="V47" s="6"/>
      <c r="W47" s="6"/>
      <c r="X47" s="6"/>
      <c r="Y47" s="6"/>
      <c r="Z47" s="6"/>
    </row>
    <row r="48" spans="1:26" ht="12.75" customHeight="1">
      <c r="A48" s="20"/>
      <c r="B48" s="21"/>
      <c r="C48" s="21"/>
      <c r="D48" s="21"/>
      <c r="E48" s="21"/>
      <c r="F48" s="21"/>
      <c r="G48" s="21"/>
      <c r="H48" s="21"/>
      <c r="I48" s="21"/>
      <c r="J48" s="21"/>
      <c r="K48" s="21"/>
      <c r="L48" s="21"/>
      <c r="M48" s="21"/>
      <c r="N48" s="21"/>
      <c r="O48" s="21"/>
      <c r="P48" s="22"/>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6">
    <mergeCell ref="B20:I20"/>
    <mergeCell ref="A3:O3"/>
    <mergeCell ref="A11:P11"/>
    <mergeCell ref="A12:P12"/>
    <mergeCell ref="A13:P13"/>
    <mergeCell ref="A14:P14"/>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baseColWidth="10" defaultColWidth="12.5703125" defaultRowHeight="15" customHeight="1"/>
  <cols>
    <col min="1" max="1" width="19.42578125" customWidth="1"/>
    <col min="2" max="2" width="109.42578125" customWidth="1"/>
    <col min="3" max="26" width="11.42578125" customWidth="1"/>
  </cols>
  <sheetData>
    <row r="1" spans="1:2" ht="12.75" customHeight="1">
      <c r="A1" s="23" t="s">
        <v>37</v>
      </c>
      <c r="B1" s="24"/>
    </row>
    <row r="2" spans="1:2" ht="12.75" customHeight="1">
      <c r="A2" s="25"/>
      <c r="B2" s="25"/>
    </row>
    <row r="3" spans="1:2" ht="12.75" customHeight="1">
      <c r="A3" s="26" t="s">
        <v>38</v>
      </c>
      <c r="B3" s="27" t="s">
        <v>39</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30"/>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30"/>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C0D9"/>
  </sheetPr>
  <dimension ref="A1:B1000"/>
  <sheetViews>
    <sheetView workbookViewId="0"/>
  </sheetViews>
  <sheetFormatPr baseColWidth="10" defaultColWidth="12.5703125" defaultRowHeight="15" customHeight="1"/>
  <cols>
    <col min="1" max="1" width="19.42578125" customWidth="1"/>
    <col min="2" max="2" width="109.42578125" customWidth="1"/>
    <col min="3" max="26" width="11.42578125" customWidth="1"/>
  </cols>
  <sheetData>
    <row r="1" spans="1:2" ht="12.75" customHeight="1">
      <c r="A1" s="31" t="s">
        <v>40</v>
      </c>
    </row>
    <row r="2" spans="1:2" ht="12.75" customHeight="1">
      <c r="A2" s="25"/>
      <c r="B2" s="25"/>
    </row>
    <row r="3" spans="1:2" ht="12.75" customHeight="1">
      <c r="A3" s="26" t="s">
        <v>41</v>
      </c>
      <c r="B3" s="27" t="s">
        <v>42</v>
      </c>
    </row>
    <row r="4" spans="1:2" ht="12.75" customHeight="1">
      <c r="A4" s="28"/>
      <c r="B4" s="29"/>
    </row>
    <row r="5" spans="1:2" ht="12.75" customHeight="1">
      <c r="A5" s="29"/>
      <c r="B5" s="29"/>
    </row>
    <row r="6" spans="1:2" ht="12.75" customHeight="1">
      <c r="A6" s="29"/>
      <c r="B6" s="29"/>
    </row>
    <row r="7" spans="1:2" ht="12.75" customHeight="1">
      <c r="A7" s="29"/>
      <c r="B7" s="29"/>
    </row>
    <row r="8" spans="1:2" ht="12.75" customHeight="1">
      <c r="A8" s="29"/>
      <c r="B8" s="29"/>
    </row>
    <row r="9" spans="1:2" ht="12.75" customHeight="1">
      <c r="A9" s="29"/>
      <c r="B9" s="29"/>
    </row>
    <row r="10" spans="1:2" ht="12.75" customHeight="1">
      <c r="A10" s="29"/>
      <c r="B10" s="29"/>
    </row>
    <row r="11" spans="1:2" ht="12.75" customHeight="1">
      <c r="A11" s="29"/>
      <c r="B11" s="29"/>
    </row>
    <row r="12" spans="1:2" ht="12.75" customHeight="1">
      <c r="A12" s="29"/>
      <c r="B12" s="29"/>
    </row>
    <row r="13" spans="1:2" ht="12.75" customHeight="1">
      <c r="A13" s="29"/>
      <c r="B13" s="29"/>
    </row>
    <row r="14" spans="1:2" ht="12.75" customHeight="1">
      <c r="A14" s="29"/>
      <c r="B14" s="29"/>
    </row>
    <row r="15" spans="1:2" ht="12.75" customHeight="1">
      <c r="A15" s="29"/>
      <c r="B15" s="29"/>
    </row>
    <row r="16" spans="1:2" ht="12.75" customHeight="1">
      <c r="A16" s="29"/>
      <c r="B16" s="29"/>
    </row>
    <row r="17" spans="1:2" ht="12.75" customHeight="1">
      <c r="A17" s="29"/>
      <c r="B17" s="29"/>
    </row>
    <row r="18" spans="1:2" ht="12.75" customHeight="1">
      <c r="A18" s="29"/>
      <c r="B18" s="29"/>
    </row>
    <row r="19" spans="1:2" ht="12.75" customHeight="1">
      <c r="A19" s="29"/>
      <c r="B19" s="29"/>
    </row>
    <row r="20" spans="1:2" ht="12.75" customHeight="1">
      <c r="A20" s="29"/>
      <c r="B20" s="29"/>
    </row>
    <row r="21" spans="1:2" ht="12.75" customHeight="1">
      <c r="A21" s="29"/>
      <c r="B21" s="29"/>
    </row>
    <row r="22" spans="1:2" ht="12.75" customHeight="1">
      <c r="A22" s="29"/>
      <c r="B22" s="29"/>
    </row>
    <row r="23" spans="1:2" ht="12.75" customHeight="1">
      <c r="A23" s="29"/>
      <c r="B23" s="29"/>
    </row>
    <row r="24" spans="1:2" ht="12.75" customHeight="1">
      <c r="A24" s="29"/>
      <c r="B24" s="29"/>
    </row>
    <row r="25" spans="1:2" ht="12.75" customHeight="1">
      <c r="A25" s="29"/>
      <c r="B25" s="29"/>
    </row>
    <row r="26" spans="1:2" ht="12.75" customHeight="1">
      <c r="A26" s="29"/>
      <c r="B26" s="29"/>
    </row>
    <row r="27" spans="1:2" ht="12.75" customHeight="1">
      <c r="A27" s="29"/>
      <c r="B27" s="29"/>
    </row>
    <row r="28" spans="1:2" ht="12.75" customHeight="1">
      <c r="A28" s="29"/>
      <c r="B28" s="29"/>
    </row>
    <row r="29" spans="1:2" ht="12.75" customHeight="1">
      <c r="A29" s="29"/>
      <c r="B29" s="29"/>
    </row>
    <row r="30" spans="1:2" ht="12.75" customHeight="1">
      <c r="A30" s="29"/>
      <c r="B30" s="29"/>
    </row>
    <row r="31" spans="1:2" ht="12.75" customHeight="1">
      <c r="A31" s="29"/>
      <c r="B31" s="29"/>
    </row>
    <row r="32" spans="1:2" ht="12.75" customHeight="1">
      <c r="A32" s="29"/>
      <c r="B32" s="29"/>
    </row>
    <row r="33" spans="1:2" ht="12.75" customHeight="1">
      <c r="A33" s="29"/>
      <c r="B33" s="29"/>
    </row>
    <row r="34" spans="1:2" ht="12.75" customHeight="1">
      <c r="A34" s="29"/>
      <c r="B34" s="29"/>
    </row>
    <row r="35" spans="1:2" ht="12.75" customHeight="1">
      <c r="A35" s="29"/>
      <c r="B35" s="29"/>
    </row>
    <row r="36" spans="1:2" ht="12.75" customHeight="1">
      <c r="A36" s="29"/>
      <c r="B36" s="29"/>
    </row>
    <row r="37" spans="1:2" ht="12.75" customHeight="1">
      <c r="A37" s="29"/>
      <c r="B37" s="29"/>
    </row>
    <row r="38" spans="1:2" ht="12.75" customHeight="1">
      <c r="A38" s="29"/>
      <c r="B38" s="29"/>
    </row>
    <row r="39" spans="1:2" ht="12.75" customHeight="1">
      <c r="A39" s="29"/>
      <c r="B39" s="29"/>
    </row>
    <row r="40" spans="1:2" ht="12.75" customHeight="1">
      <c r="A40" s="29"/>
      <c r="B40" s="29"/>
    </row>
    <row r="41" spans="1:2" ht="12.75" customHeight="1">
      <c r="A41" s="29"/>
      <c r="B41" s="29"/>
    </row>
    <row r="42" spans="1:2" ht="12.75" customHeight="1">
      <c r="A42" s="29"/>
      <c r="B42" s="29"/>
    </row>
    <row r="43" spans="1:2" ht="12.75" customHeight="1">
      <c r="A43" s="29"/>
      <c r="B43" s="29"/>
    </row>
    <row r="44" spans="1:2" ht="12.75" customHeight="1">
      <c r="A44" s="29"/>
      <c r="B44" s="29"/>
    </row>
    <row r="45" spans="1:2" ht="12.75" customHeight="1">
      <c r="A45" s="29"/>
      <c r="B45" s="29"/>
    </row>
    <row r="46" spans="1:2" ht="12.75" customHeight="1">
      <c r="A46" s="29"/>
      <c r="B46" s="29"/>
    </row>
    <row r="47" spans="1:2" ht="12.75" customHeight="1">
      <c r="A47" s="29"/>
      <c r="B47" s="29"/>
    </row>
    <row r="48" spans="1:2" ht="12.75" customHeight="1">
      <c r="A48" s="29"/>
      <c r="B48" s="29"/>
    </row>
    <row r="49" spans="1:2" ht="12.75" customHeight="1">
      <c r="A49" s="29"/>
      <c r="B49" s="29"/>
    </row>
    <row r="50" spans="1:2" ht="12.75" customHeight="1">
      <c r="A50" s="29"/>
      <c r="B50" s="29"/>
    </row>
    <row r="51" spans="1:2" ht="12.75" customHeight="1">
      <c r="A51" s="29"/>
      <c r="B51" s="29"/>
    </row>
    <row r="52" spans="1:2" ht="12.75" customHeight="1">
      <c r="A52" s="29"/>
      <c r="B52" s="29"/>
    </row>
    <row r="53" spans="1:2" ht="12.75" customHeight="1">
      <c r="A53" s="29"/>
      <c r="B53" s="29"/>
    </row>
    <row r="54" spans="1:2" ht="12.75" customHeight="1">
      <c r="A54" s="29"/>
      <c r="B54" s="29"/>
    </row>
    <row r="55" spans="1:2" ht="12.75" customHeight="1">
      <c r="A55" s="29"/>
      <c r="B55" s="29"/>
    </row>
    <row r="56" spans="1:2" ht="12.75" customHeight="1">
      <c r="A56" s="29"/>
      <c r="B56" s="29"/>
    </row>
    <row r="57" spans="1:2" ht="12.75" customHeight="1">
      <c r="A57" s="29"/>
      <c r="B57" s="29"/>
    </row>
    <row r="58" spans="1:2" ht="12.75" customHeight="1">
      <c r="A58" s="29"/>
      <c r="B58" s="29"/>
    </row>
    <row r="59" spans="1:2" ht="12.75" customHeight="1">
      <c r="A59" s="29"/>
      <c r="B59" s="29"/>
    </row>
    <row r="60" spans="1:2" ht="12.75" customHeight="1">
      <c r="A60" s="29"/>
      <c r="B60" s="29"/>
    </row>
    <row r="61" spans="1:2" ht="12.75" customHeight="1">
      <c r="A61" s="29"/>
      <c r="B61" s="29"/>
    </row>
    <row r="62" spans="1:2" ht="12.75" customHeight="1">
      <c r="A62" s="29"/>
      <c r="B62" s="29"/>
    </row>
    <row r="63" spans="1:2" ht="12.75" customHeight="1">
      <c r="A63" s="29"/>
      <c r="B63" s="29"/>
    </row>
    <row r="64" spans="1:2" ht="12.75" customHeight="1">
      <c r="A64" s="29"/>
      <c r="B64" s="29"/>
    </row>
    <row r="65" spans="1:2" ht="12.75" customHeight="1">
      <c r="A65" s="29"/>
      <c r="B65" s="29"/>
    </row>
    <row r="66" spans="1:2" ht="12.75" customHeight="1">
      <c r="A66" s="29"/>
      <c r="B66" s="29"/>
    </row>
    <row r="67" spans="1:2" ht="12.75" customHeight="1">
      <c r="A67" s="29"/>
      <c r="B67" s="29"/>
    </row>
    <row r="68" spans="1:2" ht="12.75" customHeight="1">
      <c r="A68" s="29"/>
      <c r="B68" s="29"/>
    </row>
    <row r="69" spans="1:2" ht="12.75" customHeight="1">
      <c r="A69" s="29"/>
      <c r="B69" s="29"/>
    </row>
    <row r="70" spans="1:2" ht="12.75" customHeight="1">
      <c r="A70" s="29"/>
      <c r="B70" s="29"/>
    </row>
    <row r="71" spans="1:2" ht="12.75" customHeight="1">
      <c r="A71" s="29"/>
      <c r="B71" s="29"/>
    </row>
    <row r="72" spans="1:2" ht="12.75" customHeight="1">
      <c r="A72" s="29"/>
      <c r="B72" s="29"/>
    </row>
    <row r="73" spans="1:2" ht="12.75" customHeight="1">
      <c r="A73" s="29"/>
      <c r="B73" s="29"/>
    </row>
    <row r="74" spans="1:2" ht="12.75" customHeight="1">
      <c r="A74" s="29"/>
      <c r="B74" s="29"/>
    </row>
    <row r="75" spans="1:2" ht="12.75" customHeight="1">
      <c r="A75" s="29"/>
      <c r="B75" s="29"/>
    </row>
    <row r="76" spans="1:2" ht="12.75" customHeight="1">
      <c r="A76" s="29"/>
      <c r="B76" s="29"/>
    </row>
    <row r="77" spans="1:2" ht="12.75" customHeight="1">
      <c r="A77" s="29"/>
      <c r="B77" s="29"/>
    </row>
    <row r="78" spans="1:2" ht="12.75" customHeight="1">
      <c r="A78" s="29"/>
      <c r="B78" s="29"/>
    </row>
    <row r="79" spans="1:2" ht="12.75" customHeight="1">
      <c r="A79" s="29"/>
      <c r="B79" s="29"/>
    </row>
    <row r="80" spans="1:2" ht="12.75" customHeight="1">
      <c r="A80" s="29"/>
      <c r="B80" s="29"/>
    </row>
    <row r="81" spans="1:2" ht="12.75" customHeight="1">
      <c r="A81" s="29"/>
      <c r="B81" s="29"/>
    </row>
    <row r="82" spans="1:2" ht="12.75" customHeight="1">
      <c r="A82" s="29"/>
      <c r="B82" s="29"/>
    </row>
    <row r="83" spans="1:2" ht="12.75" customHeight="1">
      <c r="A83" s="29"/>
      <c r="B83" s="29"/>
    </row>
    <row r="84" spans="1:2" ht="12.75" customHeight="1">
      <c r="A84" s="29"/>
      <c r="B84" s="29"/>
    </row>
    <row r="85" spans="1:2" ht="12.75" customHeight="1">
      <c r="A85" s="29"/>
      <c r="B85" s="29"/>
    </row>
    <row r="86" spans="1:2" ht="12.75" customHeight="1">
      <c r="A86" s="29"/>
      <c r="B86" s="29"/>
    </row>
    <row r="87" spans="1:2" ht="12.75" customHeight="1">
      <c r="A87" s="29"/>
      <c r="B87" s="29"/>
    </row>
    <row r="88" spans="1:2" ht="12.75" customHeight="1">
      <c r="A88" s="29"/>
      <c r="B88" s="29"/>
    </row>
    <row r="89" spans="1:2" ht="12.75" customHeight="1">
      <c r="A89" s="29"/>
      <c r="B89" s="29"/>
    </row>
    <row r="90" spans="1:2" ht="12.75" customHeight="1">
      <c r="A90" s="29"/>
      <c r="B90" s="29"/>
    </row>
    <row r="91" spans="1:2" ht="12.75" customHeight="1">
      <c r="A91" s="29"/>
      <c r="B91" s="29"/>
    </row>
    <row r="92" spans="1:2" ht="12.75" customHeight="1">
      <c r="A92" s="29"/>
      <c r="B92" s="29"/>
    </row>
    <row r="93" spans="1:2" ht="12.75" customHeight="1">
      <c r="A93" s="29"/>
      <c r="B93" s="29"/>
    </row>
    <row r="94" spans="1:2" ht="12.75" customHeight="1">
      <c r="A94" s="29"/>
      <c r="B94" s="29"/>
    </row>
    <row r="95" spans="1:2" ht="12.75" customHeight="1">
      <c r="A95" s="29"/>
      <c r="B95" s="29"/>
    </row>
    <row r="96" spans="1:2" ht="12.75" customHeight="1">
      <c r="A96" s="29"/>
      <c r="B96" s="29"/>
    </row>
    <row r="97" spans="1:2" ht="12.75" customHeight="1">
      <c r="A97" s="29"/>
      <c r="B97" s="29"/>
    </row>
    <row r="98" spans="1:2" ht="12.75" customHeight="1">
      <c r="A98" s="29"/>
      <c r="B98" s="29"/>
    </row>
    <row r="99" spans="1:2" ht="12.75" customHeight="1">
      <c r="A99" s="29"/>
      <c r="B99" s="29"/>
    </row>
    <row r="100" spans="1:2" ht="12.75" customHeight="1">
      <c r="A100" s="29"/>
      <c r="B100" s="29"/>
    </row>
    <row r="101" spans="1:2" ht="12.75" customHeight="1">
      <c r="A101" s="29"/>
      <c r="B101" s="29"/>
    </row>
    <row r="102" spans="1:2" ht="12.75" customHeight="1">
      <c r="A102" s="29"/>
      <c r="B102" s="29"/>
    </row>
    <row r="103" spans="1:2" ht="12.75" customHeight="1">
      <c r="A103" s="29"/>
      <c r="B103" s="29"/>
    </row>
    <row r="104" spans="1:2" ht="12.75" customHeight="1">
      <c r="A104" s="29"/>
      <c r="B104" s="29"/>
    </row>
    <row r="105" spans="1:2" ht="12.75" customHeight="1">
      <c r="A105" s="29"/>
      <c r="B105" s="29"/>
    </row>
    <row r="106" spans="1:2" ht="12.75" customHeight="1">
      <c r="A106" s="29"/>
      <c r="B106" s="29"/>
    </row>
    <row r="107" spans="1:2" ht="12.75" customHeight="1">
      <c r="A107" s="29"/>
      <c r="B107" s="29"/>
    </row>
    <row r="108" spans="1:2" ht="12.75" customHeight="1">
      <c r="A108" s="29"/>
      <c r="B108" s="29"/>
    </row>
    <row r="109" spans="1:2" ht="12.75" customHeight="1">
      <c r="A109" s="29"/>
      <c r="B109" s="29"/>
    </row>
    <row r="110" spans="1:2" ht="12.75" customHeight="1">
      <c r="A110" s="29"/>
      <c r="B110" s="29"/>
    </row>
    <row r="111" spans="1:2" ht="12.75" customHeight="1">
      <c r="A111" s="29"/>
      <c r="B111" s="29"/>
    </row>
    <row r="112" spans="1:2" ht="12.75" customHeight="1">
      <c r="A112" s="29"/>
      <c r="B112" s="29"/>
    </row>
    <row r="113" spans="1:2" ht="12.75" customHeight="1">
      <c r="A113" s="29"/>
      <c r="B113" s="29"/>
    </row>
    <row r="114" spans="1:2" ht="12.75" customHeight="1">
      <c r="A114" s="29"/>
      <c r="B114" s="29"/>
    </row>
    <row r="115" spans="1:2" ht="12.75" customHeight="1">
      <c r="A115" s="29"/>
      <c r="B115" s="29"/>
    </row>
    <row r="116" spans="1:2" ht="12.75" customHeight="1">
      <c r="A116" s="29"/>
      <c r="B116" s="29"/>
    </row>
    <row r="117" spans="1:2" ht="12.75" customHeight="1">
      <c r="A117" s="29"/>
      <c r="B117" s="29"/>
    </row>
    <row r="118" spans="1:2" ht="12.75" customHeight="1">
      <c r="A118" s="29"/>
      <c r="B118" s="29"/>
    </row>
    <row r="119" spans="1:2" ht="12.75" customHeight="1">
      <c r="A119" s="29"/>
      <c r="B119" s="29"/>
    </row>
    <row r="120" spans="1:2" ht="12.75" customHeight="1">
      <c r="A120" s="29"/>
      <c r="B120" s="29"/>
    </row>
    <row r="121" spans="1:2" ht="12.75" customHeight="1">
      <c r="A121" s="29"/>
      <c r="B121" s="29"/>
    </row>
    <row r="122" spans="1:2" ht="12.75" customHeight="1">
      <c r="A122" s="29"/>
      <c r="B122" s="29"/>
    </row>
    <row r="123" spans="1:2" ht="12.75" customHeight="1">
      <c r="A123" s="29"/>
      <c r="B123" s="29"/>
    </row>
    <row r="124" spans="1:2" ht="12.75" customHeight="1">
      <c r="A124" s="29"/>
      <c r="B124" s="29"/>
    </row>
    <row r="125" spans="1:2" ht="12.75" customHeight="1">
      <c r="A125" s="29"/>
      <c r="B125" s="29"/>
    </row>
    <row r="126" spans="1:2" ht="12.75" customHeight="1">
      <c r="A126" s="29"/>
      <c r="B126" s="29"/>
    </row>
    <row r="127" spans="1:2" ht="12.75" customHeight="1">
      <c r="A127" s="29"/>
      <c r="B127" s="29"/>
    </row>
    <row r="128" spans="1:2" ht="12.75" customHeight="1">
      <c r="A128" s="29"/>
      <c r="B128" s="29"/>
    </row>
    <row r="129" spans="1:2" ht="12.75" customHeight="1">
      <c r="A129" s="29"/>
      <c r="B129" s="29"/>
    </row>
    <row r="130" spans="1:2" ht="12.75" customHeight="1">
      <c r="A130" s="29"/>
      <c r="B130" s="29"/>
    </row>
    <row r="131" spans="1:2" ht="12.75" customHeight="1">
      <c r="A131" s="29"/>
      <c r="B131" s="29"/>
    </row>
    <row r="132" spans="1:2" ht="12.75" customHeight="1">
      <c r="A132" s="29"/>
      <c r="B132" s="29"/>
    </row>
    <row r="133" spans="1:2" ht="12.75" customHeight="1">
      <c r="A133" s="29"/>
      <c r="B133" s="29"/>
    </row>
    <row r="134" spans="1:2" ht="12.75" customHeight="1">
      <c r="A134" s="29"/>
      <c r="B134" s="29"/>
    </row>
    <row r="135" spans="1:2" ht="12.75" customHeight="1">
      <c r="A135" s="29"/>
      <c r="B135" s="29"/>
    </row>
    <row r="136" spans="1:2" ht="12.75" customHeight="1">
      <c r="A136" s="29"/>
      <c r="B136" s="29"/>
    </row>
    <row r="137" spans="1:2" ht="12.75" customHeight="1">
      <c r="A137" s="29"/>
      <c r="B137" s="29"/>
    </row>
    <row r="138" spans="1:2" ht="12.75" customHeight="1">
      <c r="A138" s="29"/>
      <c r="B138" s="29"/>
    </row>
    <row r="139" spans="1:2" ht="12.75" customHeight="1">
      <c r="A139" s="29"/>
      <c r="B139" s="29"/>
    </row>
    <row r="140" spans="1:2" ht="12.75" customHeight="1">
      <c r="A140" s="29"/>
      <c r="B140" s="29"/>
    </row>
    <row r="141" spans="1:2" ht="12.75" customHeight="1">
      <c r="A141" s="29"/>
      <c r="B141" s="29"/>
    </row>
    <row r="142" spans="1:2" ht="12.75" customHeight="1">
      <c r="A142" s="29"/>
      <c r="B142" s="29"/>
    </row>
    <row r="143" spans="1:2" ht="12.75" customHeight="1">
      <c r="A143" s="29"/>
      <c r="B143" s="29"/>
    </row>
    <row r="144" spans="1:2" ht="12.75" customHeight="1">
      <c r="A144" s="29"/>
      <c r="B144" s="29"/>
    </row>
    <row r="145" spans="1:2" ht="12.75" customHeight="1">
      <c r="A145" s="29"/>
      <c r="B145" s="29"/>
    </row>
    <row r="146" spans="1:2" ht="12.75" customHeight="1">
      <c r="A146" s="29"/>
      <c r="B146" s="29"/>
    </row>
    <row r="147" spans="1:2" ht="12.75" customHeight="1">
      <c r="A147" s="29"/>
      <c r="B147" s="29"/>
    </row>
    <row r="148" spans="1:2" ht="12.75" customHeight="1">
      <c r="A148" s="29"/>
      <c r="B148" s="29"/>
    </row>
    <row r="149" spans="1:2" ht="12.75" customHeight="1">
      <c r="A149" s="29"/>
      <c r="B149" s="29"/>
    </row>
    <row r="150" spans="1:2" ht="12.75" customHeight="1">
      <c r="A150" s="29"/>
      <c r="B150" s="29"/>
    </row>
    <row r="151" spans="1:2" ht="12.75" customHeight="1">
      <c r="A151" s="29"/>
      <c r="B151" s="29"/>
    </row>
    <row r="152" spans="1:2" ht="12.75" customHeight="1">
      <c r="A152" s="29"/>
      <c r="B152" s="29"/>
    </row>
    <row r="153" spans="1:2" ht="12.75" customHeight="1">
      <c r="A153" s="29"/>
      <c r="B153" s="29"/>
    </row>
    <row r="154" spans="1:2" ht="12.75" customHeight="1">
      <c r="A154" s="29"/>
      <c r="B154" s="29"/>
    </row>
    <row r="155" spans="1:2" ht="12.75" customHeight="1">
      <c r="A155" s="29"/>
      <c r="B155" s="29"/>
    </row>
    <row r="156" spans="1:2" ht="12.75" customHeight="1">
      <c r="A156" s="29"/>
      <c r="B156" s="29"/>
    </row>
    <row r="157" spans="1:2" ht="12.75" customHeight="1">
      <c r="A157" s="29"/>
      <c r="B157" s="29"/>
    </row>
    <row r="158" spans="1:2" ht="12.75" customHeight="1">
      <c r="A158" s="29"/>
      <c r="B158" s="29"/>
    </row>
    <row r="159" spans="1:2" ht="12.75" customHeight="1">
      <c r="A159" s="29"/>
      <c r="B159" s="29"/>
    </row>
    <row r="160" spans="1:2" ht="12.75" customHeight="1">
      <c r="A160" s="29"/>
      <c r="B160" s="29"/>
    </row>
    <row r="161" spans="1:2" ht="12.75" customHeight="1">
      <c r="A161" s="29"/>
      <c r="B161" s="29"/>
    </row>
    <row r="162" spans="1:2" ht="12.75" customHeight="1">
      <c r="A162" s="29"/>
      <c r="B162" s="29"/>
    </row>
    <row r="163" spans="1:2" ht="12.75" customHeight="1">
      <c r="A163" s="29"/>
      <c r="B163" s="29"/>
    </row>
    <row r="164" spans="1:2" ht="12.75" customHeight="1">
      <c r="A164" s="29"/>
      <c r="B164" s="29"/>
    </row>
    <row r="165" spans="1:2" ht="12.75" customHeight="1">
      <c r="A165" s="29"/>
      <c r="B165" s="29"/>
    </row>
    <row r="166" spans="1:2" ht="12.75" customHeight="1">
      <c r="A166" s="29"/>
      <c r="B166" s="29"/>
    </row>
    <row r="167" spans="1:2" ht="12.75" customHeight="1">
      <c r="A167" s="29"/>
      <c r="B167" s="29"/>
    </row>
    <row r="168" spans="1:2" ht="12.75" customHeight="1">
      <c r="A168" s="29"/>
      <c r="B168" s="29"/>
    </row>
    <row r="169" spans="1:2" ht="12.75" customHeight="1">
      <c r="A169" s="29"/>
      <c r="B169" s="29"/>
    </row>
    <row r="170" spans="1:2" ht="12.75" customHeight="1">
      <c r="A170" s="29"/>
      <c r="B170" s="29"/>
    </row>
    <row r="171" spans="1:2" ht="12.75" customHeight="1">
      <c r="A171" s="29"/>
      <c r="B171" s="29"/>
    </row>
    <row r="172" spans="1:2" ht="12.75" customHeight="1">
      <c r="A172" s="29"/>
      <c r="B172" s="29"/>
    </row>
    <row r="173" spans="1:2" ht="12.75" customHeight="1">
      <c r="A173" s="29"/>
      <c r="B173" s="29"/>
    </row>
    <row r="174" spans="1:2" ht="12.75" customHeight="1">
      <c r="A174" s="29"/>
      <c r="B174" s="29"/>
    </row>
    <row r="175" spans="1:2" ht="12.75" customHeight="1">
      <c r="A175" s="29"/>
      <c r="B175" s="29"/>
    </row>
    <row r="176" spans="1:2" ht="12.75" customHeight="1">
      <c r="A176" s="29"/>
      <c r="B176" s="29"/>
    </row>
    <row r="177" spans="1:2" ht="12.75" customHeight="1">
      <c r="A177" s="29"/>
      <c r="B177" s="29"/>
    </row>
    <row r="178" spans="1:2" ht="12.75" customHeight="1">
      <c r="A178" s="29"/>
      <c r="B178" s="29"/>
    </row>
    <row r="179" spans="1:2" ht="12.75" customHeight="1">
      <c r="A179" s="29"/>
      <c r="B179" s="29"/>
    </row>
    <row r="180" spans="1:2" ht="12.75" customHeight="1">
      <c r="A180" s="29"/>
      <c r="B180" s="29"/>
    </row>
    <row r="181" spans="1:2" ht="12.75" customHeight="1">
      <c r="A181" s="29"/>
      <c r="B181" s="29"/>
    </row>
    <row r="182" spans="1:2" ht="12.75" customHeight="1">
      <c r="A182" s="29"/>
      <c r="B182" s="29"/>
    </row>
    <row r="183" spans="1:2" ht="12.75" customHeight="1">
      <c r="A183" s="29"/>
      <c r="B183" s="29"/>
    </row>
    <row r="184" spans="1:2" ht="12.75" customHeight="1">
      <c r="A184" s="29"/>
      <c r="B184" s="29"/>
    </row>
    <row r="185" spans="1:2" ht="12.75" customHeight="1">
      <c r="A185" s="29"/>
      <c r="B185" s="29"/>
    </row>
    <row r="186" spans="1:2" ht="12.75" customHeight="1">
      <c r="A186" s="29"/>
      <c r="B186" s="29"/>
    </row>
    <row r="187" spans="1:2" ht="12.75" customHeight="1">
      <c r="A187" s="29"/>
      <c r="B187" s="29"/>
    </row>
    <row r="188" spans="1:2" ht="12.75" customHeight="1">
      <c r="A188" s="29"/>
      <c r="B188" s="29"/>
    </row>
    <row r="189" spans="1:2" ht="12.75" customHeight="1">
      <c r="A189" s="29"/>
      <c r="B189" s="29"/>
    </row>
    <row r="190" spans="1:2" ht="12.75" customHeight="1">
      <c r="A190" s="29"/>
      <c r="B190" s="29"/>
    </row>
    <row r="191" spans="1:2" ht="12.75" customHeight="1">
      <c r="A191" s="29"/>
      <c r="B191" s="29"/>
    </row>
    <row r="192" spans="1:2" ht="12.75" customHeight="1">
      <c r="A192" s="29"/>
      <c r="B192" s="29"/>
    </row>
    <row r="193" spans="1:2" ht="12.75" customHeight="1">
      <c r="A193" s="29"/>
      <c r="B193" s="29"/>
    </row>
    <row r="194" spans="1:2" ht="12.75" customHeight="1">
      <c r="A194" s="29"/>
      <c r="B194" s="29"/>
    </row>
    <row r="195" spans="1:2" ht="12.75" customHeight="1">
      <c r="A195" s="29"/>
      <c r="B195" s="29"/>
    </row>
    <row r="196" spans="1:2" ht="12.75" customHeight="1">
      <c r="A196" s="29"/>
      <c r="B196" s="29"/>
    </row>
    <row r="197" spans="1:2" ht="12.75" customHeight="1">
      <c r="A197" s="29"/>
      <c r="B197" s="29"/>
    </row>
    <row r="198" spans="1:2" ht="12.75" customHeight="1">
      <c r="A198" s="29"/>
      <c r="B198" s="29"/>
    </row>
    <row r="199" spans="1:2" ht="12.75" customHeight="1">
      <c r="A199" s="29"/>
      <c r="B199" s="29"/>
    </row>
    <row r="200" spans="1:2" ht="12.75" customHeight="1">
      <c r="A200" s="29"/>
      <c r="B200" s="29"/>
    </row>
    <row r="201" spans="1:2" ht="12.75" customHeight="1">
      <c r="A201" s="29"/>
      <c r="B201" s="29"/>
    </row>
    <row r="202" spans="1:2" ht="12.75" customHeight="1">
      <c r="A202" s="29"/>
      <c r="B202" s="29"/>
    </row>
    <row r="203" spans="1:2" ht="12.75" customHeight="1">
      <c r="A203" s="29"/>
      <c r="B203" s="29"/>
    </row>
    <row r="204" spans="1:2" ht="12.75" customHeight="1">
      <c r="A204" s="29"/>
      <c r="B204" s="29"/>
    </row>
    <row r="205" spans="1:2" ht="12.75" customHeight="1">
      <c r="A205" s="29"/>
      <c r="B205" s="29"/>
    </row>
    <row r="206" spans="1:2" ht="12.75" customHeight="1">
      <c r="A206" s="29"/>
      <c r="B206" s="29"/>
    </row>
    <row r="207" spans="1:2" ht="12.75" customHeight="1">
      <c r="A207" s="29"/>
      <c r="B207" s="29"/>
    </row>
    <row r="208" spans="1:2" ht="12.75" customHeight="1">
      <c r="A208" s="29"/>
      <c r="B208" s="29"/>
    </row>
    <row r="209" spans="1:2" ht="12.75" customHeight="1">
      <c r="A209" s="29"/>
      <c r="B209" s="29"/>
    </row>
    <row r="210" spans="1:2" ht="12.75" customHeight="1">
      <c r="A210" s="29"/>
      <c r="B210" s="29"/>
    </row>
    <row r="211" spans="1:2" ht="12.75" customHeight="1">
      <c r="A211" s="29"/>
      <c r="B211" s="29"/>
    </row>
    <row r="212" spans="1:2" ht="12.75" customHeight="1">
      <c r="A212" s="29"/>
      <c r="B212" s="29"/>
    </row>
    <row r="213" spans="1:2" ht="12.75" customHeight="1">
      <c r="A213" s="29"/>
      <c r="B213" s="29"/>
    </row>
    <row r="214" spans="1:2" ht="12.75" customHeight="1">
      <c r="A214" s="29"/>
      <c r="B214" s="29"/>
    </row>
    <row r="215" spans="1:2" ht="12.75" customHeight="1">
      <c r="A215" s="29"/>
      <c r="B215" s="29"/>
    </row>
    <row r="216" spans="1:2" ht="12.75" customHeight="1">
      <c r="A216" s="29"/>
      <c r="B216" s="29"/>
    </row>
    <row r="217" spans="1:2" ht="12.75" customHeight="1">
      <c r="A217" s="29"/>
      <c r="B217" s="29"/>
    </row>
    <row r="218" spans="1:2" ht="12.75" customHeight="1">
      <c r="A218" s="29"/>
      <c r="B218" s="29"/>
    </row>
    <row r="219" spans="1:2" ht="12.75" customHeight="1">
      <c r="A219" s="29"/>
      <c r="B219" s="29"/>
    </row>
    <row r="220" spans="1:2" ht="12.75" customHeight="1">
      <c r="A220" s="29"/>
      <c r="B220" s="29"/>
    </row>
    <row r="221" spans="1:2" ht="12.75" customHeight="1">
      <c r="A221" s="29"/>
      <c r="B221" s="29"/>
    </row>
    <row r="222" spans="1:2" ht="12.75" customHeight="1">
      <c r="A222" s="29"/>
      <c r="B222" s="29"/>
    </row>
    <row r="223" spans="1:2" ht="12.75" customHeight="1">
      <c r="A223" s="29"/>
      <c r="B223" s="29"/>
    </row>
    <row r="224" spans="1:2" ht="12.75" customHeight="1">
      <c r="A224" s="29"/>
      <c r="B224" s="29"/>
    </row>
    <row r="225" spans="1:2" ht="12.75" customHeight="1">
      <c r="A225" s="29"/>
      <c r="B225" s="29"/>
    </row>
    <row r="226" spans="1:2" ht="12.75" customHeight="1">
      <c r="A226" s="29"/>
      <c r="B226" s="29"/>
    </row>
    <row r="227" spans="1:2" ht="12.75" customHeight="1">
      <c r="A227" s="29"/>
      <c r="B227" s="29"/>
    </row>
    <row r="228" spans="1:2" ht="12.75" customHeight="1">
      <c r="A228" s="29"/>
      <c r="B228" s="29"/>
    </row>
    <row r="229" spans="1:2" ht="12.75" customHeight="1">
      <c r="A229" s="29"/>
      <c r="B229" s="29"/>
    </row>
    <row r="230" spans="1:2" ht="12.75" customHeight="1">
      <c r="A230" s="29"/>
      <c r="B230" s="29"/>
    </row>
    <row r="231" spans="1:2" ht="12.75" customHeight="1">
      <c r="A231" s="29"/>
      <c r="B231" s="29"/>
    </row>
    <row r="232" spans="1:2" ht="12.75" customHeight="1">
      <c r="A232" s="29"/>
      <c r="B232" s="29"/>
    </row>
    <row r="233" spans="1:2" ht="12.75" customHeight="1">
      <c r="A233" s="29"/>
      <c r="B233" s="29"/>
    </row>
    <row r="234" spans="1:2" ht="12.75" customHeight="1">
      <c r="A234" s="29"/>
      <c r="B234" s="29"/>
    </row>
    <row r="235" spans="1:2" ht="12.75" customHeight="1">
      <c r="A235" s="29"/>
      <c r="B235" s="29"/>
    </row>
    <row r="236" spans="1:2" ht="12.75" customHeight="1">
      <c r="A236" s="29"/>
      <c r="B236" s="29"/>
    </row>
    <row r="237" spans="1:2" ht="12.75" customHeight="1">
      <c r="A237" s="29"/>
      <c r="B237" s="29"/>
    </row>
    <row r="238" spans="1:2" ht="12.75" customHeight="1">
      <c r="A238" s="29"/>
      <c r="B238" s="29"/>
    </row>
    <row r="239" spans="1:2" ht="12.75" customHeight="1">
      <c r="A239" s="29"/>
      <c r="B239" s="29"/>
    </row>
    <row r="240" spans="1:2" ht="12.75" customHeight="1">
      <c r="A240" s="29"/>
      <c r="B240" s="29"/>
    </row>
    <row r="241" spans="1:2" ht="12.75" customHeight="1">
      <c r="A241" s="29"/>
      <c r="B241" s="29"/>
    </row>
    <row r="242" spans="1:2" ht="12.75" customHeight="1">
      <c r="A242" s="29"/>
      <c r="B242" s="29"/>
    </row>
    <row r="243" spans="1:2" ht="12.75" customHeight="1">
      <c r="A243" s="29"/>
      <c r="B243" s="29"/>
    </row>
    <row r="244" spans="1:2" ht="12.75" customHeight="1">
      <c r="A244" s="29"/>
      <c r="B244" s="29"/>
    </row>
    <row r="245" spans="1:2" ht="12.75" customHeight="1">
      <c r="A245" s="29"/>
      <c r="B245" s="29"/>
    </row>
    <row r="246" spans="1:2" ht="12.75" customHeight="1">
      <c r="A246" s="29"/>
      <c r="B246" s="29"/>
    </row>
    <row r="247" spans="1:2" ht="12.75" customHeight="1">
      <c r="A247" s="29"/>
      <c r="B247" s="29"/>
    </row>
    <row r="248" spans="1:2" ht="12.75" customHeight="1">
      <c r="A248" s="29"/>
      <c r="B248" s="29"/>
    </row>
    <row r="249" spans="1:2" ht="12.75" customHeight="1">
      <c r="A249" s="29"/>
      <c r="B249" s="29"/>
    </row>
    <row r="250" spans="1:2" ht="12.75" customHeight="1">
      <c r="A250" s="29"/>
      <c r="B250" s="29"/>
    </row>
    <row r="251" spans="1:2" ht="12.75" customHeight="1">
      <c r="A251" s="29"/>
      <c r="B251" s="29"/>
    </row>
    <row r="252" spans="1:2" ht="12.75" customHeight="1">
      <c r="A252" s="29"/>
      <c r="B252" s="29"/>
    </row>
    <row r="253" spans="1:2" ht="12.75" customHeight="1">
      <c r="A253" s="29"/>
      <c r="B253" s="29"/>
    </row>
    <row r="254" spans="1:2" ht="12.75" customHeight="1">
      <c r="A254" s="29"/>
      <c r="B254" s="29"/>
    </row>
    <row r="255" spans="1:2" ht="12.75" customHeight="1">
      <c r="A255" s="29"/>
      <c r="B255" s="29"/>
    </row>
    <row r="256" spans="1:2" ht="12.75" customHeight="1">
      <c r="A256" s="29"/>
      <c r="B256" s="29"/>
    </row>
    <row r="257" spans="1:2" ht="12.75" customHeight="1">
      <c r="A257" s="29"/>
      <c r="B257" s="29"/>
    </row>
    <row r="258" spans="1:2" ht="12.75" customHeight="1">
      <c r="A258" s="29"/>
      <c r="B258" s="29"/>
    </row>
    <row r="259" spans="1:2" ht="12.75" customHeight="1">
      <c r="A259" s="29"/>
      <c r="B259" s="29"/>
    </row>
    <row r="260" spans="1:2" ht="12.75" customHeight="1">
      <c r="A260" s="29"/>
      <c r="B260" s="29"/>
    </row>
    <row r="261" spans="1:2" ht="12.75" customHeight="1">
      <c r="A261" s="29"/>
      <c r="B261" s="29"/>
    </row>
    <row r="262" spans="1:2" ht="12.75" customHeight="1">
      <c r="A262" s="29"/>
      <c r="B262" s="29"/>
    </row>
    <row r="263" spans="1:2" ht="12.75" customHeight="1">
      <c r="A263" s="29"/>
      <c r="B263" s="29"/>
    </row>
    <row r="264" spans="1:2" ht="12.75" customHeight="1">
      <c r="A264" s="29"/>
      <c r="B264" s="29"/>
    </row>
    <row r="265" spans="1:2" ht="12.75" customHeight="1">
      <c r="A265" s="29"/>
      <c r="B265" s="29"/>
    </row>
    <row r="266" spans="1:2" ht="12.75" customHeight="1">
      <c r="A266" s="29"/>
      <c r="B266" s="29"/>
    </row>
    <row r="267" spans="1:2" ht="12.75" customHeight="1">
      <c r="A267" s="29"/>
      <c r="B267" s="29"/>
    </row>
    <row r="268" spans="1:2" ht="12.75" customHeight="1">
      <c r="A268" s="29"/>
      <c r="B268" s="29"/>
    </row>
    <row r="269" spans="1:2" ht="12.75" customHeight="1">
      <c r="A269" s="29"/>
      <c r="B269" s="29"/>
    </row>
    <row r="270" spans="1:2" ht="12.75" customHeight="1">
      <c r="A270" s="29"/>
      <c r="B270" s="29"/>
    </row>
    <row r="271" spans="1:2" ht="12.75" customHeight="1">
      <c r="A271" s="29"/>
      <c r="B271" s="29"/>
    </row>
    <row r="272" spans="1:2" ht="12.75" customHeight="1">
      <c r="A272" s="29"/>
      <c r="B272" s="29"/>
    </row>
    <row r="273" spans="1:2" ht="12.75" customHeight="1">
      <c r="A273" s="29"/>
      <c r="B273" s="29"/>
    </row>
    <row r="274" spans="1:2" ht="12.75" customHeight="1">
      <c r="A274" s="29"/>
      <c r="B274" s="29"/>
    </row>
    <row r="275" spans="1:2" ht="12.75" customHeight="1">
      <c r="A275" s="29"/>
      <c r="B275" s="29"/>
    </row>
    <row r="276" spans="1:2" ht="12.75" customHeight="1">
      <c r="A276" s="29"/>
      <c r="B276" s="29"/>
    </row>
    <row r="277" spans="1:2" ht="12.75" customHeight="1">
      <c r="A277" s="29"/>
      <c r="B277" s="29"/>
    </row>
    <row r="278" spans="1:2" ht="12.75" customHeight="1">
      <c r="A278" s="29"/>
      <c r="B278" s="29"/>
    </row>
    <row r="279" spans="1:2" ht="12.75" customHeight="1">
      <c r="A279" s="29"/>
      <c r="B279" s="29"/>
    </row>
    <row r="280" spans="1:2" ht="12.75" customHeight="1">
      <c r="A280" s="29"/>
      <c r="B280" s="29"/>
    </row>
    <row r="281" spans="1:2" ht="12.75" customHeight="1">
      <c r="A281" s="29"/>
      <c r="B281" s="29"/>
    </row>
    <row r="282" spans="1:2" ht="12.75" customHeight="1">
      <c r="A282" s="29"/>
      <c r="B282" s="29"/>
    </row>
    <row r="283" spans="1:2" ht="12.75" customHeight="1">
      <c r="A283" s="29"/>
      <c r="B283" s="29"/>
    </row>
    <row r="284" spans="1:2" ht="12.75" customHeight="1">
      <c r="A284" s="29"/>
      <c r="B284" s="29"/>
    </row>
    <row r="285" spans="1:2" ht="12.75" customHeight="1">
      <c r="A285" s="29"/>
      <c r="B285" s="29"/>
    </row>
    <row r="286" spans="1:2" ht="12.75" customHeight="1">
      <c r="A286" s="29"/>
      <c r="B286" s="29"/>
    </row>
    <row r="287" spans="1:2" ht="12.75" customHeight="1">
      <c r="A287" s="29"/>
      <c r="B287" s="29"/>
    </row>
    <row r="288" spans="1:2" ht="12.75" customHeight="1">
      <c r="A288" s="29"/>
      <c r="B288" s="29"/>
    </row>
    <row r="289" spans="1:2" ht="12.75" customHeight="1">
      <c r="A289" s="29"/>
      <c r="B289" s="29"/>
    </row>
    <row r="290" spans="1:2" ht="12.75" customHeight="1">
      <c r="A290" s="29"/>
      <c r="B290" s="29"/>
    </row>
    <row r="291" spans="1:2" ht="12.75" customHeight="1">
      <c r="A291" s="29"/>
      <c r="B291" s="29"/>
    </row>
    <row r="292" spans="1:2" ht="12.75" customHeight="1">
      <c r="A292" s="29"/>
      <c r="B292" s="29"/>
    </row>
    <row r="293" spans="1:2" ht="12.75" customHeight="1">
      <c r="A293" s="29"/>
      <c r="B293" s="29"/>
    </row>
    <row r="294" spans="1:2" ht="12.75" customHeight="1">
      <c r="A294" s="29"/>
      <c r="B294" s="29"/>
    </row>
    <row r="295" spans="1:2" ht="12.75" customHeight="1">
      <c r="A295" s="29"/>
      <c r="B295" s="29"/>
    </row>
    <row r="296" spans="1:2" ht="12.75" customHeight="1">
      <c r="A296" s="29"/>
      <c r="B296" s="29"/>
    </row>
    <row r="297" spans="1:2" ht="12.75" customHeight="1">
      <c r="A297" s="29"/>
      <c r="B297" s="29"/>
    </row>
    <row r="298" spans="1:2" ht="12.75" customHeight="1">
      <c r="A298" s="29"/>
      <c r="B298" s="29"/>
    </row>
    <row r="299" spans="1:2" ht="12.75" customHeight="1">
      <c r="A299" s="29"/>
      <c r="B299" s="29"/>
    </row>
    <row r="300" spans="1:2" ht="12.75" customHeight="1">
      <c r="A300" s="29"/>
      <c r="B300" s="29"/>
    </row>
    <row r="301" spans="1:2" ht="12.75" customHeight="1">
      <c r="A301" s="29"/>
      <c r="B301" s="29"/>
    </row>
    <row r="302" spans="1:2" ht="12.75" customHeight="1">
      <c r="A302" s="29"/>
      <c r="B302" s="29"/>
    </row>
    <row r="303" spans="1:2" ht="12.75" customHeight="1">
      <c r="A303" s="29"/>
      <c r="B303" s="29"/>
    </row>
    <row r="304" spans="1:2" ht="12.75" customHeight="1">
      <c r="A304" s="29"/>
      <c r="B304" s="29"/>
    </row>
    <row r="305" spans="1:2" ht="12.75" customHeight="1">
      <c r="A305" s="29"/>
      <c r="B305" s="29"/>
    </row>
    <row r="306" spans="1:2" ht="12.75" customHeight="1">
      <c r="A306" s="29"/>
      <c r="B306" s="29"/>
    </row>
    <row r="307" spans="1:2" ht="12.75" customHeight="1">
      <c r="A307" s="29"/>
      <c r="B307" s="29"/>
    </row>
    <row r="308" spans="1:2" ht="12.75" customHeight="1">
      <c r="A308" s="29"/>
      <c r="B308" s="29"/>
    </row>
    <row r="309" spans="1:2" ht="12.75" customHeight="1">
      <c r="A309" s="29"/>
      <c r="B309" s="29"/>
    </row>
    <row r="310" spans="1:2" ht="12.75" customHeight="1">
      <c r="A310" s="29"/>
      <c r="B310" s="29"/>
    </row>
    <row r="311" spans="1:2" ht="12.75" customHeight="1">
      <c r="A311" s="29"/>
      <c r="B311" s="29"/>
    </row>
    <row r="312" spans="1:2" ht="12.75" customHeight="1">
      <c r="A312" s="29"/>
      <c r="B312" s="29"/>
    </row>
    <row r="313" spans="1:2" ht="12.75" customHeight="1">
      <c r="A313" s="29"/>
      <c r="B313" s="29"/>
    </row>
    <row r="314" spans="1:2" ht="12.75" customHeight="1">
      <c r="A314" s="29"/>
      <c r="B314" s="29"/>
    </row>
    <row r="315" spans="1:2" ht="12.75" customHeight="1">
      <c r="A315" s="29"/>
      <c r="B315" s="29"/>
    </row>
    <row r="316" spans="1:2" ht="12.75" customHeight="1">
      <c r="A316" s="29"/>
      <c r="B316" s="29"/>
    </row>
    <row r="317" spans="1:2" ht="12.75" customHeight="1">
      <c r="A317" s="29"/>
      <c r="B317" s="29"/>
    </row>
    <row r="318" spans="1:2" ht="12.75" customHeight="1">
      <c r="A318" s="29"/>
      <c r="B318" s="29"/>
    </row>
    <row r="319" spans="1:2" ht="12.75" customHeight="1">
      <c r="A319" s="29"/>
      <c r="B319" s="29"/>
    </row>
    <row r="320" spans="1:2" ht="12.75" customHeight="1">
      <c r="A320" s="29"/>
      <c r="B320" s="29"/>
    </row>
    <row r="321" spans="1:2" ht="12.75" customHeight="1">
      <c r="A321" s="29"/>
      <c r="B321" s="29"/>
    </row>
    <row r="322" spans="1:2" ht="12.75" customHeight="1">
      <c r="A322" s="29"/>
      <c r="B322" s="29"/>
    </row>
    <row r="323" spans="1:2" ht="12.75" customHeight="1">
      <c r="A323" s="29"/>
      <c r="B323" s="29"/>
    </row>
    <row r="324" spans="1:2" ht="12.75" customHeight="1">
      <c r="A324" s="29"/>
      <c r="B324" s="29"/>
    </row>
    <row r="325" spans="1:2" ht="12.75" customHeight="1">
      <c r="A325" s="29"/>
      <c r="B325" s="29"/>
    </row>
    <row r="326" spans="1:2" ht="12.75" customHeight="1">
      <c r="A326" s="29"/>
      <c r="B326" s="29"/>
    </row>
    <row r="327" spans="1:2" ht="12.75" customHeight="1">
      <c r="A327" s="29"/>
      <c r="B327" s="29"/>
    </row>
    <row r="328" spans="1:2" ht="12.75" customHeight="1">
      <c r="A328" s="29"/>
      <c r="B328" s="29"/>
    </row>
    <row r="329" spans="1:2" ht="12.75" customHeight="1">
      <c r="A329" s="29"/>
      <c r="B329" s="29"/>
    </row>
    <row r="330" spans="1:2" ht="12.75" customHeight="1">
      <c r="A330" s="29"/>
      <c r="B330" s="29"/>
    </row>
    <row r="331" spans="1:2" ht="12.75" customHeight="1">
      <c r="A331" s="29"/>
      <c r="B331" s="29"/>
    </row>
    <row r="332" spans="1:2" ht="12.75" customHeight="1">
      <c r="A332" s="29"/>
      <c r="B332" s="29"/>
    </row>
    <row r="333" spans="1:2" ht="12.75" customHeight="1">
      <c r="A333" s="29"/>
      <c r="B333" s="29"/>
    </row>
    <row r="334" spans="1:2" ht="12.75" customHeight="1">
      <c r="A334" s="29"/>
      <c r="B334" s="29"/>
    </row>
    <row r="335" spans="1:2" ht="12.75" customHeight="1">
      <c r="A335" s="29"/>
      <c r="B335" s="29"/>
    </row>
    <row r="336" spans="1:2" ht="12.75" customHeight="1">
      <c r="A336" s="29"/>
      <c r="B336" s="29"/>
    </row>
    <row r="337" spans="1:2" ht="12.75" customHeight="1">
      <c r="A337" s="29"/>
      <c r="B337" s="29"/>
    </row>
    <row r="338" spans="1:2" ht="12.75" customHeight="1">
      <c r="A338" s="29"/>
      <c r="B338" s="29"/>
    </row>
    <row r="339" spans="1:2" ht="12.75" customHeight="1">
      <c r="A339" s="29"/>
      <c r="B339" s="29"/>
    </row>
    <row r="340" spans="1:2" ht="12.75" customHeight="1">
      <c r="A340" s="29"/>
      <c r="B340" s="29"/>
    </row>
    <row r="341" spans="1:2" ht="12.75" customHeight="1">
      <c r="A341" s="29"/>
      <c r="B341" s="29"/>
    </row>
    <row r="342" spans="1:2" ht="12.75" customHeight="1">
      <c r="A342" s="29"/>
      <c r="B342" s="29"/>
    </row>
    <row r="343" spans="1:2" ht="12.75" customHeight="1">
      <c r="A343" s="29"/>
      <c r="B343" s="29"/>
    </row>
    <row r="344" spans="1:2" ht="12.75" customHeight="1">
      <c r="A344" s="29"/>
      <c r="B344" s="29"/>
    </row>
    <row r="345" spans="1:2" ht="12.75" customHeight="1">
      <c r="A345" s="29"/>
      <c r="B345" s="29"/>
    </row>
    <row r="346" spans="1:2" ht="12.75" customHeight="1">
      <c r="A346" s="29"/>
      <c r="B346" s="29"/>
    </row>
    <row r="347" spans="1:2" ht="12.75" customHeight="1">
      <c r="A347" s="29"/>
      <c r="B347" s="29"/>
    </row>
    <row r="348" spans="1:2" ht="12.75" customHeight="1">
      <c r="A348" s="29"/>
      <c r="B348" s="29"/>
    </row>
    <row r="349" spans="1:2" ht="12.75" customHeight="1">
      <c r="A349" s="29"/>
      <c r="B349" s="29"/>
    </row>
    <row r="350" spans="1:2" ht="12.75" customHeight="1">
      <c r="A350" s="29"/>
      <c r="B350" s="29"/>
    </row>
    <row r="351" spans="1:2" ht="12.75" customHeight="1">
      <c r="A351" s="29"/>
      <c r="B351" s="29"/>
    </row>
    <row r="352" spans="1:2" ht="12.75" customHeight="1">
      <c r="A352" s="29"/>
      <c r="B352" s="29"/>
    </row>
    <row r="353" spans="1:2" ht="12.75" customHeight="1">
      <c r="A353" s="29"/>
      <c r="B353" s="29"/>
    </row>
    <row r="354" spans="1:2" ht="12.75" customHeight="1">
      <c r="A354" s="29"/>
      <c r="B354" s="29"/>
    </row>
    <row r="355" spans="1:2" ht="12.75" customHeight="1">
      <c r="A355" s="29"/>
      <c r="B355" s="29"/>
    </row>
    <row r="356" spans="1:2" ht="12.75" customHeight="1">
      <c r="A356" s="29"/>
      <c r="B356" s="29"/>
    </row>
    <row r="357" spans="1:2" ht="12.75" customHeight="1">
      <c r="A357" s="29"/>
      <c r="B357" s="29"/>
    </row>
    <row r="358" spans="1:2" ht="12.75" customHeight="1">
      <c r="A358" s="29"/>
      <c r="B358" s="29"/>
    </row>
    <row r="359" spans="1:2" ht="12.75" customHeight="1">
      <c r="A359" s="29"/>
      <c r="B359" s="29"/>
    </row>
    <row r="360" spans="1:2" ht="12.75" customHeight="1">
      <c r="A360" s="29"/>
      <c r="B360" s="29"/>
    </row>
    <row r="361" spans="1:2" ht="12.75" customHeight="1">
      <c r="A361" s="29"/>
      <c r="B361" s="29"/>
    </row>
    <row r="362" spans="1:2" ht="12.75" customHeight="1">
      <c r="A362" s="29"/>
      <c r="B362" s="29"/>
    </row>
    <row r="363" spans="1:2" ht="12.75" customHeight="1">
      <c r="A363" s="29"/>
      <c r="B363" s="29"/>
    </row>
    <row r="364" spans="1:2" ht="12.75" customHeight="1">
      <c r="A364" s="29"/>
      <c r="B364" s="29"/>
    </row>
    <row r="365" spans="1:2" ht="12.75" customHeight="1">
      <c r="A365" s="29"/>
      <c r="B365" s="29"/>
    </row>
    <row r="366" spans="1:2" ht="12.75" customHeight="1">
      <c r="A366" s="29"/>
      <c r="B366" s="29"/>
    </row>
    <row r="367" spans="1:2" ht="12.75" customHeight="1">
      <c r="A367" s="29"/>
      <c r="B367" s="29"/>
    </row>
    <row r="368" spans="1:2" ht="12.75" customHeight="1">
      <c r="A368" s="29"/>
      <c r="B368" s="29"/>
    </row>
    <row r="369" spans="1:2" ht="12.75" customHeight="1">
      <c r="A369" s="29"/>
      <c r="B369" s="29"/>
    </row>
    <row r="370" spans="1:2" ht="12.75" customHeight="1">
      <c r="A370" s="29"/>
      <c r="B370" s="29"/>
    </row>
    <row r="371" spans="1:2" ht="12.75" customHeight="1">
      <c r="A371" s="29"/>
      <c r="B371" s="29"/>
    </row>
    <row r="372" spans="1:2" ht="12.75" customHeight="1">
      <c r="A372" s="29"/>
      <c r="B372" s="29"/>
    </row>
    <row r="373" spans="1:2" ht="12.75" customHeight="1">
      <c r="A373" s="29"/>
      <c r="B373" s="29"/>
    </row>
    <row r="374" spans="1:2" ht="12.75" customHeight="1">
      <c r="A374" s="29"/>
      <c r="B374" s="29"/>
    </row>
    <row r="375" spans="1:2" ht="12.75" customHeight="1">
      <c r="A375" s="29"/>
      <c r="B375" s="29"/>
    </row>
    <row r="376" spans="1:2" ht="12.75" customHeight="1">
      <c r="A376" s="29"/>
      <c r="B376" s="29"/>
    </row>
    <row r="377" spans="1:2" ht="12.75" customHeight="1">
      <c r="A377" s="29"/>
      <c r="B377" s="29"/>
    </row>
    <row r="378" spans="1:2" ht="12.75" customHeight="1">
      <c r="A378" s="29"/>
      <c r="B378" s="29"/>
    </row>
    <row r="379" spans="1:2" ht="12.75" customHeight="1">
      <c r="A379" s="29"/>
      <c r="B379" s="29"/>
    </row>
    <row r="380" spans="1:2" ht="12.75" customHeight="1">
      <c r="A380" s="29"/>
      <c r="B380" s="29"/>
    </row>
    <row r="381" spans="1:2" ht="12.75" customHeight="1">
      <c r="A381" s="29"/>
      <c r="B381" s="29"/>
    </row>
    <row r="382" spans="1:2" ht="12.75" customHeight="1">
      <c r="A382" s="29"/>
      <c r="B382" s="29"/>
    </row>
    <row r="383" spans="1:2" ht="12.75" customHeight="1">
      <c r="A383" s="29"/>
      <c r="B383" s="29"/>
    </row>
    <row r="384" spans="1:2" ht="12.75" customHeight="1">
      <c r="A384" s="29"/>
      <c r="B384" s="29"/>
    </row>
    <row r="385" spans="1:2" ht="12.75" customHeight="1">
      <c r="A385" s="29"/>
      <c r="B385" s="29"/>
    </row>
    <row r="386" spans="1:2" ht="12.75" customHeight="1">
      <c r="A386" s="29"/>
      <c r="B386" s="29"/>
    </row>
    <row r="387" spans="1:2" ht="12.75" customHeight="1">
      <c r="A387" s="29"/>
      <c r="B387" s="29"/>
    </row>
    <row r="388" spans="1:2" ht="12.75" customHeight="1">
      <c r="A388" s="29"/>
      <c r="B388" s="29"/>
    </row>
    <row r="389" spans="1:2" ht="12.75" customHeight="1">
      <c r="A389" s="29"/>
      <c r="B389" s="29"/>
    </row>
    <row r="390" spans="1:2" ht="12.75" customHeight="1">
      <c r="A390" s="29"/>
      <c r="B390" s="29"/>
    </row>
    <row r="391" spans="1:2" ht="12.75" customHeight="1">
      <c r="A391" s="29"/>
      <c r="B391" s="29"/>
    </row>
    <row r="392" spans="1:2" ht="12.75" customHeight="1">
      <c r="A392" s="29"/>
      <c r="B392" s="29"/>
    </row>
    <row r="393" spans="1:2" ht="12.75" customHeight="1">
      <c r="A393" s="29"/>
      <c r="B393" s="29"/>
    </row>
    <row r="394" spans="1:2" ht="12.75" customHeight="1">
      <c r="A394" s="29"/>
      <c r="B394" s="29"/>
    </row>
    <row r="395" spans="1:2" ht="12.75" customHeight="1">
      <c r="A395" s="29"/>
      <c r="B395" s="29"/>
    </row>
    <row r="396" spans="1:2" ht="12.75" customHeight="1">
      <c r="A396" s="29"/>
      <c r="B396" s="29"/>
    </row>
    <row r="397" spans="1:2" ht="12.75" customHeight="1">
      <c r="A397" s="29"/>
      <c r="B397" s="29"/>
    </row>
    <row r="398" spans="1:2" ht="12.75" customHeight="1">
      <c r="A398" s="29"/>
      <c r="B398" s="29"/>
    </row>
    <row r="399" spans="1:2" ht="12.75" customHeight="1">
      <c r="A399" s="29"/>
      <c r="B399" s="29"/>
    </row>
    <row r="400" spans="1:2" ht="12.75" customHeight="1">
      <c r="A400" s="29"/>
      <c r="B400" s="29"/>
    </row>
    <row r="401" spans="1:2" ht="12.75" customHeight="1">
      <c r="A401" s="29"/>
      <c r="B401" s="29"/>
    </row>
    <row r="402" spans="1:2" ht="12.75" customHeight="1">
      <c r="A402" s="29"/>
      <c r="B402" s="29"/>
    </row>
    <row r="403" spans="1:2" ht="12.75" customHeight="1">
      <c r="A403" s="29"/>
      <c r="B403" s="29"/>
    </row>
    <row r="404" spans="1:2" ht="12.75" customHeight="1">
      <c r="A404" s="29"/>
      <c r="B404" s="29"/>
    </row>
    <row r="405" spans="1:2" ht="12.75" customHeight="1">
      <c r="A405" s="29"/>
      <c r="B405" s="29"/>
    </row>
    <row r="406" spans="1:2" ht="12.75" customHeight="1">
      <c r="A406" s="29"/>
      <c r="B406" s="29"/>
    </row>
    <row r="407" spans="1:2" ht="12.75" customHeight="1">
      <c r="A407" s="29"/>
      <c r="B407" s="29"/>
    </row>
    <row r="408" spans="1:2" ht="12.75" customHeight="1">
      <c r="A408" s="29"/>
      <c r="B408" s="29"/>
    </row>
    <row r="409" spans="1:2" ht="12.75" customHeight="1">
      <c r="A409" s="29"/>
      <c r="B409" s="29"/>
    </row>
    <row r="410" spans="1:2" ht="12.75" customHeight="1">
      <c r="A410" s="29"/>
      <c r="B410" s="29"/>
    </row>
    <row r="411" spans="1:2" ht="12.75" customHeight="1">
      <c r="A411" s="29"/>
      <c r="B411" s="29"/>
    </row>
    <row r="412" spans="1:2" ht="12.75" customHeight="1">
      <c r="A412" s="29"/>
      <c r="B412" s="29"/>
    </row>
    <row r="413" spans="1:2" ht="12.75" customHeight="1">
      <c r="A413" s="29"/>
      <c r="B413" s="29"/>
    </row>
    <row r="414" spans="1:2" ht="12.75" customHeight="1">
      <c r="A414" s="29"/>
      <c r="B414" s="29"/>
    </row>
    <row r="415" spans="1:2" ht="12.75" customHeight="1">
      <c r="A415" s="29"/>
      <c r="B415" s="29"/>
    </row>
    <row r="416" spans="1:2" ht="12.75" customHeight="1">
      <c r="A416" s="29"/>
      <c r="B416" s="29"/>
    </row>
    <row r="417" spans="1:2" ht="12.75" customHeight="1">
      <c r="A417" s="29"/>
      <c r="B417" s="29"/>
    </row>
    <row r="418" spans="1:2" ht="12.75" customHeight="1">
      <c r="A418" s="29"/>
      <c r="B418" s="29"/>
    </row>
    <row r="419" spans="1:2" ht="12.75" customHeight="1">
      <c r="A419" s="29"/>
      <c r="B419" s="29"/>
    </row>
    <row r="420" spans="1:2" ht="12.75" customHeight="1">
      <c r="A420" s="29"/>
      <c r="B420" s="29"/>
    </row>
    <row r="421" spans="1:2" ht="12.75" customHeight="1">
      <c r="A421" s="29"/>
      <c r="B421" s="29"/>
    </row>
    <row r="422" spans="1:2" ht="12.75" customHeight="1">
      <c r="A422" s="29"/>
      <c r="B422" s="29"/>
    </row>
    <row r="423" spans="1:2" ht="12.75" customHeight="1">
      <c r="A423" s="29"/>
      <c r="B423" s="29"/>
    </row>
    <row r="424" spans="1:2" ht="12.75" customHeight="1">
      <c r="A424" s="29"/>
      <c r="B424" s="29"/>
    </row>
    <row r="425" spans="1:2" ht="12.75" customHeight="1">
      <c r="A425" s="29"/>
      <c r="B425" s="29"/>
    </row>
    <row r="426" spans="1:2" ht="12.75" customHeight="1">
      <c r="A426" s="29"/>
      <c r="B426" s="29"/>
    </row>
    <row r="427" spans="1:2" ht="12.75" customHeight="1">
      <c r="A427" s="29"/>
      <c r="B427" s="29"/>
    </row>
    <row r="428" spans="1:2" ht="12.75" customHeight="1">
      <c r="A428" s="29"/>
      <c r="B428" s="29"/>
    </row>
    <row r="429" spans="1:2" ht="12.75" customHeight="1">
      <c r="A429" s="29"/>
      <c r="B429" s="29"/>
    </row>
    <row r="430" spans="1:2" ht="12.75" customHeight="1">
      <c r="A430" s="29"/>
      <c r="B430" s="29"/>
    </row>
    <row r="431" spans="1:2" ht="12.75" customHeight="1">
      <c r="A431" s="29"/>
      <c r="B431" s="29"/>
    </row>
    <row r="432" spans="1:2" ht="12.75" customHeight="1">
      <c r="A432" s="29"/>
      <c r="B432" s="29"/>
    </row>
    <row r="433" spans="1:2" ht="12.75" customHeight="1">
      <c r="A433" s="29"/>
      <c r="B433" s="29"/>
    </row>
    <row r="434" spans="1:2" ht="12.75" customHeight="1">
      <c r="A434" s="29"/>
      <c r="B434" s="29"/>
    </row>
    <row r="435" spans="1:2" ht="12.75" customHeight="1">
      <c r="A435" s="29"/>
      <c r="B435" s="29"/>
    </row>
    <row r="436" spans="1:2" ht="12.75" customHeight="1">
      <c r="A436" s="29"/>
      <c r="B436" s="29"/>
    </row>
    <row r="437" spans="1:2" ht="12.75" customHeight="1">
      <c r="A437" s="29"/>
      <c r="B437" s="29"/>
    </row>
    <row r="438" spans="1:2" ht="12.75" customHeight="1">
      <c r="A438" s="29"/>
      <c r="B438" s="29"/>
    </row>
    <row r="439" spans="1:2" ht="12.75" customHeight="1">
      <c r="A439" s="29"/>
      <c r="B439" s="29"/>
    </row>
    <row r="440" spans="1:2" ht="12.75" customHeight="1">
      <c r="A440" s="29"/>
      <c r="B440" s="29"/>
    </row>
    <row r="441" spans="1:2" ht="12.75" customHeight="1">
      <c r="A441" s="29"/>
      <c r="B441" s="29"/>
    </row>
    <row r="442" spans="1:2" ht="12.75" customHeight="1">
      <c r="A442" s="29"/>
      <c r="B442" s="29"/>
    </row>
    <row r="443" spans="1:2" ht="12.75" customHeight="1">
      <c r="A443" s="29"/>
      <c r="B443" s="29"/>
    </row>
    <row r="444" spans="1:2" ht="12.75" customHeight="1">
      <c r="A444" s="29"/>
      <c r="B444" s="29"/>
    </row>
    <row r="445" spans="1:2" ht="12.75" customHeight="1">
      <c r="A445" s="29"/>
      <c r="B445" s="29"/>
    </row>
    <row r="446" spans="1:2" ht="12.75" customHeight="1">
      <c r="A446" s="29"/>
      <c r="B446" s="29"/>
    </row>
    <row r="447" spans="1:2" ht="12.75" customHeight="1">
      <c r="A447" s="29"/>
      <c r="B447" s="29"/>
    </row>
    <row r="448" spans="1:2" ht="12.75" customHeight="1">
      <c r="A448" s="29"/>
      <c r="B448" s="29"/>
    </row>
    <row r="449" spans="1:2" ht="12.75" customHeight="1">
      <c r="A449" s="29"/>
      <c r="B449" s="29"/>
    </row>
    <row r="450" spans="1:2" ht="12.75" customHeight="1">
      <c r="A450" s="29"/>
      <c r="B450" s="29"/>
    </row>
    <row r="451" spans="1:2" ht="12.75" customHeight="1">
      <c r="A451" s="29"/>
      <c r="B451" s="29"/>
    </row>
    <row r="452" spans="1:2" ht="12.75" customHeight="1">
      <c r="A452" s="29"/>
      <c r="B452" s="29"/>
    </row>
    <row r="453" spans="1:2" ht="12.75" customHeight="1">
      <c r="A453" s="29"/>
      <c r="B453" s="29"/>
    </row>
    <row r="454" spans="1:2" ht="12.75" customHeight="1">
      <c r="A454" s="29"/>
      <c r="B454" s="29"/>
    </row>
    <row r="455" spans="1:2" ht="12.75" customHeight="1">
      <c r="A455" s="29"/>
      <c r="B455" s="29"/>
    </row>
    <row r="456" spans="1:2" ht="12.75" customHeight="1">
      <c r="A456" s="29"/>
      <c r="B456" s="29"/>
    </row>
    <row r="457" spans="1:2" ht="12.75" customHeight="1">
      <c r="A457" s="29"/>
      <c r="B457" s="29"/>
    </row>
    <row r="458" spans="1:2" ht="12.75" customHeight="1">
      <c r="A458" s="29"/>
      <c r="B458" s="29"/>
    </row>
    <row r="459" spans="1:2" ht="12.75" customHeight="1">
      <c r="A459" s="29"/>
      <c r="B459" s="29"/>
    </row>
    <row r="460" spans="1:2" ht="12.75" customHeight="1">
      <c r="A460" s="29"/>
      <c r="B460" s="29"/>
    </row>
    <row r="461" spans="1:2" ht="12.75" customHeight="1">
      <c r="A461" s="29"/>
      <c r="B461" s="29"/>
    </row>
    <row r="462" spans="1:2" ht="12.75" customHeight="1">
      <c r="A462" s="29"/>
      <c r="B462" s="29"/>
    </row>
    <row r="463" spans="1:2" ht="12.75" customHeight="1">
      <c r="A463" s="29"/>
      <c r="B463" s="29"/>
    </row>
    <row r="464" spans="1:2" ht="12.75" customHeight="1">
      <c r="A464" s="29"/>
      <c r="B464" s="29"/>
    </row>
    <row r="465" spans="1:2" ht="12.75" customHeight="1">
      <c r="A465" s="29"/>
      <c r="B465" s="29"/>
    </row>
    <row r="466" spans="1:2" ht="12.75" customHeight="1">
      <c r="A466" s="29"/>
      <c r="B466" s="29"/>
    </row>
    <row r="467" spans="1:2" ht="12.75" customHeight="1">
      <c r="A467" s="29"/>
      <c r="B467" s="29"/>
    </row>
    <row r="468" spans="1:2" ht="12.75" customHeight="1">
      <c r="A468" s="29"/>
      <c r="B468" s="29"/>
    </row>
    <row r="469" spans="1:2" ht="12.75" customHeight="1">
      <c r="A469" s="29"/>
      <c r="B469" s="29"/>
    </row>
    <row r="470" spans="1:2" ht="12.75" customHeight="1">
      <c r="A470" s="29"/>
      <c r="B470" s="29"/>
    </row>
    <row r="471" spans="1:2" ht="12.75" customHeight="1">
      <c r="A471" s="29"/>
      <c r="B471" s="29"/>
    </row>
    <row r="472" spans="1:2" ht="12.75" customHeight="1">
      <c r="A472" s="29"/>
      <c r="B472" s="29"/>
    </row>
    <row r="473" spans="1:2" ht="12.75" customHeight="1">
      <c r="A473" s="29"/>
      <c r="B473" s="29"/>
    </row>
    <row r="474" spans="1:2" ht="12.75" customHeight="1">
      <c r="A474" s="29"/>
      <c r="B474" s="29"/>
    </row>
    <row r="475" spans="1:2" ht="12.75" customHeight="1">
      <c r="A475" s="29"/>
      <c r="B475" s="29"/>
    </row>
    <row r="476" spans="1:2" ht="12.75" customHeight="1">
      <c r="A476" s="29"/>
      <c r="B476" s="29"/>
    </row>
    <row r="477" spans="1:2" ht="12.75" customHeight="1">
      <c r="A477" s="29"/>
      <c r="B477" s="29"/>
    </row>
    <row r="478" spans="1:2" ht="12.75" customHeight="1">
      <c r="A478" s="29"/>
      <c r="B478" s="29"/>
    </row>
    <row r="479" spans="1:2" ht="12.75" customHeight="1">
      <c r="A479" s="29"/>
      <c r="B479" s="29"/>
    </row>
    <row r="480" spans="1:2" ht="12.75" customHeight="1">
      <c r="A480" s="29"/>
      <c r="B480" s="29"/>
    </row>
    <row r="481" spans="1:2" ht="12.75" customHeight="1">
      <c r="A481" s="29"/>
      <c r="B481" s="29"/>
    </row>
    <row r="482" spans="1:2" ht="12.75" customHeight="1">
      <c r="A482" s="29"/>
      <c r="B482" s="29"/>
    </row>
    <row r="483" spans="1:2" ht="12.75" customHeight="1">
      <c r="A483" s="29"/>
      <c r="B483" s="29"/>
    </row>
    <row r="484" spans="1:2" ht="12.75" customHeight="1">
      <c r="A484" s="29"/>
      <c r="B484" s="29"/>
    </row>
    <row r="485" spans="1:2" ht="12.75" customHeight="1">
      <c r="A485" s="29"/>
      <c r="B485" s="29"/>
    </row>
    <row r="486" spans="1:2" ht="12.75" customHeight="1">
      <c r="A486" s="29"/>
      <c r="B486" s="29"/>
    </row>
    <row r="487" spans="1:2" ht="12.75" customHeight="1">
      <c r="A487" s="29"/>
      <c r="B487" s="29"/>
    </row>
    <row r="488" spans="1:2" ht="12.75" customHeight="1">
      <c r="A488" s="29"/>
      <c r="B488" s="29"/>
    </row>
    <row r="489" spans="1:2" ht="12.75" customHeight="1">
      <c r="A489" s="29"/>
      <c r="B489" s="29"/>
    </row>
    <row r="490" spans="1:2" ht="12.75" customHeight="1">
      <c r="A490" s="29"/>
      <c r="B490" s="29"/>
    </row>
    <row r="491" spans="1:2" ht="12.75" customHeight="1">
      <c r="A491" s="29"/>
      <c r="B491" s="29"/>
    </row>
    <row r="492" spans="1:2" ht="12.75" customHeight="1">
      <c r="A492" s="29"/>
      <c r="B492" s="29"/>
    </row>
    <row r="493" spans="1:2" ht="12.75" customHeight="1">
      <c r="A493" s="29"/>
      <c r="B493" s="29"/>
    </row>
    <row r="494" spans="1:2" ht="12.75" customHeight="1">
      <c r="A494" s="29"/>
      <c r="B494" s="29"/>
    </row>
    <row r="495" spans="1:2" ht="12.75" customHeight="1">
      <c r="A495" s="29"/>
      <c r="B495" s="29"/>
    </row>
    <row r="496" spans="1:2" ht="12.75" customHeight="1">
      <c r="A496" s="29"/>
      <c r="B496" s="29"/>
    </row>
    <row r="497" spans="1:2" ht="12.75" customHeight="1">
      <c r="A497" s="29"/>
      <c r="B497" s="29"/>
    </row>
    <row r="498" spans="1:2" ht="12.75" customHeight="1">
      <c r="A498" s="29"/>
      <c r="B498" s="29"/>
    </row>
    <row r="499" spans="1:2" ht="12.75" customHeight="1">
      <c r="A499" s="29"/>
      <c r="B499" s="29"/>
    </row>
    <row r="500" spans="1:2" ht="12.75" customHeight="1">
      <c r="A500" s="29"/>
      <c r="B500" s="29"/>
    </row>
    <row r="501" spans="1:2" ht="12.75" customHeight="1">
      <c r="A501" s="29"/>
      <c r="B501" s="29"/>
    </row>
    <row r="502" spans="1:2" ht="12.75" customHeight="1">
      <c r="A502" s="29"/>
      <c r="B502" s="29"/>
    </row>
    <row r="503" spans="1:2" ht="12.75" customHeight="1">
      <c r="A503" s="29"/>
      <c r="B503" s="29"/>
    </row>
    <row r="504" spans="1:2" ht="12.75" customHeight="1">
      <c r="A504" s="29"/>
      <c r="B504" s="29"/>
    </row>
    <row r="505" spans="1:2" ht="12.75" customHeight="1">
      <c r="A505" s="29"/>
      <c r="B505" s="29"/>
    </row>
    <row r="506" spans="1:2" ht="12.75" customHeight="1">
      <c r="A506" s="29"/>
      <c r="B506" s="29"/>
    </row>
    <row r="507" spans="1:2" ht="12.75" customHeight="1">
      <c r="A507" s="29"/>
      <c r="B507" s="29"/>
    </row>
    <row r="508" spans="1:2" ht="12.75" customHeight="1">
      <c r="A508" s="29"/>
      <c r="B508" s="29"/>
    </row>
    <row r="509" spans="1:2" ht="12.75" customHeight="1">
      <c r="A509" s="29"/>
      <c r="B509" s="29"/>
    </row>
    <row r="510" spans="1:2" ht="12.75" customHeight="1">
      <c r="A510" s="29"/>
      <c r="B510" s="29"/>
    </row>
    <row r="511" spans="1:2" ht="12.75" customHeight="1">
      <c r="A511" s="29"/>
      <c r="B511" s="29"/>
    </row>
    <row r="512" spans="1:2" ht="12.75" customHeight="1">
      <c r="A512" s="29"/>
      <c r="B512" s="29"/>
    </row>
    <row r="513" spans="1:2" ht="12.75" customHeight="1">
      <c r="A513" s="29"/>
      <c r="B513" s="29"/>
    </row>
    <row r="514" spans="1:2" ht="12.75" customHeight="1">
      <c r="A514" s="29"/>
      <c r="B514" s="29"/>
    </row>
    <row r="515" spans="1:2" ht="12.75" customHeight="1">
      <c r="A515" s="29"/>
      <c r="B515" s="29"/>
    </row>
    <row r="516" spans="1:2" ht="12.75" customHeight="1">
      <c r="A516" s="29"/>
      <c r="B516" s="29"/>
    </row>
    <row r="517" spans="1:2" ht="12.75" customHeight="1">
      <c r="A517" s="29"/>
      <c r="B517" s="29"/>
    </row>
    <row r="518" spans="1:2" ht="12.75" customHeight="1">
      <c r="A518" s="29"/>
      <c r="B518" s="29"/>
    </row>
    <row r="519" spans="1:2" ht="12.75" customHeight="1">
      <c r="A519" s="29"/>
      <c r="B519" s="29"/>
    </row>
    <row r="520" spans="1:2" ht="12.75" customHeight="1">
      <c r="A520" s="29"/>
      <c r="B520" s="29"/>
    </row>
    <row r="521" spans="1:2" ht="12.75" customHeight="1">
      <c r="A521" s="29"/>
      <c r="B521" s="29"/>
    </row>
    <row r="522" spans="1:2" ht="12.75" customHeight="1">
      <c r="A522" s="29"/>
      <c r="B522" s="29"/>
    </row>
    <row r="523" spans="1:2" ht="12.75" customHeight="1">
      <c r="A523" s="29"/>
      <c r="B523" s="29"/>
    </row>
    <row r="524" spans="1:2" ht="12.75" customHeight="1">
      <c r="A524" s="29"/>
      <c r="B524" s="29"/>
    </row>
    <row r="525" spans="1:2" ht="12.75" customHeight="1">
      <c r="A525" s="29"/>
      <c r="B525" s="29"/>
    </row>
    <row r="526" spans="1:2" ht="12.75" customHeight="1">
      <c r="A526" s="29"/>
      <c r="B526" s="29"/>
    </row>
    <row r="527" spans="1:2" ht="12.75" customHeight="1">
      <c r="A527" s="29"/>
      <c r="B527" s="29"/>
    </row>
    <row r="528" spans="1:2" ht="12.75" customHeight="1">
      <c r="A528" s="29"/>
      <c r="B528" s="29"/>
    </row>
    <row r="529" spans="1:2" ht="12.75" customHeight="1">
      <c r="A529" s="29"/>
      <c r="B529" s="29"/>
    </row>
    <row r="530" spans="1:2" ht="12.75" customHeight="1">
      <c r="A530" s="29"/>
      <c r="B530" s="29"/>
    </row>
    <row r="531" spans="1:2" ht="12.75" customHeight="1">
      <c r="A531" s="29"/>
      <c r="B531" s="29"/>
    </row>
    <row r="532" spans="1:2" ht="12.75" customHeight="1">
      <c r="A532" s="29"/>
      <c r="B532" s="29"/>
    </row>
    <row r="533" spans="1:2" ht="12.75" customHeight="1">
      <c r="A533" s="29"/>
      <c r="B533" s="29"/>
    </row>
    <row r="534" spans="1:2" ht="12.75" customHeight="1">
      <c r="A534" s="29"/>
      <c r="B534" s="29"/>
    </row>
    <row r="535" spans="1:2" ht="12.75" customHeight="1">
      <c r="A535" s="29"/>
      <c r="B535" s="29"/>
    </row>
    <row r="536" spans="1:2" ht="12.75" customHeight="1">
      <c r="A536" s="29"/>
      <c r="B536" s="29"/>
    </row>
    <row r="537" spans="1:2" ht="12.75" customHeight="1">
      <c r="A537" s="29"/>
      <c r="B537" s="29"/>
    </row>
    <row r="538" spans="1:2" ht="12.75" customHeight="1">
      <c r="A538" s="29"/>
      <c r="B538" s="29"/>
    </row>
    <row r="539" spans="1:2" ht="12.75" customHeight="1">
      <c r="A539" s="29"/>
      <c r="B539" s="29"/>
    </row>
    <row r="540" spans="1:2" ht="12.75" customHeight="1">
      <c r="A540" s="29"/>
      <c r="B540" s="29"/>
    </row>
    <row r="541" spans="1:2" ht="12.75" customHeight="1">
      <c r="A541" s="29"/>
      <c r="B541" s="29"/>
    </row>
    <row r="542" spans="1:2" ht="12.75" customHeight="1">
      <c r="A542" s="29"/>
      <c r="B542" s="29"/>
    </row>
    <row r="543" spans="1:2" ht="12.75" customHeight="1">
      <c r="A543" s="29"/>
      <c r="B543" s="29"/>
    </row>
    <row r="544" spans="1:2" ht="12.75" customHeight="1">
      <c r="A544" s="29"/>
      <c r="B544" s="29"/>
    </row>
    <row r="545" spans="1:2" ht="12.75" customHeight="1">
      <c r="A545" s="29"/>
      <c r="B545" s="29"/>
    </row>
    <row r="546" spans="1:2" ht="12.75" customHeight="1">
      <c r="A546" s="29"/>
      <c r="B546" s="29"/>
    </row>
    <row r="547" spans="1:2" ht="12.75" customHeight="1">
      <c r="A547" s="29"/>
      <c r="B547" s="29"/>
    </row>
    <row r="548" spans="1:2" ht="12.75" customHeight="1">
      <c r="A548" s="29"/>
      <c r="B548" s="29"/>
    </row>
    <row r="549" spans="1:2" ht="12.75" customHeight="1">
      <c r="A549" s="29"/>
      <c r="B549" s="29"/>
    </row>
    <row r="550" spans="1:2" ht="12.75" customHeight="1">
      <c r="A550" s="29"/>
      <c r="B550" s="29"/>
    </row>
    <row r="551" spans="1:2" ht="12.75" customHeight="1">
      <c r="A551" s="29"/>
      <c r="B551" s="29"/>
    </row>
    <row r="552" spans="1:2" ht="12.75" customHeight="1">
      <c r="A552" s="29"/>
      <c r="B552" s="29"/>
    </row>
    <row r="553" spans="1:2" ht="12.75" customHeight="1">
      <c r="A553" s="29"/>
      <c r="B553" s="29"/>
    </row>
    <row r="554" spans="1:2" ht="12.75" customHeight="1">
      <c r="A554" s="29"/>
      <c r="B554" s="29"/>
    </row>
    <row r="555" spans="1:2" ht="12.75" customHeight="1">
      <c r="A555" s="29"/>
      <c r="B555" s="29"/>
    </row>
    <row r="556" spans="1:2" ht="12.75" customHeight="1">
      <c r="A556" s="29"/>
      <c r="B556" s="29"/>
    </row>
    <row r="557" spans="1:2" ht="12.75" customHeight="1">
      <c r="A557" s="29"/>
      <c r="B557" s="29"/>
    </row>
    <row r="558" spans="1:2" ht="12.75" customHeight="1">
      <c r="A558" s="29"/>
      <c r="B558" s="29"/>
    </row>
    <row r="559" spans="1:2" ht="12.75" customHeight="1">
      <c r="A559" s="29"/>
      <c r="B559" s="29"/>
    </row>
    <row r="560" spans="1:2" ht="12.75" customHeight="1">
      <c r="A560" s="29"/>
      <c r="B560" s="29"/>
    </row>
    <row r="561" spans="1:2" ht="12.75" customHeight="1">
      <c r="A561" s="29"/>
      <c r="B561" s="29"/>
    </row>
    <row r="562" spans="1:2" ht="12.75" customHeight="1">
      <c r="A562" s="29"/>
      <c r="B562" s="29"/>
    </row>
    <row r="563" spans="1:2" ht="12.75" customHeight="1">
      <c r="A563" s="29"/>
      <c r="B563" s="29"/>
    </row>
    <row r="564" spans="1:2" ht="12.75" customHeight="1">
      <c r="A564" s="29"/>
      <c r="B564" s="29"/>
    </row>
    <row r="565" spans="1:2" ht="12.75" customHeight="1">
      <c r="A565" s="29"/>
      <c r="B565" s="29"/>
    </row>
    <row r="566" spans="1:2" ht="12.75" customHeight="1">
      <c r="A566" s="29"/>
      <c r="B566" s="29"/>
    </row>
    <row r="567" spans="1:2" ht="12.75" customHeight="1">
      <c r="A567" s="29"/>
      <c r="B567" s="29"/>
    </row>
    <row r="568" spans="1:2" ht="12.75" customHeight="1">
      <c r="A568" s="29"/>
      <c r="B568" s="29"/>
    </row>
    <row r="569" spans="1:2" ht="12.75" customHeight="1">
      <c r="A569" s="29"/>
      <c r="B569" s="29"/>
    </row>
    <row r="570" spans="1:2" ht="12.75" customHeight="1">
      <c r="A570" s="29"/>
      <c r="B570" s="29"/>
    </row>
    <row r="571" spans="1:2" ht="12.75" customHeight="1">
      <c r="A571" s="29"/>
      <c r="B571" s="29"/>
    </row>
    <row r="572" spans="1:2" ht="12.75" customHeight="1">
      <c r="A572" s="29"/>
      <c r="B572" s="29"/>
    </row>
    <row r="573" spans="1:2" ht="12.75" customHeight="1">
      <c r="A573" s="29"/>
      <c r="B573" s="29"/>
    </row>
    <row r="574" spans="1:2" ht="12.75" customHeight="1">
      <c r="A574" s="29"/>
      <c r="B574" s="29"/>
    </row>
    <row r="575" spans="1:2" ht="12.75" customHeight="1">
      <c r="A575" s="29"/>
      <c r="B575" s="29"/>
    </row>
    <row r="576" spans="1:2" ht="12.75" customHeight="1">
      <c r="A576" s="29"/>
      <c r="B576" s="29"/>
    </row>
    <row r="577" spans="1:2" ht="12.75" customHeight="1">
      <c r="A577" s="29"/>
      <c r="B577" s="29"/>
    </row>
    <row r="578" spans="1:2" ht="12.75" customHeight="1">
      <c r="A578" s="29"/>
      <c r="B578" s="29"/>
    </row>
    <row r="579" spans="1:2" ht="12.75" customHeight="1">
      <c r="A579" s="29"/>
      <c r="B579" s="29"/>
    </row>
    <row r="580" spans="1:2" ht="12.75" customHeight="1">
      <c r="A580" s="29"/>
      <c r="B580" s="29"/>
    </row>
    <row r="581" spans="1:2" ht="12.75" customHeight="1">
      <c r="A581" s="29"/>
      <c r="B581" s="29"/>
    </row>
    <row r="582" spans="1:2" ht="12.75" customHeight="1">
      <c r="A582" s="29"/>
      <c r="B582" s="29"/>
    </row>
    <row r="583" spans="1:2" ht="12.75" customHeight="1">
      <c r="A583" s="29"/>
      <c r="B583" s="29"/>
    </row>
    <row r="584" spans="1:2" ht="12.75" customHeight="1">
      <c r="A584" s="29"/>
      <c r="B584" s="29"/>
    </row>
    <row r="585" spans="1:2" ht="12.75" customHeight="1">
      <c r="A585" s="29"/>
      <c r="B585" s="29"/>
    </row>
    <row r="586" spans="1:2" ht="12.75" customHeight="1">
      <c r="A586" s="29"/>
      <c r="B586" s="29"/>
    </row>
    <row r="587" spans="1:2" ht="12.75" customHeight="1">
      <c r="A587" s="29"/>
      <c r="B587" s="29"/>
    </row>
    <row r="588" spans="1:2" ht="12.75" customHeight="1">
      <c r="A588" s="29"/>
      <c r="B588" s="29"/>
    </row>
    <row r="589" spans="1:2" ht="12.75" customHeight="1">
      <c r="A589" s="29"/>
      <c r="B589" s="29"/>
    </row>
    <row r="590" spans="1:2" ht="12.75" customHeight="1">
      <c r="A590" s="29"/>
      <c r="B590" s="29"/>
    </row>
    <row r="591" spans="1:2" ht="12.75" customHeight="1">
      <c r="A591" s="29"/>
      <c r="B591" s="29"/>
    </row>
    <row r="592" spans="1:2" ht="12.75" customHeight="1">
      <c r="A592" s="29"/>
      <c r="B592" s="29"/>
    </row>
    <row r="593" spans="1:2" ht="12.75" customHeight="1">
      <c r="A593" s="29"/>
      <c r="B593" s="29"/>
    </row>
    <row r="594" spans="1:2" ht="12.75" customHeight="1">
      <c r="A594" s="29"/>
      <c r="B594" s="29"/>
    </row>
    <row r="595" spans="1:2" ht="12.75" customHeight="1">
      <c r="A595" s="29"/>
      <c r="B595" s="29"/>
    </row>
    <row r="596" spans="1:2" ht="12.75" customHeight="1">
      <c r="A596" s="29"/>
      <c r="B596" s="29"/>
    </row>
    <row r="597" spans="1:2" ht="12.75" customHeight="1">
      <c r="A597" s="29"/>
      <c r="B597" s="29"/>
    </row>
    <row r="598" spans="1:2" ht="12.75" customHeight="1">
      <c r="A598" s="29"/>
      <c r="B598" s="29"/>
    </row>
    <row r="599" spans="1:2" ht="12.75" customHeight="1">
      <c r="A599" s="29"/>
      <c r="B599" s="29"/>
    </row>
    <row r="600" spans="1:2" ht="12.75" customHeight="1">
      <c r="A600" s="29"/>
      <c r="B600" s="29"/>
    </row>
    <row r="601" spans="1:2" ht="12.75" customHeight="1">
      <c r="A601" s="29"/>
      <c r="B601" s="29"/>
    </row>
    <row r="602" spans="1:2" ht="12.75" customHeight="1">
      <c r="A602" s="29"/>
      <c r="B602" s="29"/>
    </row>
    <row r="603" spans="1:2" ht="12.75" customHeight="1">
      <c r="A603" s="29"/>
      <c r="B603" s="29"/>
    </row>
    <row r="604" spans="1:2" ht="12.75" customHeight="1">
      <c r="A604" s="29"/>
      <c r="B604" s="29"/>
    </row>
    <row r="605" spans="1:2" ht="12.75" customHeight="1">
      <c r="A605" s="29"/>
      <c r="B605" s="29"/>
    </row>
    <row r="606" spans="1:2" ht="12.75" customHeight="1">
      <c r="A606" s="29"/>
      <c r="B606" s="29"/>
    </row>
    <row r="607" spans="1:2" ht="12.75" customHeight="1">
      <c r="A607" s="29"/>
      <c r="B607" s="29"/>
    </row>
    <row r="608" spans="1:2" ht="12.75" customHeight="1">
      <c r="A608" s="29"/>
      <c r="B608" s="29"/>
    </row>
    <row r="609" spans="1:2" ht="12.75" customHeight="1">
      <c r="A609" s="29"/>
      <c r="B609" s="29"/>
    </row>
    <row r="610" spans="1:2" ht="12.75" customHeight="1">
      <c r="A610" s="29"/>
      <c r="B610" s="29"/>
    </row>
    <row r="611" spans="1:2" ht="12.75" customHeight="1">
      <c r="A611" s="29"/>
      <c r="B611" s="29"/>
    </row>
    <row r="612" spans="1:2" ht="12.75" customHeight="1">
      <c r="A612" s="29"/>
      <c r="B612" s="29"/>
    </row>
    <row r="613" spans="1:2" ht="12.75" customHeight="1">
      <c r="A613" s="29"/>
      <c r="B613" s="29"/>
    </row>
    <row r="614" spans="1:2" ht="12.75" customHeight="1">
      <c r="A614" s="29"/>
      <c r="B614" s="29"/>
    </row>
    <row r="615" spans="1:2" ht="12.75" customHeight="1">
      <c r="A615" s="29"/>
      <c r="B615" s="29"/>
    </row>
    <row r="616" spans="1:2" ht="12.75" customHeight="1">
      <c r="A616" s="29"/>
      <c r="B616" s="29"/>
    </row>
    <row r="617" spans="1:2" ht="12.75" customHeight="1">
      <c r="A617" s="29"/>
      <c r="B617" s="29"/>
    </row>
    <row r="618" spans="1:2" ht="12.75" customHeight="1">
      <c r="A618" s="29"/>
      <c r="B618" s="29"/>
    </row>
    <row r="619" spans="1:2" ht="12.75" customHeight="1">
      <c r="A619" s="29"/>
      <c r="B619" s="29"/>
    </row>
    <row r="620" spans="1:2" ht="12.75" customHeight="1">
      <c r="A620" s="29"/>
      <c r="B620" s="29"/>
    </row>
    <row r="621" spans="1:2" ht="12.75" customHeight="1">
      <c r="A621" s="29"/>
      <c r="B621" s="29"/>
    </row>
    <row r="622" spans="1:2" ht="12.75" customHeight="1">
      <c r="A622" s="29"/>
      <c r="B622" s="29"/>
    </row>
    <row r="623" spans="1:2" ht="12.75" customHeight="1">
      <c r="A623" s="29"/>
      <c r="B623" s="29"/>
    </row>
    <row r="624" spans="1:2" ht="12.75" customHeight="1">
      <c r="A624" s="29"/>
      <c r="B624" s="29"/>
    </row>
    <row r="625" spans="1:2" ht="12.75" customHeight="1">
      <c r="A625" s="29"/>
      <c r="B625" s="29"/>
    </row>
    <row r="626" spans="1:2" ht="12.75" customHeight="1">
      <c r="A626" s="29"/>
      <c r="B626" s="29"/>
    </row>
    <row r="627" spans="1:2" ht="12.75" customHeight="1">
      <c r="A627" s="29"/>
      <c r="B627" s="29"/>
    </row>
    <row r="628" spans="1:2" ht="12.75" customHeight="1">
      <c r="A628" s="29"/>
      <c r="B628" s="29"/>
    </row>
    <row r="629" spans="1:2" ht="12.75" customHeight="1">
      <c r="A629" s="29"/>
      <c r="B629" s="29"/>
    </row>
    <row r="630" spans="1:2" ht="12.75" customHeight="1">
      <c r="A630" s="29"/>
      <c r="B630" s="29"/>
    </row>
    <row r="631" spans="1:2" ht="12.75" customHeight="1">
      <c r="A631" s="29"/>
      <c r="B631" s="29"/>
    </row>
    <row r="632" spans="1:2" ht="12.75" customHeight="1">
      <c r="A632" s="29"/>
      <c r="B632" s="29"/>
    </row>
    <row r="633" spans="1:2" ht="12.75" customHeight="1">
      <c r="A633" s="29"/>
      <c r="B633" s="29"/>
    </row>
    <row r="634" spans="1:2" ht="12.75" customHeight="1">
      <c r="A634" s="29"/>
      <c r="B634" s="29"/>
    </row>
    <row r="635" spans="1:2" ht="12.75" customHeight="1">
      <c r="A635" s="29"/>
      <c r="B635" s="29"/>
    </row>
    <row r="636" spans="1:2" ht="12.75" customHeight="1">
      <c r="A636" s="29"/>
      <c r="B636" s="29"/>
    </row>
    <row r="637" spans="1:2" ht="12.75" customHeight="1">
      <c r="A637" s="29"/>
      <c r="B637" s="29"/>
    </row>
    <row r="638" spans="1:2" ht="12.75" customHeight="1">
      <c r="A638" s="29"/>
      <c r="B638" s="29"/>
    </row>
    <row r="639" spans="1:2" ht="12.75" customHeight="1">
      <c r="A639" s="29"/>
      <c r="B639" s="29"/>
    </row>
    <row r="640" spans="1:2" ht="12.75" customHeight="1">
      <c r="A640" s="29"/>
      <c r="B640" s="29"/>
    </row>
    <row r="641" spans="1:2" ht="12.75" customHeight="1">
      <c r="A641" s="29"/>
      <c r="B641" s="29"/>
    </row>
    <row r="642" spans="1:2" ht="12.75" customHeight="1">
      <c r="A642" s="29"/>
      <c r="B642" s="29"/>
    </row>
    <row r="643" spans="1:2" ht="12.75" customHeight="1">
      <c r="A643" s="29"/>
      <c r="B643" s="29"/>
    </row>
    <row r="644" spans="1:2" ht="12.75" customHeight="1">
      <c r="A644" s="29"/>
      <c r="B644" s="29"/>
    </row>
    <row r="645" spans="1:2" ht="12.75" customHeight="1">
      <c r="A645" s="29"/>
      <c r="B645" s="29"/>
    </row>
    <row r="646" spans="1:2" ht="12.75" customHeight="1">
      <c r="A646" s="29"/>
      <c r="B646" s="29"/>
    </row>
    <row r="647" spans="1:2" ht="12.75" customHeight="1">
      <c r="A647" s="29"/>
      <c r="B647" s="29"/>
    </row>
    <row r="648" spans="1:2" ht="12.75" customHeight="1">
      <c r="A648" s="29"/>
      <c r="B648" s="29"/>
    </row>
    <row r="649" spans="1:2" ht="12.75" customHeight="1">
      <c r="A649" s="29"/>
      <c r="B649" s="29"/>
    </row>
    <row r="650" spans="1:2" ht="12.75" customHeight="1">
      <c r="A650" s="29"/>
      <c r="B650" s="29"/>
    </row>
    <row r="651" spans="1:2" ht="12.75" customHeight="1">
      <c r="A651" s="29"/>
      <c r="B651" s="29"/>
    </row>
    <row r="652" spans="1:2" ht="12.75" customHeight="1">
      <c r="A652" s="29"/>
      <c r="B652" s="29"/>
    </row>
    <row r="653" spans="1:2" ht="12.75" customHeight="1">
      <c r="A653" s="29"/>
      <c r="B653" s="29"/>
    </row>
    <row r="654" spans="1:2" ht="12.75" customHeight="1">
      <c r="A654" s="29"/>
      <c r="B654" s="29"/>
    </row>
    <row r="655" spans="1:2" ht="12.75" customHeight="1">
      <c r="A655" s="29"/>
      <c r="B655" s="29"/>
    </row>
    <row r="656" spans="1:2" ht="12.75" customHeight="1">
      <c r="A656" s="29"/>
      <c r="B656" s="29"/>
    </row>
    <row r="657" spans="1:2" ht="12.75" customHeight="1">
      <c r="A657" s="29"/>
      <c r="B657" s="29"/>
    </row>
    <row r="658" spans="1:2" ht="12.75" customHeight="1">
      <c r="A658" s="29"/>
      <c r="B658" s="29"/>
    </row>
    <row r="659" spans="1:2" ht="12.75" customHeight="1">
      <c r="A659" s="29"/>
      <c r="B659" s="29"/>
    </row>
    <row r="660" spans="1:2" ht="12.75" customHeight="1">
      <c r="A660" s="29"/>
      <c r="B660" s="29"/>
    </row>
    <row r="661" spans="1:2" ht="12.75" customHeight="1">
      <c r="A661" s="29"/>
      <c r="B661" s="29"/>
    </row>
    <row r="662" spans="1:2" ht="12.75" customHeight="1">
      <c r="A662" s="29"/>
      <c r="B662" s="29"/>
    </row>
    <row r="663" spans="1:2" ht="12.75" customHeight="1">
      <c r="A663" s="29"/>
      <c r="B663" s="29"/>
    </row>
    <row r="664" spans="1:2" ht="12.75" customHeight="1">
      <c r="A664" s="29"/>
      <c r="B664" s="29"/>
    </row>
    <row r="665" spans="1:2" ht="12.75" customHeight="1">
      <c r="A665" s="29"/>
      <c r="B665" s="29"/>
    </row>
    <row r="666" spans="1:2" ht="12.75" customHeight="1">
      <c r="A666" s="29"/>
      <c r="B666" s="29"/>
    </row>
    <row r="667" spans="1:2" ht="12.75" customHeight="1">
      <c r="A667" s="29"/>
      <c r="B667" s="29"/>
    </row>
    <row r="668" spans="1:2" ht="12.75" customHeight="1">
      <c r="A668" s="29"/>
      <c r="B668" s="29"/>
    </row>
    <row r="669" spans="1:2" ht="12.75" customHeight="1">
      <c r="A669" s="29"/>
      <c r="B669" s="29"/>
    </row>
    <row r="670" spans="1:2" ht="12.75" customHeight="1">
      <c r="A670" s="29"/>
      <c r="B670" s="29"/>
    </row>
    <row r="671" spans="1:2" ht="12.75" customHeight="1">
      <c r="A671" s="29"/>
      <c r="B671" s="29"/>
    </row>
    <row r="672" spans="1:2" ht="12.75" customHeight="1">
      <c r="A672" s="29"/>
      <c r="B672" s="29"/>
    </row>
    <row r="673" spans="1:2" ht="12.75" customHeight="1">
      <c r="A673" s="29"/>
      <c r="B673" s="29"/>
    </row>
    <row r="674" spans="1:2" ht="12.75" customHeight="1">
      <c r="A674" s="29"/>
      <c r="B674" s="29"/>
    </row>
    <row r="675" spans="1:2" ht="12.75" customHeight="1">
      <c r="A675" s="29"/>
      <c r="B675" s="29"/>
    </row>
    <row r="676" spans="1:2" ht="12.75" customHeight="1">
      <c r="A676" s="29"/>
      <c r="B676" s="29"/>
    </row>
    <row r="677" spans="1:2" ht="12.75" customHeight="1">
      <c r="A677" s="29"/>
      <c r="B677" s="29"/>
    </row>
    <row r="678" spans="1:2" ht="12.75" customHeight="1">
      <c r="A678" s="29"/>
      <c r="B678" s="29"/>
    </row>
    <row r="679" spans="1:2" ht="12.75" customHeight="1">
      <c r="A679" s="29"/>
      <c r="B679" s="29"/>
    </row>
    <row r="680" spans="1:2" ht="12.75" customHeight="1">
      <c r="A680" s="29"/>
      <c r="B680" s="29"/>
    </row>
    <row r="681" spans="1:2" ht="12.75" customHeight="1">
      <c r="A681" s="29"/>
      <c r="B681" s="29"/>
    </row>
    <row r="682" spans="1:2" ht="12.75" customHeight="1">
      <c r="A682" s="29"/>
      <c r="B682" s="29"/>
    </row>
    <row r="683" spans="1:2" ht="12.75" customHeight="1">
      <c r="A683" s="29"/>
      <c r="B683" s="29"/>
    </row>
    <row r="684" spans="1:2" ht="12.75" customHeight="1">
      <c r="A684" s="29"/>
      <c r="B684" s="29"/>
    </row>
    <row r="685" spans="1:2" ht="12.75" customHeight="1">
      <c r="A685" s="29"/>
      <c r="B685" s="29"/>
    </row>
    <row r="686" spans="1:2" ht="12.75" customHeight="1">
      <c r="A686" s="29"/>
      <c r="B686" s="29"/>
    </row>
    <row r="687" spans="1:2" ht="12.75" customHeight="1">
      <c r="A687" s="29"/>
      <c r="B687" s="29"/>
    </row>
    <row r="688" spans="1:2" ht="12.75" customHeight="1">
      <c r="A688" s="29"/>
      <c r="B688" s="29"/>
    </row>
    <row r="689" spans="1:2" ht="12.75" customHeight="1">
      <c r="A689" s="29"/>
      <c r="B689" s="29"/>
    </row>
    <row r="690" spans="1:2" ht="12.75" customHeight="1">
      <c r="A690" s="29"/>
      <c r="B690" s="29"/>
    </row>
    <row r="691" spans="1:2" ht="12.75" customHeight="1">
      <c r="A691" s="29"/>
      <c r="B691" s="29"/>
    </row>
    <row r="692" spans="1:2" ht="12.75" customHeight="1">
      <c r="A692" s="29"/>
      <c r="B692" s="29"/>
    </row>
    <row r="693" spans="1:2" ht="12.75" customHeight="1">
      <c r="A693" s="29"/>
      <c r="B693" s="29"/>
    </row>
    <row r="694" spans="1:2" ht="12.75" customHeight="1">
      <c r="A694" s="29"/>
      <c r="B694" s="29"/>
    </row>
    <row r="695" spans="1:2" ht="12.75" customHeight="1">
      <c r="A695" s="29"/>
      <c r="B695" s="29"/>
    </row>
    <row r="696" spans="1:2" ht="12.75" customHeight="1">
      <c r="A696" s="29"/>
      <c r="B696" s="29"/>
    </row>
    <row r="697" spans="1:2" ht="12.75" customHeight="1">
      <c r="A697" s="29"/>
      <c r="B697" s="29"/>
    </row>
    <row r="698" spans="1:2" ht="12.75" customHeight="1">
      <c r="A698" s="29"/>
      <c r="B698" s="29"/>
    </row>
    <row r="699" spans="1:2" ht="12.75" customHeight="1">
      <c r="A699" s="29"/>
      <c r="B699" s="29"/>
    </row>
    <row r="700" spans="1:2" ht="12.75" customHeight="1">
      <c r="A700" s="29"/>
      <c r="B700" s="29"/>
    </row>
    <row r="701" spans="1:2" ht="12.75" customHeight="1">
      <c r="A701" s="29"/>
      <c r="B701" s="29"/>
    </row>
    <row r="702" spans="1:2" ht="12.75" customHeight="1">
      <c r="A702" s="29"/>
      <c r="B702" s="29"/>
    </row>
    <row r="703" spans="1:2" ht="12.75" customHeight="1">
      <c r="A703" s="29"/>
      <c r="B703" s="29"/>
    </row>
    <row r="704" spans="1:2" ht="12.75" customHeight="1">
      <c r="A704" s="29"/>
      <c r="B704" s="29"/>
    </row>
    <row r="705" spans="1:2" ht="12.75" customHeight="1">
      <c r="A705" s="29"/>
      <c r="B705" s="29"/>
    </row>
    <row r="706" spans="1:2" ht="12.75" customHeight="1">
      <c r="A706" s="29"/>
      <c r="B706" s="29"/>
    </row>
    <row r="707" spans="1:2" ht="12.75" customHeight="1">
      <c r="A707" s="29"/>
      <c r="B707" s="29"/>
    </row>
    <row r="708" spans="1:2" ht="12.75" customHeight="1">
      <c r="A708" s="29"/>
      <c r="B708" s="29"/>
    </row>
    <row r="709" spans="1:2" ht="12.75" customHeight="1">
      <c r="A709" s="29"/>
      <c r="B709" s="29"/>
    </row>
    <row r="710" spans="1:2" ht="12.75" customHeight="1">
      <c r="A710" s="29"/>
      <c r="B710" s="29"/>
    </row>
    <row r="711" spans="1:2" ht="12.75" customHeight="1">
      <c r="A711" s="29"/>
      <c r="B711" s="29"/>
    </row>
    <row r="712" spans="1:2" ht="12.75" customHeight="1">
      <c r="A712" s="29"/>
      <c r="B712" s="29"/>
    </row>
    <row r="713" spans="1:2" ht="12.75" customHeight="1">
      <c r="A713" s="29"/>
      <c r="B713" s="29"/>
    </row>
    <row r="714" spans="1:2" ht="12.75" customHeight="1">
      <c r="A714" s="29"/>
      <c r="B714" s="29"/>
    </row>
    <row r="715" spans="1:2" ht="12.75" customHeight="1">
      <c r="A715" s="29"/>
      <c r="B715" s="29"/>
    </row>
    <row r="716" spans="1:2" ht="12.75" customHeight="1">
      <c r="A716" s="29"/>
      <c r="B716" s="29"/>
    </row>
    <row r="717" spans="1:2" ht="12.75" customHeight="1">
      <c r="A717" s="29"/>
      <c r="B717" s="29"/>
    </row>
    <row r="718" spans="1:2" ht="12.75" customHeight="1">
      <c r="A718" s="29"/>
      <c r="B718" s="29"/>
    </row>
    <row r="719" spans="1:2" ht="12.75" customHeight="1">
      <c r="A719" s="29"/>
      <c r="B719" s="29"/>
    </row>
    <row r="720" spans="1:2" ht="12.75" customHeight="1">
      <c r="A720" s="29"/>
      <c r="B720" s="29"/>
    </row>
    <row r="721" spans="1:2" ht="12.75" customHeight="1">
      <c r="A721" s="29"/>
      <c r="B721" s="29"/>
    </row>
    <row r="722" spans="1:2" ht="12.75" customHeight="1">
      <c r="A722" s="29"/>
      <c r="B722" s="29"/>
    </row>
    <row r="723" spans="1:2" ht="12.75" customHeight="1">
      <c r="A723" s="29"/>
      <c r="B723" s="29"/>
    </row>
    <row r="724" spans="1:2" ht="12.75" customHeight="1">
      <c r="A724" s="29"/>
      <c r="B724" s="29"/>
    </row>
    <row r="725" spans="1:2" ht="12.75" customHeight="1">
      <c r="A725" s="29"/>
      <c r="B725" s="29"/>
    </row>
    <row r="726" spans="1:2" ht="12.75" customHeight="1">
      <c r="A726" s="29"/>
      <c r="B726" s="29"/>
    </row>
    <row r="727" spans="1:2" ht="12.75" customHeight="1">
      <c r="A727" s="29"/>
      <c r="B727" s="29"/>
    </row>
    <row r="728" spans="1:2" ht="12.75" customHeight="1">
      <c r="A728" s="29"/>
      <c r="B728" s="29"/>
    </row>
    <row r="729" spans="1:2" ht="12.75" customHeight="1">
      <c r="A729" s="29"/>
      <c r="B729" s="29"/>
    </row>
    <row r="730" spans="1:2" ht="12.75" customHeight="1">
      <c r="A730" s="29"/>
      <c r="B730" s="29"/>
    </row>
    <row r="731" spans="1:2" ht="12.75" customHeight="1">
      <c r="A731" s="29"/>
      <c r="B731" s="29"/>
    </row>
    <row r="732" spans="1:2" ht="12.75" customHeight="1">
      <c r="A732" s="29"/>
      <c r="B732" s="29"/>
    </row>
    <row r="733" spans="1:2" ht="12.75" customHeight="1">
      <c r="A733" s="29"/>
      <c r="B733" s="29"/>
    </row>
    <row r="734" spans="1:2" ht="12.75" customHeight="1">
      <c r="A734" s="29"/>
      <c r="B734" s="29"/>
    </row>
    <row r="735" spans="1:2" ht="12.75" customHeight="1">
      <c r="A735" s="29"/>
      <c r="B735" s="29"/>
    </row>
    <row r="736" spans="1:2" ht="12.75" customHeight="1">
      <c r="A736" s="29"/>
      <c r="B736" s="29"/>
    </row>
    <row r="737" spans="1:2" ht="12.75" customHeight="1">
      <c r="A737" s="29"/>
      <c r="B737" s="29"/>
    </row>
    <row r="738" spans="1:2" ht="12.75" customHeight="1">
      <c r="A738" s="29"/>
      <c r="B738" s="29"/>
    </row>
    <row r="739" spans="1:2" ht="12.75" customHeight="1">
      <c r="A739" s="29"/>
      <c r="B739" s="29"/>
    </row>
    <row r="740" spans="1:2" ht="12.75" customHeight="1">
      <c r="A740" s="29"/>
      <c r="B740" s="29"/>
    </row>
    <row r="741" spans="1:2" ht="12.75" customHeight="1">
      <c r="A741" s="29"/>
      <c r="B741" s="29"/>
    </row>
    <row r="742" spans="1:2" ht="12.75" customHeight="1">
      <c r="A742" s="29"/>
      <c r="B742" s="29"/>
    </row>
    <row r="743" spans="1:2" ht="12.75" customHeight="1">
      <c r="A743" s="29"/>
      <c r="B743" s="29"/>
    </row>
    <row r="744" spans="1:2" ht="12.75" customHeight="1">
      <c r="A744" s="29"/>
      <c r="B744" s="29"/>
    </row>
    <row r="745" spans="1:2" ht="12.75" customHeight="1">
      <c r="A745" s="29"/>
      <c r="B745" s="29"/>
    </row>
    <row r="746" spans="1:2" ht="12.75" customHeight="1">
      <c r="A746" s="29"/>
      <c r="B746" s="29"/>
    </row>
    <row r="747" spans="1:2" ht="12.75" customHeight="1">
      <c r="A747" s="29"/>
      <c r="B747" s="29"/>
    </row>
    <row r="748" spans="1:2" ht="12.75" customHeight="1">
      <c r="A748" s="29"/>
      <c r="B748" s="29"/>
    </row>
    <row r="749" spans="1:2" ht="12.75" customHeight="1">
      <c r="A749" s="29"/>
      <c r="B749" s="29"/>
    </row>
    <row r="750" spans="1:2" ht="12.75" customHeight="1">
      <c r="A750" s="29"/>
      <c r="B750" s="29"/>
    </row>
    <row r="751" spans="1:2" ht="12.75" customHeight="1">
      <c r="A751" s="29"/>
      <c r="B751" s="29"/>
    </row>
    <row r="752" spans="1:2" ht="12.75" customHeight="1">
      <c r="A752" s="29"/>
      <c r="B752" s="29"/>
    </row>
    <row r="753" spans="1:2" ht="12.75" customHeight="1">
      <c r="A753" s="29"/>
      <c r="B753" s="29"/>
    </row>
    <row r="754" spans="1:2" ht="12.75" customHeight="1">
      <c r="A754" s="29"/>
      <c r="B754" s="29"/>
    </row>
    <row r="755" spans="1:2" ht="12.75" customHeight="1">
      <c r="A755" s="29"/>
      <c r="B755" s="29"/>
    </row>
    <row r="756" spans="1:2" ht="12.75" customHeight="1">
      <c r="A756" s="29"/>
      <c r="B756" s="29"/>
    </row>
    <row r="757" spans="1:2" ht="12.75" customHeight="1">
      <c r="A757" s="29"/>
      <c r="B757" s="29"/>
    </row>
    <row r="758" spans="1:2" ht="12.75" customHeight="1">
      <c r="A758" s="29"/>
      <c r="B758" s="29"/>
    </row>
    <row r="759" spans="1:2" ht="12.75" customHeight="1">
      <c r="A759" s="29"/>
      <c r="B759" s="29"/>
    </row>
    <row r="760" spans="1:2" ht="12.75" customHeight="1">
      <c r="A760" s="29"/>
      <c r="B760" s="29"/>
    </row>
    <row r="761" spans="1:2" ht="12.75" customHeight="1">
      <c r="A761" s="29"/>
      <c r="B761" s="29"/>
    </row>
    <row r="762" spans="1:2" ht="12.75" customHeight="1">
      <c r="A762" s="29"/>
      <c r="B762" s="29"/>
    </row>
    <row r="763" spans="1:2" ht="12.75" customHeight="1">
      <c r="A763" s="29"/>
      <c r="B763" s="29"/>
    </row>
    <row r="764" spans="1:2" ht="12.75" customHeight="1">
      <c r="A764" s="29"/>
      <c r="B764" s="29"/>
    </row>
    <row r="765" spans="1:2" ht="12.75" customHeight="1">
      <c r="A765" s="29"/>
      <c r="B765" s="29"/>
    </row>
    <row r="766" spans="1:2" ht="12.75" customHeight="1">
      <c r="A766" s="29"/>
      <c r="B766" s="29"/>
    </row>
    <row r="767" spans="1:2" ht="12.75" customHeight="1">
      <c r="A767" s="29"/>
      <c r="B767" s="29"/>
    </row>
    <row r="768" spans="1:2" ht="12.75" customHeight="1">
      <c r="A768" s="29"/>
      <c r="B768" s="29"/>
    </row>
    <row r="769" spans="1:2" ht="12.75" customHeight="1">
      <c r="A769" s="29"/>
      <c r="B769" s="29"/>
    </row>
    <row r="770" spans="1:2" ht="12.75" customHeight="1">
      <c r="A770" s="29"/>
      <c r="B770" s="29"/>
    </row>
    <row r="771" spans="1:2" ht="12.75" customHeight="1">
      <c r="A771" s="29"/>
      <c r="B771" s="29"/>
    </row>
    <row r="772" spans="1:2" ht="12.75" customHeight="1">
      <c r="A772" s="29"/>
      <c r="B772" s="29"/>
    </row>
    <row r="773" spans="1:2" ht="12.75" customHeight="1">
      <c r="A773" s="29"/>
      <c r="B773" s="29"/>
    </row>
    <row r="774" spans="1:2" ht="12.75" customHeight="1">
      <c r="A774" s="29"/>
      <c r="B774" s="29"/>
    </row>
    <row r="775" spans="1:2" ht="12.75" customHeight="1">
      <c r="A775" s="29"/>
      <c r="B775" s="29"/>
    </row>
    <row r="776" spans="1:2" ht="12.75" customHeight="1">
      <c r="A776" s="29"/>
      <c r="B776" s="29"/>
    </row>
    <row r="777" spans="1:2" ht="12.75" customHeight="1">
      <c r="A777" s="29"/>
      <c r="B777" s="29"/>
    </row>
    <row r="778" spans="1:2" ht="12.75" customHeight="1">
      <c r="A778" s="29"/>
      <c r="B778" s="29"/>
    </row>
    <row r="779" spans="1:2" ht="12.75" customHeight="1">
      <c r="A779" s="29"/>
      <c r="B779" s="29"/>
    </row>
    <row r="780" spans="1:2" ht="12.75" customHeight="1">
      <c r="A780" s="29"/>
      <c r="B780" s="29"/>
    </row>
    <row r="781" spans="1:2" ht="12.75" customHeight="1">
      <c r="A781" s="29"/>
      <c r="B781" s="29"/>
    </row>
    <row r="782" spans="1:2" ht="12.75" customHeight="1">
      <c r="A782" s="29"/>
      <c r="B782" s="29"/>
    </row>
    <row r="783" spans="1:2" ht="12.75" customHeight="1">
      <c r="A783" s="29"/>
      <c r="B783" s="29"/>
    </row>
    <row r="784" spans="1:2" ht="12.75" customHeight="1">
      <c r="A784" s="29"/>
      <c r="B784" s="29"/>
    </row>
    <row r="785" spans="1:2" ht="12.75" customHeight="1">
      <c r="A785" s="29"/>
      <c r="B785" s="29"/>
    </row>
    <row r="786" spans="1:2" ht="12.75" customHeight="1">
      <c r="A786" s="29"/>
      <c r="B786" s="29"/>
    </row>
    <row r="787" spans="1:2" ht="12.75" customHeight="1">
      <c r="A787" s="29"/>
      <c r="B787" s="29"/>
    </row>
    <row r="788" spans="1:2" ht="12.75" customHeight="1">
      <c r="A788" s="29"/>
      <c r="B788" s="29"/>
    </row>
    <row r="789" spans="1:2" ht="12.75" customHeight="1">
      <c r="A789" s="29"/>
      <c r="B789" s="29"/>
    </row>
    <row r="790" spans="1:2" ht="12.75" customHeight="1">
      <c r="A790" s="29"/>
      <c r="B790" s="29"/>
    </row>
    <row r="791" spans="1:2" ht="12.75" customHeight="1">
      <c r="A791" s="29"/>
      <c r="B791" s="29"/>
    </row>
    <row r="792" spans="1:2" ht="12.75" customHeight="1">
      <c r="A792" s="29"/>
      <c r="B792" s="29"/>
    </row>
    <row r="793" spans="1:2" ht="12.75" customHeight="1">
      <c r="A793" s="29"/>
      <c r="B793" s="29"/>
    </row>
    <row r="794" spans="1:2" ht="12.75" customHeight="1">
      <c r="A794" s="29"/>
      <c r="B794" s="29"/>
    </row>
    <row r="795" spans="1:2" ht="12.75" customHeight="1">
      <c r="A795" s="29"/>
      <c r="B795" s="29"/>
    </row>
    <row r="796" spans="1:2" ht="12.75" customHeight="1">
      <c r="A796" s="29"/>
      <c r="B796" s="29"/>
    </row>
    <row r="797" spans="1:2" ht="12.75" customHeight="1">
      <c r="A797" s="29"/>
      <c r="B797" s="29"/>
    </row>
    <row r="798" spans="1:2" ht="12.75" customHeight="1">
      <c r="A798" s="29"/>
      <c r="B798" s="29"/>
    </row>
    <row r="799" spans="1:2" ht="12.75" customHeight="1">
      <c r="A799" s="29"/>
      <c r="B799" s="29"/>
    </row>
    <row r="800" spans="1:2" ht="12.75" customHeight="1">
      <c r="A800" s="29"/>
      <c r="B800" s="29"/>
    </row>
    <row r="801" spans="1:2" ht="12.75" customHeight="1">
      <c r="A801" s="29"/>
      <c r="B801" s="29"/>
    </row>
    <row r="802" spans="1:2" ht="12.75" customHeight="1">
      <c r="A802" s="29"/>
      <c r="B802" s="29"/>
    </row>
    <row r="803" spans="1:2" ht="12.75" customHeight="1">
      <c r="A803" s="29"/>
      <c r="B803" s="29"/>
    </row>
    <row r="804" spans="1:2" ht="12.75" customHeight="1">
      <c r="A804" s="29"/>
      <c r="B804" s="29"/>
    </row>
    <row r="805" spans="1:2" ht="12.75" customHeight="1">
      <c r="A805" s="29"/>
      <c r="B805" s="29"/>
    </row>
    <row r="806" spans="1:2" ht="12.75" customHeight="1">
      <c r="A806" s="29"/>
      <c r="B806" s="29"/>
    </row>
    <row r="807" spans="1:2" ht="12.75" customHeight="1">
      <c r="A807" s="29"/>
      <c r="B807" s="29"/>
    </row>
    <row r="808" spans="1:2" ht="12.75" customHeight="1">
      <c r="A808" s="29"/>
      <c r="B808" s="29"/>
    </row>
    <row r="809" spans="1:2" ht="12.75" customHeight="1">
      <c r="A809" s="29"/>
      <c r="B809" s="29"/>
    </row>
    <row r="810" spans="1:2" ht="12.75" customHeight="1">
      <c r="A810" s="29"/>
      <c r="B810" s="29"/>
    </row>
    <row r="811" spans="1:2" ht="12.75" customHeight="1">
      <c r="A811" s="29"/>
      <c r="B811" s="29"/>
    </row>
    <row r="812" spans="1:2" ht="12.75" customHeight="1">
      <c r="A812" s="29"/>
      <c r="B812" s="29"/>
    </row>
    <row r="813" spans="1:2" ht="12.75" customHeight="1">
      <c r="A813" s="29"/>
      <c r="B813" s="29"/>
    </row>
    <row r="814" spans="1:2" ht="12.75" customHeight="1">
      <c r="A814" s="29"/>
      <c r="B814" s="29"/>
    </row>
    <row r="815" spans="1:2" ht="12.75" customHeight="1">
      <c r="A815" s="29"/>
      <c r="B815" s="29"/>
    </row>
    <row r="816" spans="1:2" ht="12.75" customHeight="1">
      <c r="A816" s="29"/>
      <c r="B816" s="29"/>
    </row>
    <row r="817" spans="1:2" ht="12.75" customHeight="1">
      <c r="A817" s="29"/>
      <c r="B817" s="29"/>
    </row>
    <row r="818" spans="1:2" ht="12.75" customHeight="1">
      <c r="A818" s="29"/>
      <c r="B818" s="29"/>
    </row>
    <row r="819" spans="1:2" ht="12.75" customHeight="1">
      <c r="A819" s="29"/>
      <c r="B819" s="29"/>
    </row>
    <row r="820" spans="1:2" ht="12.75" customHeight="1">
      <c r="A820" s="29"/>
      <c r="B820" s="29"/>
    </row>
    <row r="821" spans="1:2" ht="12.75" customHeight="1">
      <c r="A821" s="29"/>
      <c r="B821" s="29"/>
    </row>
    <row r="822" spans="1:2" ht="12.75" customHeight="1">
      <c r="A822" s="29"/>
      <c r="B822" s="29"/>
    </row>
    <row r="823" spans="1:2" ht="12.75" customHeight="1">
      <c r="A823" s="29"/>
      <c r="B823" s="29"/>
    </row>
    <row r="824" spans="1:2" ht="12.75" customHeight="1">
      <c r="A824" s="29"/>
      <c r="B824" s="29"/>
    </row>
    <row r="825" spans="1:2" ht="12.75" customHeight="1">
      <c r="A825" s="29"/>
      <c r="B825" s="29"/>
    </row>
    <row r="826" spans="1:2" ht="12.75" customHeight="1">
      <c r="A826" s="29"/>
      <c r="B826" s="29"/>
    </row>
    <row r="827" spans="1:2" ht="12.75" customHeight="1">
      <c r="A827" s="29"/>
      <c r="B827" s="29"/>
    </row>
    <row r="828" spans="1:2" ht="12.75" customHeight="1">
      <c r="A828" s="29"/>
      <c r="B828" s="29"/>
    </row>
    <row r="829" spans="1:2" ht="12.75" customHeight="1">
      <c r="A829" s="29"/>
      <c r="B829" s="29"/>
    </row>
    <row r="830" spans="1:2" ht="12.75" customHeight="1">
      <c r="A830" s="29"/>
      <c r="B830" s="29"/>
    </row>
    <row r="831" spans="1:2" ht="12.75" customHeight="1">
      <c r="A831" s="29"/>
      <c r="B831" s="29"/>
    </row>
    <row r="832" spans="1:2" ht="12.75" customHeight="1">
      <c r="A832" s="29"/>
      <c r="B832" s="29"/>
    </row>
    <row r="833" spans="1:2" ht="12.75" customHeight="1">
      <c r="A833" s="29"/>
      <c r="B833" s="29"/>
    </row>
    <row r="834" spans="1:2" ht="12.75" customHeight="1">
      <c r="A834" s="29"/>
      <c r="B834" s="29"/>
    </row>
    <row r="835" spans="1:2" ht="12.75" customHeight="1">
      <c r="A835" s="29"/>
      <c r="B835" s="29"/>
    </row>
    <row r="836" spans="1:2" ht="12.75" customHeight="1">
      <c r="A836" s="29"/>
      <c r="B836" s="29"/>
    </row>
    <row r="837" spans="1:2" ht="12.75" customHeight="1">
      <c r="A837" s="29"/>
      <c r="B837" s="29"/>
    </row>
    <row r="838" spans="1:2" ht="12.75" customHeight="1">
      <c r="A838" s="29"/>
      <c r="B838" s="29"/>
    </row>
    <row r="839" spans="1:2" ht="12.75" customHeight="1">
      <c r="A839" s="29"/>
      <c r="B839" s="29"/>
    </row>
    <row r="840" spans="1:2" ht="12.75" customHeight="1">
      <c r="A840" s="29"/>
      <c r="B840" s="29"/>
    </row>
    <row r="841" spans="1:2" ht="12.75" customHeight="1">
      <c r="A841" s="29"/>
      <c r="B841" s="29"/>
    </row>
    <row r="842" spans="1:2" ht="12.75" customHeight="1">
      <c r="A842" s="29"/>
      <c r="B842" s="29"/>
    </row>
    <row r="843" spans="1:2" ht="12.75" customHeight="1">
      <c r="A843" s="29"/>
      <c r="B843" s="29"/>
    </row>
    <row r="844" spans="1:2" ht="12.75" customHeight="1">
      <c r="A844" s="29"/>
      <c r="B844" s="29"/>
    </row>
    <row r="845" spans="1:2" ht="12.75" customHeight="1">
      <c r="A845" s="29"/>
      <c r="B845" s="29"/>
    </row>
    <row r="846" spans="1:2" ht="12.75" customHeight="1">
      <c r="A846" s="29"/>
      <c r="B846" s="29"/>
    </row>
    <row r="847" spans="1:2" ht="12.75" customHeight="1">
      <c r="A847" s="29"/>
      <c r="B847" s="29"/>
    </row>
    <row r="848" spans="1:2" ht="12.75" customHeight="1">
      <c r="A848" s="29"/>
      <c r="B848" s="29"/>
    </row>
    <row r="849" spans="1:2" ht="12.75" customHeight="1">
      <c r="A849" s="29"/>
      <c r="B849" s="29"/>
    </row>
    <row r="850" spans="1:2" ht="12.75" customHeight="1">
      <c r="A850" s="29"/>
      <c r="B850" s="29"/>
    </row>
    <row r="851" spans="1:2" ht="12.75" customHeight="1">
      <c r="A851" s="29"/>
      <c r="B851" s="29"/>
    </row>
    <row r="852" spans="1:2" ht="12.75" customHeight="1">
      <c r="A852" s="29"/>
      <c r="B852" s="29"/>
    </row>
    <row r="853" spans="1:2" ht="12.75" customHeight="1">
      <c r="A853" s="29"/>
      <c r="B853" s="29"/>
    </row>
    <row r="854" spans="1:2" ht="12.75" customHeight="1">
      <c r="A854" s="29"/>
      <c r="B854" s="29"/>
    </row>
    <row r="855" spans="1:2" ht="12.75" customHeight="1">
      <c r="A855" s="29"/>
      <c r="B855" s="29"/>
    </row>
    <row r="856" spans="1:2" ht="12.75" customHeight="1">
      <c r="A856" s="29"/>
      <c r="B856" s="29"/>
    </row>
    <row r="857" spans="1:2" ht="12.75" customHeight="1">
      <c r="A857" s="29"/>
      <c r="B857" s="29"/>
    </row>
    <row r="858" spans="1:2" ht="12.75" customHeight="1">
      <c r="A858" s="29"/>
      <c r="B858" s="29"/>
    </row>
    <row r="859" spans="1:2" ht="12.75" customHeight="1">
      <c r="A859" s="29"/>
      <c r="B859" s="29"/>
    </row>
    <row r="860" spans="1:2" ht="12.75" customHeight="1">
      <c r="A860" s="29"/>
      <c r="B860" s="29"/>
    </row>
    <row r="861" spans="1:2" ht="12.75" customHeight="1">
      <c r="A861" s="29"/>
      <c r="B861" s="29"/>
    </row>
    <row r="862" spans="1:2" ht="12.75" customHeight="1">
      <c r="A862" s="29"/>
      <c r="B862" s="29"/>
    </row>
    <row r="863" spans="1:2" ht="12.75" customHeight="1">
      <c r="A863" s="29"/>
      <c r="B863" s="29"/>
    </row>
    <row r="864" spans="1:2" ht="12.75" customHeight="1">
      <c r="A864" s="29"/>
      <c r="B864" s="29"/>
    </row>
    <row r="865" spans="1:2" ht="12.75" customHeight="1">
      <c r="A865" s="29"/>
      <c r="B865" s="29"/>
    </row>
    <row r="866" spans="1:2" ht="12.75" customHeight="1">
      <c r="A866" s="29"/>
      <c r="B866" s="29"/>
    </row>
    <row r="867" spans="1:2" ht="12.75" customHeight="1">
      <c r="A867" s="29"/>
      <c r="B867" s="29"/>
    </row>
    <row r="868" spans="1:2" ht="12.75" customHeight="1">
      <c r="A868" s="29"/>
      <c r="B868" s="29"/>
    </row>
    <row r="869" spans="1:2" ht="12.75" customHeight="1">
      <c r="A869" s="29"/>
      <c r="B869" s="29"/>
    </row>
    <row r="870" spans="1:2" ht="12.75" customHeight="1">
      <c r="A870" s="29"/>
      <c r="B870" s="29"/>
    </row>
    <row r="871" spans="1:2" ht="12.75" customHeight="1">
      <c r="A871" s="29"/>
      <c r="B871" s="29"/>
    </row>
    <row r="872" spans="1:2" ht="12.75" customHeight="1">
      <c r="A872" s="29"/>
      <c r="B872" s="29"/>
    </row>
    <row r="873" spans="1:2" ht="12.75" customHeight="1">
      <c r="A873" s="29"/>
      <c r="B873" s="29"/>
    </row>
    <row r="874" spans="1:2" ht="12.75" customHeight="1">
      <c r="A874" s="29"/>
      <c r="B874" s="29"/>
    </row>
    <row r="875" spans="1:2" ht="12.75" customHeight="1">
      <c r="A875" s="29"/>
      <c r="B875" s="29"/>
    </row>
    <row r="876" spans="1:2" ht="12.75" customHeight="1">
      <c r="A876" s="29"/>
      <c r="B876" s="29"/>
    </row>
    <row r="877" spans="1:2" ht="12.75" customHeight="1">
      <c r="A877" s="29"/>
      <c r="B877" s="29"/>
    </row>
    <row r="878" spans="1:2" ht="12.75" customHeight="1">
      <c r="A878" s="29"/>
      <c r="B878" s="29"/>
    </row>
    <row r="879" spans="1:2" ht="12.75" customHeight="1">
      <c r="A879" s="29"/>
      <c r="B879" s="29"/>
    </row>
    <row r="880" spans="1:2" ht="12.75" customHeight="1">
      <c r="A880" s="29"/>
      <c r="B880" s="29"/>
    </row>
    <row r="881" spans="1:2" ht="12.75" customHeight="1">
      <c r="A881" s="29"/>
      <c r="B881" s="29"/>
    </row>
    <row r="882" spans="1:2" ht="12.75" customHeight="1">
      <c r="A882" s="29"/>
      <c r="B882" s="29"/>
    </row>
    <row r="883" spans="1:2" ht="12.75" customHeight="1">
      <c r="A883" s="29"/>
      <c r="B883" s="29"/>
    </row>
    <row r="884" spans="1:2" ht="12.75" customHeight="1">
      <c r="A884" s="29"/>
      <c r="B884" s="29"/>
    </row>
    <row r="885" spans="1:2" ht="12.75" customHeight="1">
      <c r="A885" s="29"/>
      <c r="B885" s="29"/>
    </row>
    <row r="886" spans="1:2" ht="12.75" customHeight="1">
      <c r="A886" s="29"/>
      <c r="B886" s="29"/>
    </row>
    <row r="887" spans="1:2" ht="12.75" customHeight="1">
      <c r="A887" s="29"/>
      <c r="B887" s="29"/>
    </row>
    <row r="888" spans="1:2" ht="12.75" customHeight="1">
      <c r="A888" s="29"/>
      <c r="B888" s="29"/>
    </row>
    <row r="889" spans="1:2" ht="12.75" customHeight="1">
      <c r="A889" s="29"/>
      <c r="B889" s="29"/>
    </row>
    <row r="890" spans="1:2" ht="12.75" customHeight="1">
      <c r="A890" s="29"/>
      <c r="B890" s="29"/>
    </row>
    <row r="891" spans="1:2" ht="12.75" customHeight="1">
      <c r="A891" s="29"/>
      <c r="B891" s="29"/>
    </row>
    <row r="892" spans="1:2" ht="12.75" customHeight="1">
      <c r="A892" s="29"/>
      <c r="B892" s="29"/>
    </row>
    <row r="893" spans="1:2" ht="12.75" customHeight="1">
      <c r="A893" s="29"/>
      <c r="B893" s="29"/>
    </row>
    <row r="894" spans="1:2" ht="12.75" customHeight="1">
      <c r="A894" s="29"/>
      <c r="B894" s="29"/>
    </row>
    <row r="895" spans="1:2" ht="12.75" customHeight="1">
      <c r="A895" s="29"/>
      <c r="B895" s="29"/>
    </row>
    <row r="896" spans="1:2" ht="12.75" customHeight="1">
      <c r="A896" s="29"/>
      <c r="B896" s="29"/>
    </row>
    <row r="897" spans="1:2" ht="12.75" customHeight="1">
      <c r="A897" s="29"/>
      <c r="B897" s="29"/>
    </row>
    <row r="898" spans="1:2" ht="12.75" customHeight="1">
      <c r="A898" s="29"/>
      <c r="B898" s="29"/>
    </row>
    <row r="899" spans="1:2" ht="12.75" customHeight="1">
      <c r="A899" s="29"/>
      <c r="B899" s="29"/>
    </row>
    <row r="900" spans="1:2" ht="12.75" customHeight="1">
      <c r="A900" s="29"/>
      <c r="B900" s="29"/>
    </row>
    <row r="901" spans="1:2" ht="12.75" customHeight="1">
      <c r="A901" s="29"/>
      <c r="B901" s="29"/>
    </row>
    <row r="902" spans="1:2" ht="12.75" customHeight="1">
      <c r="A902" s="29"/>
      <c r="B902" s="29"/>
    </row>
    <row r="903" spans="1:2" ht="12.75" customHeight="1">
      <c r="A903" s="29"/>
      <c r="B903" s="29"/>
    </row>
    <row r="904" spans="1:2" ht="12.75" customHeight="1">
      <c r="A904" s="29"/>
      <c r="B904" s="29"/>
    </row>
    <row r="905" spans="1:2" ht="12.75" customHeight="1">
      <c r="A905" s="29"/>
      <c r="B905" s="29"/>
    </row>
    <row r="906" spans="1:2" ht="12.75" customHeight="1">
      <c r="A906" s="29"/>
      <c r="B906" s="29"/>
    </row>
    <row r="907" spans="1:2" ht="12.75" customHeight="1">
      <c r="A907" s="29"/>
      <c r="B907" s="29"/>
    </row>
    <row r="908" spans="1:2" ht="12.75" customHeight="1">
      <c r="A908" s="29"/>
      <c r="B908" s="29"/>
    </row>
    <row r="909" spans="1:2" ht="12.75" customHeight="1">
      <c r="A909" s="29"/>
      <c r="B909" s="29"/>
    </row>
    <row r="910" spans="1:2" ht="12.75" customHeight="1">
      <c r="A910" s="29"/>
      <c r="B910" s="29"/>
    </row>
    <row r="911" spans="1:2" ht="12.75" customHeight="1">
      <c r="A911" s="29"/>
      <c r="B911" s="29"/>
    </row>
    <row r="912" spans="1:2" ht="12.75" customHeight="1">
      <c r="A912" s="29"/>
      <c r="B912" s="29"/>
    </row>
    <row r="913" spans="1:2" ht="12.75" customHeight="1">
      <c r="A913" s="29"/>
      <c r="B913" s="29"/>
    </row>
    <row r="914" spans="1:2" ht="12.75" customHeight="1">
      <c r="A914" s="29"/>
      <c r="B914" s="29"/>
    </row>
    <row r="915" spans="1:2" ht="12.75" customHeight="1">
      <c r="A915" s="29"/>
      <c r="B915" s="29"/>
    </row>
    <row r="916" spans="1:2" ht="12.75" customHeight="1">
      <c r="A916" s="29"/>
      <c r="B916" s="29"/>
    </row>
    <row r="917" spans="1:2" ht="12.75" customHeight="1">
      <c r="A917" s="29"/>
      <c r="B917" s="29"/>
    </row>
    <row r="918" spans="1:2" ht="12.75" customHeight="1">
      <c r="A918" s="29"/>
      <c r="B918" s="29"/>
    </row>
    <row r="919" spans="1:2" ht="12.75" customHeight="1">
      <c r="A919" s="29"/>
      <c r="B919" s="29"/>
    </row>
    <row r="920" spans="1:2" ht="12.75" customHeight="1">
      <c r="A920" s="29"/>
      <c r="B920" s="29"/>
    </row>
    <row r="921" spans="1:2" ht="12.75" customHeight="1">
      <c r="A921" s="29"/>
      <c r="B921" s="29"/>
    </row>
    <row r="922" spans="1:2" ht="12.75" customHeight="1">
      <c r="A922" s="29"/>
      <c r="B922" s="29"/>
    </row>
    <row r="923" spans="1:2" ht="12.75" customHeight="1">
      <c r="A923" s="29"/>
      <c r="B923" s="29"/>
    </row>
    <row r="924" spans="1:2" ht="12.75" customHeight="1">
      <c r="A924" s="29"/>
      <c r="B924" s="29"/>
    </row>
    <row r="925" spans="1:2" ht="12.75" customHeight="1">
      <c r="A925" s="29"/>
      <c r="B925" s="29"/>
    </row>
    <row r="926" spans="1:2" ht="12.75" customHeight="1">
      <c r="A926" s="29"/>
      <c r="B926" s="29"/>
    </row>
    <row r="927" spans="1:2" ht="12.75" customHeight="1">
      <c r="A927" s="29"/>
      <c r="B927" s="29"/>
    </row>
    <row r="928" spans="1:2" ht="12.75" customHeight="1">
      <c r="A928" s="29"/>
      <c r="B928" s="29"/>
    </row>
    <row r="929" spans="1:2" ht="12.75" customHeight="1">
      <c r="A929" s="29"/>
      <c r="B929" s="29"/>
    </row>
    <row r="930" spans="1:2" ht="12.75" customHeight="1">
      <c r="A930" s="29"/>
      <c r="B930" s="29"/>
    </row>
    <row r="931" spans="1:2" ht="12.75" customHeight="1">
      <c r="A931" s="29"/>
      <c r="B931" s="29"/>
    </row>
    <row r="932" spans="1:2" ht="12.75" customHeight="1">
      <c r="A932" s="29"/>
      <c r="B932" s="29"/>
    </row>
    <row r="933" spans="1:2" ht="12.75" customHeight="1">
      <c r="A933" s="29"/>
      <c r="B933" s="29"/>
    </row>
    <row r="934" spans="1:2" ht="12.75" customHeight="1">
      <c r="A934" s="29"/>
      <c r="B934" s="29"/>
    </row>
    <row r="935" spans="1:2" ht="12.75" customHeight="1">
      <c r="A935" s="29"/>
      <c r="B935" s="29"/>
    </row>
    <row r="936" spans="1:2" ht="12.75" customHeight="1">
      <c r="A936" s="29"/>
      <c r="B936" s="29"/>
    </row>
    <row r="937" spans="1:2" ht="12.75" customHeight="1">
      <c r="A937" s="29"/>
      <c r="B937" s="29"/>
    </row>
    <row r="938" spans="1:2" ht="12.75" customHeight="1">
      <c r="A938" s="29"/>
      <c r="B938" s="29"/>
    </row>
    <row r="939" spans="1:2" ht="12.75" customHeight="1">
      <c r="A939" s="29"/>
      <c r="B939" s="29"/>
    </row>
    <row r="940" spans="1:2" ht="12.75" customHeight="1">
      <c r="A940" s="29"/>
      <c r="B940" s="29"/>
    </row>
    <row r="941" spans="1:2" ht="12.75" customHeight="1">
      <c r="A941" s="29"/>
      <c r="B941" s="29"/>
    </row>
    <row r="942" spans="1:2" ht="12.75" customHeight="1">
      <c r="A942" s="29"/>
      <c r="B942" s="29"/>
    </row>
    <row r="943" spans="1:2" ht="12.75" customHeight="1">
      <c r="A943" s="29"/>
      <c r="B943" s="29"/>
    </row>
    <row r="944" spans="1:2" ht="12.75" customHeight="1">
      <c r="A944" s="29"/>
      <c r="B944" s="29"/>
    </row>
    <row r="945" spans="1:2" ht="12.75" customHeight="1">
      <c r="A945" s="29"/>
      <c r="B945" s="29"/>
    </row>
    <row r="946" spans="1:2" ht="12.75" customHeight="1">
      <c r="A946" s="29"/>
      <c r="B946" s="29"/>
    </row>
    <row r="947" spans="1:2" ht="12.75" customHeight="1">
      <c r="A947" s="29"/>
      <c r="B947" s="29"/>
    </row>
    <row r="948" spans="1:2" ht="12.75" customHeight="1">
      <c r="A948" s="29"/>
      <c r="B948" s="29"/>
    </row>
    <row r="949" spans="1:2" ht="12.75" customHeight="1">
      <c r="A949" s="29"/>
      <c r="B949" s="29"/>
    </row>
    <row r="950" spans="1:2" ht="12.75" customHeight="1">
      <c r="A950" s="29"/>
      <c r="B950" s="29"/>
    </row>
    <row r="951" spans="1:2" ht="12.75" customHeight="1">
      <c r="A951" s="29"/>
      <c r="B951" s="29"/>
    </row>
    <row r="952" spans="1:2" ht="12.75" customHeight="1">
      <c r="A952" s="29"/>
      <c r="B952" s="29"/>
    </row>
    <row r="953" spans="1:2" ht="12.75" customHeight="1">
      <c r="A953" s="29"/>
      <c r="B953" s="29"/>
    </row>
    <row r="954" spans="1:2" ht="12.75" customHeight="1">
      <c r="A954" s="29"/>
      <c r="B954" s="29"/>
    </row>
    <row r="955" spans="1:2" ht="12.75" customHeight="1">
      <c r="A955" s="29"/>
      <c r="B955" s="29"/>
    </row>
    <row r="956" spans="1:2" ht="12.75" customHeight="1">
      <c r="A956" s="29"/>
      <c r="B956" s="29"/>
    </row>
    <row r="957" spans="1:2" ht="12.75" customHeight="1">
      <c r="A957" s="29"/>
      <c r="B957" s="29"/>
    </row>
    <row r="958" spans="1:2" ht="12.75" customHeight="1">
      <c r="A958" s="29"/>
      <c r="B958" s="29"/>
    </row>
    <row r="959" spans="1:2" ht="12.75" customHeight="1">
      <c r="A959" s="29"/>
      <c r="B959" s="29"/>
    </row>
    <row r="960" spans="1:2" ht="12.75" customHeight="1">
      <c r="A960" s="29"/>
      <c r="B960" s="29"/>
    </row>
    <row r="961" spans="1:2" ht="12.75" customHeight="1">
      <c r="A961" s="29"/>
      <c r="B961" s="29"/>
    </row>
    <row r="962" spans="1:2" ht="12.75" customHeight="1">
      <c r="A962" s="29"/>
      <c r="B962" s="29"/>
    </row>
    <row r="963" spans="1:2" ht="12.75" customHeight="1">
      <c r="A963" s="29"/>
      <c r="B963" s="29"/>
    </row>
    <row r="964" spans="1:2" ht="12.75" customHeight="1">
      <c r="A964" s="29"/>
      <c r="B964" s="29"/>
    </row>
    <row r="965" spans="1:2" ht="12.75" customHeight="1">
      <c r="A965" s="29"/>
      <c r="B965" s="29"/>
    </row>
    <row r="966" spans="1:2" ht="12.75" customHeight="1">
      <c r="A966" s="29"/>
      <c r="B966" s="29"/>
    </row>
    <row r="967" spans="1:2" ht="12.75" customHeight="1">
      <c r="A967" s="29"/>
      <c r="B967" s="29"/>
    </row>
    <row r="968" spans="1:2" ht="12.75" customHeight="1">
      <c r="A968" s="29"/>
      <c r="B968" s="29"/>
    </row>
    <row r="969" spans="1:2" ht="12.75" customHeight="1">
      <c r="A969" s="29"/>
      <c r="B969" s="29"/>
    </row>
    <row r="970" spans="1:2" ht="12.75" customHeight="1">
      <c r="A970" s="29"/>
      <c r="B970" s="29"/>
    </row>
    <row r="971" spans="1:2" ht="12.75" customHeight="1">
      <c r="A971" s="29"/>
      <c r="B971" s="29"/>
    </row>
    <row r="972" spans="1:2" ht="12.75" customHeight="1">
      <c r="A972" s="29"/>
      <c r="B972" s="29"/>
    </row>
    <row r="973" spans="1:2" ht="12.75" customHeight="1">
      <c r="A973" s="29"/>
      <c r="B973" s="29"/>
    </row>
    <row r="974" spans="1:2" ht="12.75" customHeight="1">
      <c r="A974" s="29"/>
      <c r="B974" s="29"/>
    </row>
    <row r="975" spans="1:2" ht="12.75" customHeight="1">
      <c r="A975" s="29"/>
      <c r="B975" s="29"/>
    </row>
    <row r="976" spans="1:2" ht="12.75" customHeight="1">
      <c r="A976" s="29"/>
      <c r="B976" s="29"/>
    </row>
    <row r="977" spans="1:2" ht="12.75" customHeight="1">
      <c r="A977" s="29"/>
      <c r="B977" s="29"/>
    </row>
    <row r="978" spans="1:2" ht="12.75" customHeight="1">
      <c r="A978" s="29"/>
      <c r="B978" s="29"/>
    </row>
    <row r="979" spans="1:2" ht="12.75" customHeight="1">
      <c r="A979" s="29"/>
      <c r="B979" s="29"/>
    </row>
    <row r="980" spans="1:2" ht="12.75" customHeight="1">
      <c r="A980" s="29"/>
      <c r="B980" s="29"/>
    </row>
    <row r="981" spans="1:2" ht="12.75" customHeight="1">
      <c r="A981" s="29"/>
      <c r="B981" s="29"/>
    </row>
    <row r="982" spans="1:2" ht="12.75" customHeight="1">
      <c r="A982" s="29"/>
      <c r="B982" s="29"/>
    </row>
    <row r="983" spans="1:2" ht="12.75" customHeight="1">
      <c r="A983" s="29"/>
      <c r="B983" s="29"/>
    </row>
    <row r="984" spans="1:2" ht="12.75" customHeight="1">
      <c r="A984" s="29"/>
      <c r="B984" s="29"/>
    </row>
    <row r="985" spans="1:2" ht="12.75" customHeight="1">
      <c r="A985" s="29"/>
      <c r="B985" s="29"/>
    </row>
    <row r="986" spans="1:2" ht="12.75" customHeight="1">
      <c r="A986" s="29"/>
      <c r="B986" s="29"/>
    </row>
    <row r="987" spans="1:2" ht="12.75" customHeight="1">
      <c r="A987" s="29"/>
      <c r="B987" s="29"/>
    </row>
    <row r="988" spans="1:2" ht="12.75" customHeight="1">
      <c r="A988" s="29"/>
      <c r="B988" s="29"/>
    </row>
    <row r="989" spans="1:2" ht="12.75" customHeight="1">
      <c r="A989" s="29"/>
      <c r="B989" s="29"/>
    </row>
    <row r="990" spans="1:2" ht="12.75" customHeight="1">
      <c r="A990" s="29"/>
      <c r="B990" s="29"/>
    </row>
    <row r="991" spans="1:2" ht="12.75" customHeight="1">
      <c r="A991" s="29"/>
      <c r="B991" s="29"/>
    </row>
    <row r="992" spans="1:2" ht="12.75" customHeight="1">
      <c r="A992" s="29"/>
      <c r="B992" s="29"/>
    </row>
    <row r="993" spans="1:2" ht="12.75" customHeight="1">
      <c r="A993" s="29"/>
      <c r="B993" s="29"/>
    </row>
    <row r="994" spans="1:2" ht="12.75" customHeight="1">
      <c r="A994" s="29"/>
      <c r="B994" s="29"/>
    </row>
    <row r="995" spans="1:2" ht="12.75" customHeight="1">
      <c r="A995" s="29"/>
      <c r="B995" s="29"/>
    </row>
    <row r="996" spans="1:2" ht="12.75" customHeight="1">
      <c r="A996" s="29"/>
      <c r="B996" s="29"/>
    </row>
    <row r="997" spans="1:2" ht="12.75" customHeight="1">
      <c r="A997" s="29"/>
      <c r="B997" s="29"/>
    </row>
    <row r="998" spans="1:2" ht="12.75" customHeight="1">
      <c r="A998" s="29"/>
      <c r="B998" s="29"/>
    </row>
    <row r="999" spans="1:2" ht="12.75" customHeight="1">
      <c r="A999" s="29"/>
      <c r="B999" s="29"/>
    </row>
    <row r="1000" spans="1:2" ht="12.75" customHeight="1">
      <c r="A1000" s="29"/>
      <c r="B1000" s="29"/>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AU1000"/>
  <sheetViews>
    <sheetView showGridLines="0" workbookViewId="0"/>
  </sheetViews>
  <sheetFormatPr baseColWidth="10" defaultColWidth="12.5703125" defaultRowHeight="15" customHeight="1"/>
  <cols>
    <col min="1" max="4" width="5" customWidth="1"/>
    <col min="5" max="6" width="6.42578125" customWidth="1"/>
    <col min="7" max="19" width="5" customWidth="1"/>
    <col min="20" max="28" width="4.5703125" customWidth="1"/>
    <col min="29" max="29" width="5.42578125" customWidth="1"/>
    <col min="30" max="30" width="6.42578125" customWidth="1"/>
    <col min="31" max="32" width="4.42578125" customWidth="1"/>
    <col min="33" max="33" width="5.42578125" customWidth="1"/>
    <col min="34" max="34" width="6.42578125" customWidth="1"/>
    <col min="35" max="36" width="4.42578125" customWidth="1"/>
    <col min="37" max="37" width="5.42578125" customWidth="1"/>
    <col min="38" max="38" width="6.42578125" customWidth="1"/>
    <col min="39" max="40" width="4.42578125" customWidth="1"/>
    <col min="41" max="41" width="5.42578125" customWidth="1"/>
    <col min="42" max="46" width="4.42578125" customWidth="1"/>
    <col min="47" max="47" width="11.42578125" customWidth="1"/>
  </cols>
  <sheetData>
    <row r="1" spans="1:47" ht="12.75" customHeight="1">
      <c r="A1" s="617" t="str">
        <f>CONCATENATE(Read_Me!A1," FS STRUCTURAL EQUIVALENCY SPREADSHEET (SES) ",Read_Me!B1," - COVER SHEET")</f>
        <v>2025 FS STRUCTURAL EQUIVALENCY SPREADSHEET (SES) V1.1 - COVER SHEET</v>
      </c>
      <c r="B1" s="598"/>
      <c r="C1" s="598"/>
      <c r="D1" s="598"/>
      <c r="E1" s="598"/>
      <c r="F1" s="598"/>
      <c r="G1" s="598"/>
      <c r="H1" s="598"/>
      <c r="I1" s="598"/>
      <c r="J1" s="598"/>
      <c r="K1" s="598"/>
      <c r="L1" s="598"/>
      <c r="M1" s="598"/>
      <c r="N1" s="598"/>
      <c r="O1" s="598"/>
      <c r="P1" s="598"/>
      <c r="Q1" s="598"/>
      <c r="R1" s="598"/>
      <c r="S1" s="598"/>
      <c r="T1" s="32"/>
      <c r="U1" s="33"/>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row>
    <row r="2" spans="1:47" ht="12.75" customHeight="1">
      <c r="A2" s="32"/>
      <c r="B2" s="32"/>
      <c r="C2" s="32"/>
      <c r="D2" s="32"/>
      <c r="E2" s="32"/>
      <c r="F2" s="32"/>
      <c r="G2" s="32"/>
      <c r="H2" s="32"/>
      <c r="I2" s="32"/>
      <c r="J2" s="32"/>
      <c r="K2" s="34"/>
      <c r="L2" s="34"/>
      <c r="M2" s="34"/>
      <c r="N2" s="34"/>
      <c r="O2" s="34"/>
      <c r="P2" s="34"/>
      <c r="Q2" s="34"/>
      <c r="R2" s="34"/>
      <c r="S2" s="34"/>
      <c r="T2" s="32"/>
      <c r="U2" s="33"/>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row>
    <row r="3" spans="1:47" ht="12.75" customHeight="1">
      <c r="A3" s="619" t="s">
        <v>43</v>
      </c>
      <c r="B3" s="598"/>
      <c r="C3" s="598"/>
      <c r="D3" s="598"/>
      <c r="E3" s="598"/>
      <c r="F3" s="598"/>
      <c r="G3" s="598"/>
      <c r="H3" s="598"/>
      <c r="I3" s="598"/>
      <c r="J3" s="598"/>
      <c r="K3" s="598"/>
      <c r="L3" s="598"/>
      <c r="M3" s="598"/>
      <c r="N3" s="598"/>
      <c r="O3" s="598"/>
      <c r="P3" s="598"/>
      <c r="Q3" s="598"/>
      <c r="R3" s="598"/>
      <c r="S3" s="598"/>
      <c r="T3" s="32"/>
      <c r="U3" s="33"/>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row>
    <row r="4" spans="1:47" ht="12.75" customHeight="1">
      <c r="A4" s="598"/>
      <c r="B4" s="598"/>
      <c r="C4" s="598"/>
      <c r="D4" s="598"/>
      <c r="E4" s="598"/>
      <c r="F4" s="598"/>
      <c r="G4" s="598"/>
      <c r="H4" s="598"/>
      <c r="I4" s="598"/>
      <c r="J4" s="598"/>
      <c r="K4" s="598"/>
      <c r="L4" s="598"/>
      <c r="M4" s="598"/>
      <c r="N4" s="598"/>
      <c r="O4" s="598"/>
      <c r="P4" s="598"/>
      <c r="Q4" s="598"/>
      <c r="R4" s="598"/>
      <c r="S4" s="598"/>
      <c r="T4" s="32"/>
      <c r="U4" s="33"/>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row>
    <row r="5" spans="1:47" ht="12.75" customHeight="1">
      <c r="A5" s="598"/>
      <c r="B5" s="598"/>
      <c r="C5" s="598"/>
      <c r="D5" s="598"/>
      <c r="E5" s="598"/>
      <c r="F5" s="598"/>
      <c r="G5" s="598"/>
      <c r="H5" s="598"/>
      <c r="I5" s="598"/>
      <c r="J5" s="598"/>
      <c r="K5" s="598"/>
      <c r="L5" s="598"/>
      <c r="M5" s="598"/>
      <c r="N5" s="598"/>
      <c r="O5" s="598"/>
      <c r="P5" s="598"/>
      <c r="Q5" s="598"/>
      <c r="R5" s="598"/>
      <c r="S5" s="598"/>
      <c r="T5" s="32"/>
      <c r="U5" s="33"/>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row>
    <row r="6" spans="1:47" ht="12.75" customHeight="1">
      <c r="A6" s="598"/>
      <c r="B6" s="598"/>
      <c r="C6" s="598"/>
      <c r="D6" s="598"/>
      <c r="E6" s="598"/>
      <c r="F6" s="598"/>
      <c r="G6" s="598"/>
      <c r="H6" s="598"/>
      <c r="I6" s="598"/>
      <c r="J6" s="598"/>
      <c r="K6" s="598"/>
      <c r="L6" s="598"/>
      <c r="M6" s="598"/>
      <c r="N6" s="598"/>
      <c r="O6" s="598"/>
      <c r="P6" s="598"/>
      <c r="Q6" s="598"/>
      <c r="R6" s="598"/>
      <c r="S6" s="598"/>
      <c r="T6" s="32"/>
      <c r="U6" s="33"/>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row>
    <row r="7" spans="1:47" ht="12.75" customHeight="1">
      <c r="A7" s="598"/>
      <c r="B7" s="598"/>
      <c r="C7" s="598"/>
      <c r="D7" s="598"/>
      <c r="E7" s="598"/>
      <c r="F7" s="598"/>
      <c r="G7" s="598"/>
      <c r="H7" s="598"/>
      <c r="I7" s="598"/>
      <c r="J7" s="598"/>
      <c r="K7" s="598"/>
      <c r="L7" s="598"/>
      <c r="M7" s="598"/>
      <c r="N7" s="598"/>
      <c r="O7" s="598"/>
      <c r="P7" s="598"/>
      <c r="Q7" s="598"/>
      <c r="R7" s="598"/>
      <c r="S7" s="598"/>
      <c r="T7" s="32"/>
      <c r="U7" s="33"/>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row>
    <row r="8" spans="1:47" ht="12.75" customHeight="1">
      <c r="A8" s="598"/>
      <c r="B8" s="598"/>
      <c r="C8" s="598"/>
      <c r="D8" s="598"/>
      <c r="E8" s="598"/>
      <c r="F8" s="598"/>
      <c r="G8" s="598"/>
      <c r="H8" s="598"/>
      <c r="I8" s="598"/>
      <c r="J8" s="598"/>
      <c r="K8" s="598"/>
      <c r="L8" s="598"/>
      <c r="M8" s="598"/>
      <c r="N8" s="598"/>
      <c r="O8" s="598"/>
      <c r="P8" s="598"/>
      <c r="Q8" s="598"/>
      <c r="R8" s="598"/>
      <c r="S8" s="598"/>
      <c r="T8" s="32"/>
      <c r="U8" s="33"/>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row>
    <row r="9" spans="1:47" ht="12.75" customHeight="1">
      <c r="A9" s="598"/>
      <c r="B9" s="598"/>
      <c r="C9" s="598"/>
      <c r="D9" s="598"/>
      <c r="E9" s="598"/>
      <c r="F9" s="598"/>
      <c r="G9" s="598"/>
      <c r="H9" s="598"/>
      <c r="I9" s="598"/>
      <c r="J9" s="598"/>
      <c r="K9" s="598"/>
      <c r="L9" s="598"/>
      <c r="M9" s="598"/>
      <c r="N9" s="598"/>
      <c r="O9" s="598"/>
      <c r="P9" s="598"/>
      <c r="Q9" s="598"/>
      <c r="R9" s="598"/>
      <c r="S9" s="598"/>
      <c r="T9" s="32"/>
      <c r="U9" s="33"/>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row>
    <row r="10" spans="1:47" ht="12.75" customHeight="1">
      <c r="A10" s="34"/>
      <c r="B10" s="34"/>
      <c r="C10" s="34"/>
      <c r="D10" s="34"/>
      <c r="E10" s="34"/>
      <c r="F10" s="34"/>
      <c r="G10" s="34"/>
      <c r="H10" s="34"/>
      <c r="I10" s="34"/>
      <c r="J10" s="34"/>
      <c r="K10" s="34"/>
      <c r="L10" s="34"/>
      <c r="M10" s="34"/>
      <c r="N10" s="34"/>
      <c r="O10" s="34"/>
      <c r="P10" s="34"/>
      <c r="Q10" s="34"/>
      <c r="R10" s="34"/>
      <c r="S10" s="34"/>
      <c r="T10" s="32"/>
      <c r="U10" s="33"/>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row>
    <row r="11" spans="1:47" ht="12.75" customHeight="1">
      <c r="A11" s="620" t="s">
        <v>44</v>
      </c>
      <c r="B11" s="598"/>
      <c r="C11" s="598"/>
      <c r="D11" s="598"/>
      <c r="E11" s="598"/>
      <c r="F11" s="598"/>
      <c r="G11" s="598"/>
      <c r="H11" s="598"/>
      <c r="I11" s="598"/>
      <c r="J11" s="598"/>
      <c r="K11" s="598"/>
      <c r="L11" s="598"/>
      <c r="M11" s="598"/>
      <c r="N11" s="598"/>
      <c r="O11" s="598"/>
      <c r="P11" s="598"/>
      <c r="Q11" s="598"/>
      <c r="R11" s="598"/>
      <c r="S11" s="598"/>
      <c r="T11" s="32"/>
      <c r="U11" s="33"/>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row>
    <row r="12" spans="1:47" ht="12.75" customHeight="1">
      <c r="A12" s="598"/>
      <c r="B12" s="598"/>
      <c r="C12" s="598"/>
      <c r="D12" s="598"/>
      <c r="E12" s="598"/>
      <c r="F12" s="598"/>
      <c r="G12" s="598"/>
      <c r="H12" s="598"/>
      <c r="I12" s="598"/>
      <c r="J12" s="598"/>
      <c r="K12" s="598"/>
      <c r="L12" s="598"/>
      <c r="M12" s="598"/>
      <c r="N12" s="598"/>
      <c r="O12" s="598"/>
      <c r="P12" s="598"/>
      <c r="Q12" s="598"/>
      <c r="R12" s="598"/>
      <c r="S12" s="598"/>
      <c r="T12" s="32"/>
      <c r="U12" s="33"/>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row>
    <row r="13" spans="1:47" ht="12.75" customHeight="1">
      <c r="A13" s="34"/>
      <c r="B13" s="34"/>
      <c r="C13" s="34"/>
      <c r="D13" s="34"/>
      <c r="E13" s="34"/>
      <c r="F13" s="34"/>
      <c r="G13" s="34"/>
      <c r="H13" s="34"/>
      <c r="I13" s="34"/>
      <c r="J13" s="34"/>
      <c r="K13" s="34"/>
      <c r="L13" s="34"/>
      <c r="M13" s="34"/>
      <c r="N13" s="34"/>
      <c r="O13" s="34"/>
      <c r="P13" s="34"/>
      <c r="Q13" s="34"/>
      <c r="R13" s="34"/>
      <c r="S13" s="34"/>
      <c r="T13" s="32"/>
      <c r="U13" s="33"/>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row>
    <row r="14" spans="1:47" ht="12.75" customHeight="1">
      <c r="A14" s="34" t="s">
        <v>45</v>
      </c>
      <c r="B14" s="34"/>
      <c r="C14" s="34"/>
      <c r="D14" s="589" t="s">
        <v>46</v>
      </c>
      <c r="E14" s="587"/>
      <c r="F14" s="587"/>
      <c r="G14" s="587"/>
      <c r="H14" s="587"/>
      <c r="I14" s="587"/>
      <c r="J14" s="588"/>
      <c r="K14" s="34" t="s">
        <v>47</v>
      </c>
      <c r="L14" s="34"/>
      <c r="M14" s="34"/>
      <c r="N14" s="34"/>
      <c r="O14" s="589" t="s">
        <v>48</v>
      </c>
      <c r="P14" s="587"/>
      <c r="Q14" s="587"/>
      <c r="R14" s="587"/>
      <c r="S14" s="588"/>
      <c r="T14" s="32"/>
      <c r="U14" s="33"/>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row>
    <row r="15" spans="1:47" ht="12.75" customHeight="1">
      <c r="A15" s="34" t="s">
        <v>49</v>
      </c>
      <c r="B15" s="34"/>
      <c r="C15" s="34"/>
      <c r="D15" s="589" t="s">
        <v>50</v>
      </c>
      <c r="E15" s="587"/>
      <c r="F15" s="587"/>
      <c r="G15" s="587"/>
      <c r="H15" s="587"/>
      <c r="I15" s="587"/>
      <c r="J15" s="588"/>
      <c r="K15" s="34" t="s">
        <v>51</v>
      </c>
      <c r="L15" s="34"/>
      <c r="M15" s="34"/>
      <c r="N15" s="625" t="s">
        <v>52</v>
      </c>
      <c r="O15" s="587"/>
      <c r="P15" s="587"/>
      <c r="Q15" s="587"/>
      <c r="R15" s="587"/>
      <c r="S15" s="588"/>
      <c r="T15" s="32"/>
      <c r="U15" s="33"/>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row>
    <row r="16" spans="1:47" ht="12.75" customHeight="1">
      <c r="A16" s="34" t="s">
        <v>53</v>
      </c>
      <c r="B16" s="34"/>
      <c r="C16" s="34"/>
      <c r="D16" s="589" t="s">
        <v>54</v>
      </c>
      <c r="E16" s="587"/>
      <c r="F16" s="587"/>
      <c r="G16" s="587"/>
      <c r="H16" s="587"/>
      <c r="I16" s="587"/>
      <c r="J16" s="588"/>
      <c r="K16" s="34" t="s">
        <v>51</v>
      </c>
      <c r="L16" s="34"/>
      <c r="M16" s="34"/>
      <c r="N16" s="625" t="s">
        <v>55</v>
      </c>
      <c r="O16" s="587"/>
      <c r="P16" s="587"/>
      <c r="Q16" s="587"/>
      <c r="R16" s="587"/>
      <c r="S16" s="588"/>
      <c r="T16" s="32"/>
      <c r="U16" s="33"/>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row>
    <row r="17" spans="1:47" ht="12.75" customHeight="1">
      <c r="A17" s="34" t="s">
        <v>56</v>
      </c>
      <c r="B17" s="34"/>
      <c r="C17" s="34"/>
      <c r="D17" s="622" t="s">
        <v>57</v>
      </c>
      <c r="E17" s="587"/>
      <c r="F17" s="587"/>
      <c r="G17" s="587"/>
      <c r="H17" s="587"/>
      <c r="I17" s="587"/>
      <c r="J17" s="588"/>
      <c r="K17" s="34"/>
      <c r="L17" s="34"/>
      <c r="M17" s="34"/>
      <c r="N17" s="34"/>
      <c r="O17" s="34"/>
      <c r="P17" s="34"/>
      <c r="Q17" s="34"/>
      <c r="R17" s="34"/>
      <c r="S17" s="34"/>
      <c r="T17" s="586" t="s">
        <v>58</v>
      </c>
      <c r="U17" s="587"/>
      <c r="V17" s="587"/>
      <c r="W17" s="587"/>
      <c r="X17" s="587"/>
      <c r="Y17" s="587"/>
      <c r="Z17" s="587"/>
      <c r="AA17" s="587"/>
      <c r="AB17" s="588"/>
      <c r="AC17" s="586" t="s">
        <v>59</v>
      </c>
      <c r="AD17" s="587"/>
      <c r="AE17" s="587"/>
      <c r="AF17" s="588"/>
      <c r="AG17" s="586" t="s">
        <v>60</v>
      </c>
      <c r="AH17" s="587"/>
      <c r="AI17" s="587"/>
      <c r="AJ17" s="588"/>
      <c r="AK17" s="586" t="s">
        <v>61</v>
      </c>
      <c r="AL17" s="587"/>
      <c r="AM17" s="587"/>
      <c r="AN17" s="588"/>
      <c r="AO17" s="586" t="s">
        <v>62</v>
      </c>
      <c r="AP17" s="587"/>
      <c r="AQ17" s="587"/>
      <c r="AR17" s="587"/>
      <c r="AS17" s="587"/>
      <c r="AT17" s="588"/>
      <c r="AU17" s="34"/>
    </row>
    <row r="18" spans="1:47" ht="12.75" customHeight="1">
      <c r="A18" s="36" t="s">
        <v>63</v>
      </c>
      <c r="B18" s="37"/>
      <c r="C18" s="37"/>
      <c r="D18" s="37"/>
      <c r="E18" s="37"/>
      <c r="F18" s="37"/>
      <c r="G18" s="37"/>
      <c r="H18" s="37"/>
      <c r="I18" s="37"/>
      <c r="J18" s="37"/>
      <c r="K18" s="37"/>
      <c r="L18" s="37"/>
      <c r="M18" s="37"/>
      <c r="N18" s="37"/>
      <c r="O18" s="37"/>
      <c r="P18" s="37"/>
      <c r="Q18" s="37"/>
      <c r="R18" s="37"/>
      <c r="S18" s="38"/>
      <c r="T18" s="590" t="s">
        <v>64</v>
      </c>
      <c r="U18" s="593" t="s">
        <v>65</v>
      </c>
      <c r="V18" s="593" t="s">
        <v>66</v>
      </c>
      <c r="W18" s="593" t="s">
        <v>67</v>
      </c>
      <c r="X18" s="593" t="s">
        <v>68</v>
      </c>
      <c r="Y18" s="593" t="s">
        <v>69</v>
      </c>
      <c r="Z18" s="590" t="s">
        <v>70</v>
      </c>
      <c r="AA18" s="590" t="s">
        <v>71</v>
      </c>
      <c r="AB18" s="590" t="s">
        <v>72</v>
      </c>
      <c r="AC18" s="593" t="s">
        <v>73</v>
      </c>
      <c r="AD18" s="593" t="s">
        <v>74</v>
      </c>
      <c r="AE18" s="593" t="s">
        <v>75</v>
      </c>
      <c r="AF18" s="593" t="s">
        <v>76</v>
      </c>
      <c r="AG18" s="593" t="s">
        <v>73</v>
      </c>
      <c r="AH18" s="593" t="s">
        <v>74</v>
      </c>
      <c r="AI18" s="590" t="s">
        <v>75</v>
      </c>
      <c r="AJ18" s="593" t="s">
        <v>76</v>
      </c>
      <c r="AK18" s="593" t="s">
        <v>73</v>
      </c>
      <c r="AL18" s="593" t="s">
        <v>74</v>
      </c>
      <c r="AM18" s="590" t="s">
        <v>75</v>
      </c>
      <c r="AN18" s="593" t="s">
        <v>76</v>
      </c>
      <c r="AO18" s="603" t="s">
        <v>77</v>
      </c>
      <c r="AP18" s="603" t="s">
        <v>78</v>
      </c>
      <c r="AQ18" s="603" t="s">
        <v>79</v>
      </c>
      <c r="AR18" s="603" t="s">
        <v>80</v>
      </c>
      <c r="AS18" s="603" t="s">
        <v>81</v>
      </c>
      <c r="AT18" s="603" t="s">
        <v>82</v>
      </c>
      <c r="AU18" s="34"/>
    </row>
    <row r="19" spans="1:47" ht="12.75" customHeight="1">
      <c r="A19" s="621" t="str">
        <f>IF(COUNTIF(A24:B47,"NO")&gt;0,"Yes. Chassis deviates from baseline requirements","No. Chassis does not deviate from baseline requirements")</f>
        <v>Yes. Chassis deviates from baseline requirements</v>
      </c>
      <c r="B19" s="587"/>
      <c r="C19" s="587"/>
      <c r="D19" s="587"/>
      <c r="E19" s="587"/>
      <c r="F19" s="587"/>
      <c r="G19" s="587"/>
      <c r="H19" s="587"/>
      <c r="I19" s="587"/>
      <c r="J19" s="587"/>
      <c r="K19" s="587"/>
      <c r="L19" s="587"/>
      <c r="M19" s="587"/>
      <c r="N19" s="587"/>
      <c r="O19" s="587"/>
      <c r="P19" s="587"/>
      <c r="Q19" s="587"/>
      <c r="R19" s="587"/>
      <c r="S19" s="588"/>
      <c r="T19" s="591"/>
      <c r="U19" s="591"/>
      <c r="V19" s="591"/>
      <c r="W19" s="591"/>
      <c r="X19" s="591"/>
      <c r="Y19" s="591"/>
      <c r="Z19" s="591"/>
      <c r="AA19" s="591"/>
      <c r="AB19" s="591"/>
      <c r="AC19" s="591"/>
      <c r="AD19" s="591"/>
      <c r="AE19" s="591"/>
      <c r="AF19" s="591"/>
      <c r="AG19" s="591"/>
      <c r="AH19" s="591"/>
      <c r="AI19" s="591"/>
      <c r="AJ19" s="591"/>
      <c r="AK19" s="591"/>
      <c r="AL19" s="591"/>
      <c r="AM19" s="591"/>
      <c r="AN19" s="591"/>
      <c r="AO19" s="591"/>
      <c r="AP19" s="591"/>
      <c r="AQ19" s="591"/>
      <c r="AR19" s="591"/>
      <c r="AS19" s="591"/>
      <c r="AT19" s="591"/>
      <c r="AU19" s="34"/>
    </row>
    <row r="20" spans="1:47" ht="12.75" customHeight="1">
      <c r="A20" s="34"/>
      <c r="B20" s="34"/>
      <c r="C20" s="34"/>
      <c r="D20" s="34"/>
      <c r="E20" s="34"/>
      <c r="F20" s="34"/>
      <c r="G20" s="34"/>
      <c r="H20" s="34"/>
      <c r="I20" s="34"/>
      <c r="J20" s="34"/>
      <c r="K20" s="34"/>
      <c r="L20" s="34"/>
      <c r="M20" s="34"/>
      <c r="N20" s="34"/>
      <c r="O20" s="34"/>
      <c r="P20" s="34"/>
      <c r="Q20" s="34"/>
      <c r="R20" s="34"/>
      <c r="S20" s="34"/>
      <c r="T20" s="591"/>
      <c r="U20" s="591"/>
      <c r="V20" s="591"/>
      <c r="W20" s="591"/>
      <c r="X20" s="591"/>
      <c r="Y20" s="591"/>
      <c r="Z20" s="591"/>
      <c r="AA20" s="591"/>
      <c r="AB20" s="591"/>
      <c r="AC20" s="591"/>
      <c r="AD20" s="591"/>
      <c r="AE20" s="591"/>
      <c r="AF20" s="591"/>
      <c r="AG20" s="591"/>
      <c r="AH20" s="591"/>
      <c r="AI20" s="591"/>
      <c r="AJ20" s="591"/>
      <c r="AK20" s="591"/>
      <c r="AL20" s="591"/>
      <c r="AM20" s="591"/>
      <c r="AN20" s="591"/>
      <c r="AO20" s="591"/>
      <c r="AP20" s="591"/>
      <c r="AQ20" s="591"/>
      <c r="AR20" s="591"/>
      <c r="AS20" s="591"/>
      <c r="AT20" s="591"/>
      <c r="AU20" s="34"/>
    </row>
    <row r="21" spans="1:47" ht="12.75" customHeight="1">
      <c r="A21" s="623" t="s">
        <v>83</v>
      </c>
      <c r="B21" s="596"/>
      <c r="C21" s="623" t="s">
        <v>84</v>
      </c>
      <c r="D21" s="595"/>
      <c r="E21" s="594" t="s">
        <v>85</v>
      </c>
      <c r="F21" s="596"/>
      <c r="G21" s="624" t="s">
        <v>86</v>
      </c>
      <c r="H21" s="595"/>
      <c r="I21" s="595"/>
      <c r="J21" s="595"/>
      <c r="K21" s="595"/>
      <c r="L21" s="595"/>
      <c r="M21" s="595"/>
      <c r="N21" s="596"/>
      <c r="O21" s="594" t="s">
        <v>87</v>
      </c>
      <c r="P21" s="595"/>
      <c r="Q21" s="595"/>
      <c r="R21" s="595"/>
      <c r="S21" s="596"/>
      <c r="T21" s="591"/>
      <c r="U21" s="591"/>
      <c r="V21" s="591"/>
      <c r="W21" s="591"/>
      <c r="X21" s="591"/>
      <c r="Y21" s="591"/>
      <c r="Z21" s="591"/>
      <c r="AA21" s="591"/>
      <c r="AB21" s="591"/>
      <c r="AC21" s="591"/>
      <c r="AD21" s="591"/>
      <c r="AE21" s="591"/>
      <c r="AF21" s="591"/>
      <c r="AG21" s="591"/>
      <c r="AH21" s="591"/>
      <c r="AI21" s="591"/>
      <c r="AJ21" s="591"/>
      <c r="AK21" s="591"/>
      <c r="AL21" s="591"/>
      <c r="AM21" s="591"/>
      <c r="AN21" s="591"/>
      <c r="AO21" s="591"/>
      <c r="AP21" s="591"/>
      <c r="AQ21" s="591"/>
      <c r="AR21" s="591"/>
      <c r="AS21" s="591"/>
      <c r="AT21" s="591"/>
      <c r="AU21" s="34"/>
    </row>
    <row r="22" spans="1:47" ht="12.75" customHeight="1">
      <c r="A22" s="597"/>
      <c r="B22" s="599"/>
      <c r="C22" s="597"/>
      <c r="D22" s="598"/>
      <c r="E22" s="597"/>
      <c r="F22" s="599"/>
      <c r="G22" s="597"/>
      <c r="H22" s="598"/>
      <c r="I22" s="598"/>
      <c r="J22" s="598"/>
      <c r="K22" s="598"/>
      <c r="L22" s="598"/>
      <c r="M22" s="598"/>
      <c r="N22" s="599"/>
      <c r="O22" s="597"/>
      <c r="P22" s="598"/>
      <c r="Q22" s="598"/>
      <c r="R22" s="598"/>
      <c r="S22" s="599"/>
      <c r="T22" s="591"/>
      <c r="U22" s="591"/>
      <c r="V22" s="591"/>
      <c r="W22" s="591"/>
      <c r="X22" s="591"/>
      <c r="Y22" s="591"/>
      <c r="Z22" s="591"/>
      <c r="AA22" s="591"/>
      <c r="AB22" s="591"/>
      <c r="AC22" s="591"/>
      <c r="AD22" s="591"/>
      <c r="AE22" s="591"/>
      <c r="AF22" s="591"/>
      <c r="AG22" s="591"/>
      <c r="AH22" s="591"/>
      <c r="AI22" s="591"/>
      <c r="AJ22" s="591"/>
      <c r="AK22" s="591"/>
      <c r="AL22" s="591"/>
      <c r="AM22" s="591"/>
      <c r="AN22" s="591"/>
      <c r="AO22" s="591"/>
      <c r="AP22" s="591"/>
      <c r="AQ22" s="591"/>
      <c r="AR22" s="591"/>
      <c r="AS22" s="591"/>
      <c r="AT22" s="591"/>
      <c r="AU22" s="34"/>
    </row>
    <row r="23" spans="1:47" ht="12.75" customHeight="1">
      <c r="A23" s="600"/>
      <c r="B23" s="602"/>
      <c r="C23" s="600"/>
      <c r="D23" s="601"/>
      <c r="E23" s="600"/>
      <c r="F23" s="602"/>
      <c r="G23" s="600"/>
      <c r="H23" s="601"/>
      <c r="I23" s="601"/>
      <c r="J23" s="601"/>
      <c r="K23" s="601"/>
      <c r="L23" s="601"/>
      <c r="M23" s="601"/>
      <c r="N23" s="602"/>
      <c r="O23" s="600"/>
      <c r="P23" s="601"/>
      <c r="Q23" s="601"/>
      <c r="R23" s="601"/>
      <c r="S23" s="602"/>
      <c r="T23" s="592"/>
      <c r="U23" s="592"/>
      <c r="V23" s="592"/>
      <c r="W23" s="592"/>
      <c r="X23" s="592"/>
      <c r="Y23" s="592"/>
      <c r="Z23" s="592"/>
      <c r="AA23" s="592"/>
      <c r="AB23" s="592"/>
      <c r="AC23" s="592"/>
      <c r="AD23" s="592"/>
      <c r="AE23" s="592"/>
      <c r="AF23" s="592"/>
      <c r="AG23" s="592"/>
      <c r="AH23" s="592"/>
      <c r="AI23" s="592"/>
      <c r="AJ23" s="592"/>
      <c r="AK23" s="592"/>
      <c r="AL23" s="592"/>
      <c r="AM23" s="592"/>
      <c r="AN23" s="592"/>
      <c r="AO23" s="592"/>
      <c r="AP23" s="592"/>
      <c r="AQ23" s="592"/>
      <c r="AR23" s="592"/>
      <c r="AS23" s="592"/>
      <c r="AT23" s="592"/>
      <c r="AU23" s="34"/>
    </row>
    <row r="24" spans="1:47" ht="12.75" customHeight="1">
      <c r="A24" s="606" t="str">
        <f>IF(AND('T3.8 Main Hoop Tubing'!D13&gt;='T3.8 Main Hoop Tubing'!C13,'T3.8 Main Hoop Tubing'!D14&gt;='T3.8 Main Hoop Tubing'!C14),"YES","NO")</f>
        <v>NO</v>
      </c>
      <c r="B24" s="588"/>
      <c r="C24" s="606" t="s">
        <v>88</v>
      </c>
      <c r="D24" s="588"/>
      <c r="E24" s="586" t="s">
        <v>89</v>
      </c>
      <c r="F24" s="588"/>
      <c r="G24" s="604" t="s">
        <v>90</v>
      </c>
      <c r="H24" s="598"/>
      <c r="I24" s="598"/>
      <c r="J24" s="598"/>
      <c r="K24" s="598"/>
      <c r="L24" s="598"/>
      <c r="M24" s="598"/>
      <c r="N24" s="598"/>
      <c r="O24" s="605" t="s">
        <v>91</v>
      </c>
      <c r="P24" s="587"/>
      <c r="Q24" s="587"/>
      <c r="R24" s="587"/>
      <c r="S24" s="588"/>
      <c r="T24" s="40">
        <f>IF(A24="no",'T3.8 Main Hoop Tubing'!E20,"NA")</f>
        <v>149.49141481320081</v>
      </c>
      <c r="U24" s="41">
        <f>IF(A24="no",'T3.8 Main Hoop Tubing'!E21,"NA")</f>
        <v>101.4492753623188</v>
      </c>
      <c r="V24" s="41">
        <f>IF(A24="no",'T3.8 Main Hoop Tubing'!E22,"NA")</f>
        <v>101.44927536231882</v>
      </c>
      <c r="W24" s="41">
        <f>IF(A24="no",'T3.8 Main Hoop Tubing'!E23,"NA")</f>
        <v>101.44927536231883</v>
      </c>
      <c r="X24" s="41">
        <f>IF(A24="no",'T3.8 Main Hoop Tubing'!E24,"NA")</f>
        <v>101.44927536231883</v>
      </c>
      <c r="Y24" s="41">
        <f>IF(A24="no",'T3.8 Main Hoop Tubing'!E25,"NA")</f>
        <v>101.44927536231883</v>
      </c>
      <c r="Z24" s="41">
        <f>IF(A24="no",'T3.8 Main Hoop Tubing'!E26,"NA")</f>
        <v>126.5693978751767</v>
      </c>
      <c r="AA24" s="42">
        <f>IF(A24="no",'T3.8 Main Hoop Tubing'!E27,"NA")</f>
        <v>66.893473531544572</v>
      </c>
      <c r="AB24" s="41">
        <f>IF(A24="no",'T3.8 Main Hoop Tubing'!E28,"NA")</f>
        <v>107.16209020098295</v>
      </c>
      <c r="AC24" s="43" t="str">
        <f>'T3.8 Main Hoop Tubing'!D4</f>
        <v>Steel</v>
      </c>
      <c r="AD24" s="43" t="str">
        <f>'T3.8 Main Hoop Tubing'!D5</f>
        <v>Round</v>
      </c>
      <c r="AE24" s="44">
        <f>'T3.8 Main Hoop Tubing'!D13</f>
        <v>30</v>
      </c>
      <c r="AF24" s="45">
        <f>'T3.8 Main Hoop Tubing'!D14</f>
        <v>2</v>
      </c>
      <c r="AG24" s="43"/>
      <c r="AH24" s="43"/>
      <c r="AI24" s="44"/>
      <c r="AJ24" s="45"/>
      <c r="AK24" s="43"/>
      <c r="AL24" s="43"/>
      <c r="AM24" s="44"/>
      <c r="AN24" s="45"/>
      <c r="AO24" s="43"/>
      <c r="AP24" s="43"/>
      <c r="AQ24" s="44"/>
      <c r="AR24" s="44"/>
      <c r="AS24" s="45"/>
      <c r="AT24" s="45"/>
      <c r="AU24" s="34"/>
    </row>
    <row r="25" spans="1:47" ht="12.75" customHeight="1">
      <c r="A25" s="606" t="str">
        <f>IF(AND('T3.9 Front Hoop Tubing'!D4='T3.9 Front Hoop Tubing'!C4,'T3.9 Front Hoop Tubing'!D5='T3.9 Front Hoop Tubing'!C5,'T3.9 Front Hoop Tubing'!D13&gt;='T3.9 Front Hoop Tubing'!C13,'T3.9 Front Hoop Tubing'!D14&gt;='T3.9 Front Hoop Tubing'!C14),"YES","NO")</f>
        <v>NO</v>
      </c>
      <c r="B25" s="588"/>
      <c r="C25" s="606" t="str">
        <f t="shared" ref="C25:C42" si="0">IF(A25="N/A","N/A",IF(A25="YES","NO","YES"))</f>
        <v>YES</v>
      </c>
      <c r="D25" s="588"/>
      <c r="E25" s="586" t="s">
        <v>92</v>
      </c>
      <c r="F25" s="588"/>
      <c r="G25" s="607" t="s">
        <v>93</v>
      </c>
      <c r="H25" s="587"/>
      <c r="I25" s="587"/>
      <c r="J25" s="587"/>
      <c r="K25" s="587"/>
      <c r="L25" s="587"/>
      <c r="M25" s="587"/>
      <c r="N25" s="588"/>
      <c r="O25" s="605" t="s">
        <v>91</v>
      </c>
      <c r="P25" s="587"/>
      <c r="Q25" s="587"/>
      <c r="R25" s="587"/>
      <c r="S25" s="588"/>
      <c r="T25" s="40">
        <f>IF(A25="no",'T3.9 Front Hoop Tubing'!E20,"NA")</f>
        <v>149.49141481320081</v>
      </c>
      <c r="U25" s="41">
        <f>IF(A25="no",'T3.9 Front Hoop Tubing'!E21,"NA")</f>
        <v>101.4492753623188</v>
      </c>
      <c r="V25" s="41">
        <f>IF(A25="no",'T3.9 Front Hoop Tubing'!E22,"NA")</f>
        <v>101.44927536231882</v>
      </c>
      <c r="W25" s="41">
        <f>IF(A25="no",'T3.9 Front Hoop Tubing'!E23,"NA")</f>
        <v>101.44927536231883</v>
      </c>
      <c r="X25" s="41">
        <f>IF(A25="no",'T3.9 Front Hoop Tubing'!E24,"NA")</f>
        <v>101.44927536231883</v>
      </c>
      <c r="Y25" s="41">
        <f>IF(A25="no",'T3.9 Front Hoop Tubing'!E25,"NA")</f>
        <v>101.44927536231883</v>
      </c>
      <c r="Z25" s="41">
        <f>IF(A25="no",'T3.9 Front Hoop Tubing'!E26,"NA")</f>
        <v>126.5693978751767</v>
      </c>
      <c r="AA25" s="42">
        <f>IF(A25="no",'T3.9 Front Hoop Tubing'!E27,"NA")</f>
        <v>66.893473531544572</v>
      </c>
      <c r="AB25" s="41">
        <f>IF(A25="no",'T3.9 Front Hoop Tubing'!E28,"NA")</f>
        <v>107.16209020098295</v>
      </c>
      <c r="AC25" s="43" t="str">
        <f>'T3.9 Front Hoop Tubing'!D4</f>
        <v>Steel</v>
      </c>
      <c r="AD25" s="43" t="str">
        <f>'T3.9 Front Hoop Tubing'!D5</f>
        <v>Round</v>
      </c>
      <c r="AE25" s="44">
        <f>'T3.9 Front Hoop Tubing'!D13</f>
        <v>30</v>
      </c>
      <c r="AF25" s="45">
        <f>'T3.9 Front Hoop Tubing'!D14</f>
        <v>2</v>
      </c>
      <c r="AG25" s="43"/>
      <c r="AH25" s="43"/>
      <c r="AI25" s="44"/>
      <c r="AJ25" s="45"/>
      <c r="AK25" s="43"/>
      <c r="AL25" s="43"/>
      <c r="AM25" s="44"/>
      <c r="AN25" s="45"/>
      <c r="AO25" s="43"/>
      <c r="AP25" s="43"/>
      <c r="AQ25" s="44"/>
      <c r="AR25" s="44"/>
      <c r="AS25" s="45"/>
      <c r="AT25" s="45"/>
      <c r="AU25" s="34"/>
    </row>
    <row r="26" spans="1:47" ht="12.75" customHeight="1">
      <c r="A26" s="606" t="str">
        <f>IF(AND('T3.10 Main Hoop Bracing'!D13&gt;='T3.10 Main Hoop Bracing'!C13,'T3.10 Main Hoop Bracing'!D14&gt;='T3.10 Main Hoop Bracing'!C14,'T3.10 Main Hoop Bracing'!D5='T3.10 Main Hoop Bracing'!C5),"YES","NO")</f>
        <v>NO</v>
      </c>
      <c r="B26" s="588"/>
      <c r="C26" s="606" t="str">
        <f t="shared" si="0"/>
        <v>YES</v>
      </c>
      <c r="D26" s="588"/>
      <c r="E26" s="586" t="s">
        <v>94</v>
      </c>
      <c r="F26" s="588"/>
      <c r="G26" s="607" t="s">
        <v>95</v>
      </c>
      <c r="H26" s="587"/>
      <c r="I26" s="587"/>
      <c r="J26" s="587"/>
      <c r="K26" s="587"/>
      <c r="L26" s="587"/>
      <c r="M26" s="587"/>
      <c r="N26" s="588"/>
      <c r="O26" s="605" t="s">
        <v>91</v>
      </c>
      <c r="P26" s="587"/>
      <c r="Q26" s="587"/>
      <c r="R26" s="587"/>
      <c r="S26" s="588"/>
      <c r="T26" s="40">
        <f>IF(A26="NO",'T3.10 Main Hoop Bracing'!E20,"NA")</f>
        <v>129.24356363810895</v>
      </c>
      <c r="U26" s="41">
        <f>IF(A26="NO",'T3.10 Main Hoop Bracing'!E21,"NA")</f>
        <v>104.38550420168067</v>
      </c>
      <c r="V26" s="41">
        <f>IF(A26="NO",'T3.10 Main Hoop Bracing'!E22,"NA")</f>
        <v>104.38550420168067</v>
      </c>
      <c r="W26" s="41">
        <f>IF(A26="NO",'T3.10 Main Hoop Bracing'!E23,"NA")</f>
        <v>104.38550420168069</v>
      </c>
      <c r="X26" s="41">
        <f>IF(A26="NO",'T3.10 Main Hoop Bracing'!E24,"NA")</f>
        <v>104.38550420168067</v>
      </c>
      <c r="Y26" s="41">
        <f>IF(A26="NO",'T3.10 Main Hoop Bracing'!E25,"NA")</f>
        <v>104.38550420168067</v>
      </c>
      <c r="Z26" s="41">
        <f>IF(A26="NO",'T3.10 Main Hoop Bracing'!E26,"NA")</f>
        <v>117.24237558599884</v>
      </c>
      <c r="AA26" s="42">
        <f>IF(A26="NO",'T3.10 Main Hoop Bracing'!E27,"NA")</f>
        <v>77.373292089041286</v>
      </c>
      <c r="AB26" s="41">
        <f>IF(A26="NO",'T3.10 Main Hoop Bracing'!E28,"NA")</f>
        <v>106.35558356729896</v>
      </c>
      <c r="AC26" s="43" t="str">
        <f>'T3.10 Main Hoop Bracing'!D4</f>
        <v>Steel</v>
      </c>
      <c r="AD26" s="43" t="str">
        <f>'T3.10 Main Hoop Bracing'!D5</f>
        <v>Round</v>
      </c>
      <c r="AE26" s="44">
        <f>'T3.10 Main Hoop Bracing'!D13</f>
        <v>28</v>
      </c>
      <c r="AF26" s="45">
        <f>'T3.10 Main Hoop Bracing'!D14</f>
        <v>1.5</v>
      </c>
      <c r="AG26" s="43"/>
      <c r="AH26" s="43"/>
      <c r="AI26" s="43"/>
      <c r="AJ26" s="43"/>
      <c r="AK26" s="43"/>
      <c r="AL26" s="43"/>
      <c r="AM26" s="43"/>
      <c r="AN26" s="43"/>
      <c r="AO26" s="43"/>
      <c r="AP26" s="43"/>
      <c r="AQ26" s="43"/>
      <c r="AR26" s="43"/>
      <c r="AS26" s="43"/>
      <c r="AT26" s="43"/>
      <c r="AU26" s="34"/>
    </row>
    <row r="27" spans="1:47" ht="12.75" customHeight="1">
      <c r="A27" s="606" t="str">
        <f>IF(NOT('T3.10.5 T3.5 MHoop Brace Spt'!F2="tubing only"),"N/A",IF(AND('T3.10.5 T3.5 MHoop Brace Spt'!E5='T3.10.5 T3.5 MHoop Brace Spt'!C5,'T3.10.5 T3.5 MHoop Brace Spt'!E15&gt;='T3.10.5 T3.5 MHoop Brace Spt'!C15,'T3.10.5 T3.5 MHoop Brace Spt'!E16&gt;='T3.10.5 T3.5 MHoop Brace Spt'!C16),"YES","NO"))</f>
        <v>NO</v>
      </c>
      <c r="B27" s="588"/>
      <c r="C27" s="606" t="str">
        <f t="shared" si="0"/>
        <v>YES</v>
      </c>
      <c r="D27" s="588"/>
      <c r="E27" s="586" t="s">
        <v>96</v>
      </c>
      <c r="F27" s="588"/>
      <c r="G27" s="607" t="s">
        <v>97</v>
      </c>
      <c r="H27" s="587"/>
      <c r="I27" s="587"/>
      <c r="J27" s="587"/>
      <c r="K27" s="587"/>
      <c r="L27" s="587"/>
      <c r="M27" s="587"/>
      <c r="N27" s="588"/>
      <c r="O27" s="605" t="s">
        <v>91</v>
      </c>
      <c r="P27" s="587"/>
      <c r="Q27" s="587"/>
      <c r="R27" s="587"/>
      <c r="S27" s="588"/>
      <c r="T27" s="40">
        <f>IF(A27="NO",'T3.10.5 T3.5 MHoop Brace Spt'!$H$27,"NA")</f>
        <v>114.64807688084528</v>
      </c>
      <c r="U27" s="41">
        <f>IF(A27="NO",'T3.10.5 T3.5 MHoop Brace Spt'!$H$28,"NA")</f>
        <v>121.38429752066116</v>
      </c>
      <c r="V27" s="41">
        <f>IF(A27="NO",'T3.10.5 T3.5 MHoop Brace Spt'!$H$29,"NA")</f>
        <v>121.38429752066116</v>
      </c>
      <c r="W27" s="41">
        <f>IF(A27="NO",'T3.10.5 T3.5 MHoop Brace Spt'!$H$30,"NA")</f>
        <v>121.38429752066116</v>
      </c>
      <c r="X27" s="41">
        <f>IF(A27="NO",'T3.10.5 T3.5 MHoop Brace Spt'!$H$31,"NA")</f>
        <v>121.38429752066116</v>
      </c>
      <c r="Y27" s="41">
        <f>IF(A27="NO",'T3.10.5 T3.5 MHoop Brace Spt'!$H$32,"NA")</f>
        <v>121.38429752066118</v>
      </c>
      <c r="Z27" s="41">
        <f>IF(A27="NO",'T3.10.5 T3.5 MHoop Brace Spt'!$H$33,"NA")</f>
        <v>116.48244611093881</v>
      </c>
      <c r="AA27" s="42">
        <f>IF(A27="NO",'T3.10.5 T3.5 MHoop Brace Spt'!$H$34,"NA")</f>
        <v>87.223443009803674</v>
      </c>
      <c r="AB27" s="41">
        <f>IF(A27="NO",'T3.10.5 T3.5 MHoop Brace Spt'!$H$35,"NA")</f>
        <v>118.3461652487138</v>
      </c>
      <c r="AC27" s="45" t="str">
        <f>IF(A27="N/A","",IF('T3.10.5 T3.5 MHoop Brace Spt'!$F$2="composite only","",'T3.10.5 T3.5 MHoop Brace Spt'!E5))</f>
        <v>Steel</v>
      </c>
      <c r="AD27" s="45" t="str">
        <f>IF(A27="N/A","",IF('T3.10.5 T3.5 MHoop Brace Spt'!$F$2="composite only","",'T3.10.5 T3.5 MHoop Brace Spt'!$E$6))</f>
        <v>Round</v>
      </c>
      <c r="AE27" s="44">
        <f>IF(A27="N/A","",IF('T3.10.5 T3.5 MHoop Brace Spt'!$F$2="composite only","",'T3.10.5 T3.5 MHoop Brace Spt'!$E$15))</f>
        <v>25</v>
      </c>
      <c r="AF27" s="45">
        <f>IF(A27="N/A","",IF('T3.10.5 T3.5 MHoop Brace Spt'!$F$2="composite only","",'T3.10.5 T3.5 MHoop Brace Spt'!$E$16))</f>
        <v>1.5</v>
      </c>
      <c r="AG27" s="43"/>
      <c r="AH27" s="43"/>
      <c r="AI27" s="43"/>
      <c r="AJ27" s="43"/>
      <c r="AK27" s="43"/>
      <c r="AL27" s="43"/>
      <c r="AM27" s="43"/>
      <c r="AN27" s="43"/>
      <c r="AO27" s="43"/>
      <c r="AP27" s="43"/>
      <c r="AQ27" s="43"/>
      <c r="AR27" s="43"/>
      <c r="AS27" s="43"/>
      <c r="AT27" s="43"/>
      <c r="AU27" s="34"/>
    </row>
    <row r="28" spans="1:47" ht="12.75" customHeight="1">
      <c r="A28" s="606" t="str">
        <f>IF('T3.11 T3.5 FHoop Bracing'!F2="tubing only",IF(AND('T3.11 T3.5 FHoop Bracing'!E6='T3.11 T3.5 FHoop Bracing'!C6,'T3.11 T3.5 FHoop Bracing'!E15&gt;='T3.11 T3.5 FHoop Bracing'!C15,'T3.11 T3.5 FHoop Bracing'!E16&gt;='T3.11 T3.5 FHoop Bracing'!C16,'T3.11 T3.5 FHoop Bracing'!E5='T3.11 T3.5 FHoop Bracing'!C5),"YES","NO"),"N/A")</f>
        <v>NO</v>
      </c>
      <c r="B28" s="588"/>
      <c r="C28" s="606" t="str">
        <f t="shared" si="0"/>
        <v>YES</v>
      </c>
      <c r="D28" s="588"/>
      <c r="E28" s="586" t="s">
        <v>98</v>
      </c>
      <c r="F28" s="588"/>
      <c r="G28" s="607" t="s">
        <v>99</v>
      </c>
      <c r="H28" s="587"/>
      <c r="I28" s="587"/>
      <c r="J28" s="587"/>
      <c r="K28" s="587"/>
      <c r="L28" s="587"/>
      <c r="M28" s="587"/>
      <c r="N28" s="588"/>
      <c r="O28" s="605" t="s">
        <v>91</v>
      </c>
      <c r="P28" s="587"/>
      <c r="Q28" s="587"/>
      <c r="R28" s="587"/>
      <c r="S28" s="588"/>
      <c r="T28" s="40">
        <f>IF($A$28="NO",'T3.11 T3.5 FHoop Bracing'!$H$27,"NA")</f>
        <v>129.24356363810895</v>
      </c>
      <c r="U28" s="41">
        <f>IF($A$28="NO",'T3.11 T3.5 FHoop Bracing'!$H$28,"NA")</f>
        <v>104.38550420168067</v>
      </c>
      <c r="V28" s="41">
        <f>IF($A$28="NO",'T3.11 T3.5 FHoop Bracing'!$H$29,"NA")</f>
        <v>104.38550420168067</v>
      </c>
      <c r="W28" s="41">
        <f>IF($A$28="NO",'T3.11 T3.5 FHoop Bracing'!$H$30,"NA")</f>
        <v>104.38550420168069</v>
      </c>
      <c r="X28" s="41">
        <f>IF($A$28="NO",'T3.11 T3.5 FHoop Bracing'!$H$31,"NA")</f>
        <v>104.38550420168067</v>
      </c>
      <c r="Y28" s="41">
        <f>IF($A$28="NO",'T3.11 T3.5 FHoop Bracing'!$H$32,"NA")</f>
        <v>104.38550420168067</v>
      </c>
      <c r="Z28" s="41">
        <f>IF($A$28="NO",'T3.11 T3.5 FHoop Bracing'!$H$33,"NA")</f>
        <v>117.24237558599884</v>
      </c>
      <c r="AA28" s="42">
        <f>IF($A$28="NO",'T3.11 T3.5 FHoop Bracing'!$H$34,"NA")</f>
        <v>77.3732920890413</v>
      </c>
      <c r="AB28" s="41">
        <f>IF($A$28="NO",'T3.11 T3.5 FHoop Bracing'!$H$35,"NA")</f>
        <v>106.35558356729896</v>
      </c>
      <c r="AC28" s="45" t="str">
        <f>IF(A28="N/A","",IF('T3.11 T3.5 FHoop Bracing'!$F$2="Composite Only","",'T3.11 T3.5 FHoop Bracing'!$E$5))</f>
        <v>Steel</v>
      </c>
      <c r="AD28" s="45" t="str">
        <f>IF(A28="N/A","",IF('T3.11 T3.5 FHoop Bracing'!$F$2="Composite Only","",'T3.11 T3.5 FHoop Bracing'!$E$6))</f>
        <v>Round</v>
      </c>
      <c r="AE28" s="44">
        <f>IF(A28="N/A","",IF('T3.11 T3.5 FHoop Bracing'!$F$2="Composite Only","",'T3.11 T3.5 FHoop Bracing'!$E$15))</f>
        <v>28</v>
      </c>
      <c r="AF28" s="45">
        <f>IF(A28="N/A","",IF('T3.11 T3.5 FHoop Bracing'!$F$2="Composite Only","",'T3.11 T3.5 FHoop Bracing'!$E$16))</f>
        <v>1.5</v>
      </c>
      <c r="AG28" s="43"/>
      <c r="AH28" s="43"/>
      <c r="AI28" s="43"/>
      <c r="AJ28" s="43"/>
      <c r="AK28" s="43"/>
      <c r="AL28" s="43"/>
      <c r="AM28" s="43"/>
      <c r="AN28" s="43"/>
      <c r="AO28" s="43"/>
      <c r="AP28" s="43"/>
      <c r="AQ28" s="43"/>
      <c r="AR28" s="43"/>
      <c r="AS28" s="43"/>
      <c r="AT28" s="43"/>
      <c r="AU28" s="34"/>
    </row>
    <row r="29" spans="1:47" ht="12.75" customHeight="1">
      <c r="A29" s="606" t="str">
        <f>IF(NOT('T3.12 T3.5 Ft Bulkhead'!F2="tubing only"),"N/A",IF(AND('T3.12 T3.5 Ft Bulkhead'!E5='T3.12 T3.5 Ft Bulkhead'!C5,'T3.12 T3.5 Ft Bulkhead'!E17&gt;='T3.12 T3.5 Ft Bulkhead'!C17,'T3.12 T3.5 Ft Bulkhead'!E18&gt;='T3.12 T3.5 Ft Bulkhead'!C18),"YES","NO"))</f>
        <v>YES</v>
      </c>
      <c r="B29" s="588"/>
      <c r="C29" s="606" t="str">
        <f t="shared" si="0"/>
        <v>NO</v>
      </c>
      <c r="D29" s="588"/>
      <c r="E29" s="586" t="s">
        <v>100</v>
      </c>
      <c r="F29" s="588"/>
      <c r="G29" s="608" t="s">
        <v>101</v>
      </c>
      <c r="H29" s="587"/>
      <c r="I29" s="587"/>
      <c r="J29" s="587"/>
      <c r="K29" s="587"/>
      <c r="L29" s="587"/>
      <c r="M29" s="587"/>
      <c r="N29" s="588"/>
      <c r="O29" s="605" t="s">
        <v>91</v>
      </c>
      <c r="P29" s="587"/>
      <c r="Q29" s="587"/>
      <c r="R29" s="587"/>
      <c r="S29" s="588"/>
      <c r="T29" s="46" t="str">
        <f>IF($A$29="NO",'T3.12 T3.5 Ft Bulkhead'!$H30,"NA")</f>
        <v>NA</v>
      </c>
      <c r="U29" s="47" t="str">
        <f>IF($A$29="NO",'T3.12 T3.5 Ft Bulkhead'!$H31,"NA")</f>
        <v>NA</v>
      </c>
      <c r="V29" s="47" t="str">
        <f>IF($A$29="NO",'T3.12 T3.5 Ft Bulkhead'!$H32,"NA")</f>
        <v>NA</v>
      </c>
      <c r="W29" s="47" t="str">
        <f>IF($A$29="NO",'T3.12 T3.5 Ft Bulkhead'!$H33,"NA")</f>
        <v>NA</v>
      </c>
      <c r="X29" s="47" t="str">
        <f>IF($A$29="NO",'T3.12 T3.5 Ft Bulkhead'!$H34,"NA")</f>
        <v>NA</v>
      </c>
      <c r="Y29" s="47" t="str">
        <f>IF($A$29="NO",'T3.12 T3.5 Ft Bulkhead'!$H35,"NA")</f>
        <v>NA</v>
      </c>
      <c r="Z29" s="47" t="str">
        <f>IF($A$29="NO",'T3.12 T3.5 Ft Bulkhead'!$H36,"NA")</f>
        <v>NA</v>
      </c>
      <c r="AA29" s="42" t="str">
        <f>IF($A$29="NO",'T3.12 T3.5 Ft Bulkhead'!$H37,"NA")</f>
        <v>NA</v>
      </c>
      <c r="AB29" s="47" t="str">
        <f>IF($A$29="NO",'T3.12 T3.5 Ft Bulkhead'!$H38,"NA")</f>
        <v>NA</v>
      </c>
      <c r="AC29" s="45" t="str">
        <f>IF(A29="N/A","",IF('T3.12 T3.5 Ft Bulkhead'!$F$2="Composite only","",'T3.12 T3.5 Ft Bulkhead'!$E$5))</f>
        <v>Steel</v>
      </c>
      <c r="AD29" s="45" t="str">
        <f>IF(A29="N/A","",IF('T3.12 T3.5 Ft Bulkhead'!$F$2="Composite only","",'T3.12 T3.5 Ft Bulkhead'!$E$6))</f>
        <v>Round</v>
      </c>
      <c r="AE29" s="44">
        <f>IF(A29="N/A","",IF('T3.12 T3.5 Ft Bulkhead'!$F$2="Composite only","",'T3.12 T3.5 Ft Bulkhead'!$E$18))</f>
        <v>28</v>
      </c>
      <c r="AF29" s="45">
        <f>IF(A29="N/A","",IF('T3.12 T3.5 Ft Bulkhead'!$F$2="Composite only","",'T3.12 T3.5 Ft Bulkhead'!$E$19))</f>
        <v>1.5</v>
      </c>
      <c r="AG29" s="43"/>
      <c r="AH29" s="43"/>
      <c r="AI29" s="43"/>
      <c r="AJ29" s="43"/>
      <c r="AK29" s="43"/>
      <c r="AL29" s="43"/>
      <c r="AM29" s="43"/>
      <c r="AN29" s="43"/>
      <c r="AO29" s="43"/>
      <c r="AP29" s="43"/>
      <c r="AQ29" s="43"/>
      <c r="AR29" s="43"/>
      <c r="AS29" s="43"/>
      <c r="AT29" s="43"/>
      <c r="AU29" s="34"/>
    </row>
    <row r="30" spans="1:47" ht="12.75" customHeight="1">
      <c r="A30" s="606" t="str">
        <f>IF(NOT('T3.13 T3.5 FBH Spt Structure'!F2="tubing only"),"N/A",IF('T3.13 T3.5 FBH Spt Structure'!G17="YES","YES","NO"))</f>
        <v>NO</v>
      </c>
      <c r="B30" s="588"/>
      <c r="C30" s="606" t="str">
        <f t="shared" si="0"/>
        <v>YES</v>
      </c>
      <c r="D30" s="588"/>
      <c r="E30" s="626" t="s">
        <v>102</v>
      </c>
      <c r="F30" s="602"/>
      <c r="G30" s="627" t="s">
        <v>103</v>
      </c>
      <c r="H30" s="601"/>
      <c r="I30" s="601"/>
      <c r="J30" s="601"/>
      <c r="K30" s="601"/>
      <c r="L30" s="601"/>
      <c r="M30" s="601"/>
      <c r="N30" s="602"/>
      <c r="O30" s="605" t="s">
        <v>91</v>
      </c>
      <c r="P30" s="587"/>
      <c r="Q30" s="587"/>
      <c r="R30" s="587"/>
      <c r="S30" s="588"/>
      <c r="T30" s="48">
        <f>IF($A$30="NO",'T3.13 T3.5 FBH Spt Structure'!$K$27,"NA")</f>
        <v>131.18442824186045</v>
      </c>
      <c r="U30" s="49">
        <f>IF($A$30="NO",'T3.13 T3.5 FBH Spt Structure'!$K$28,"NA")</f>
        <v>126.54958677685953</v>
      </c>
      <c r="V30" s="49">
        <f>IF($A$30="NO",'T3.13 T3.5 FBH Spt Structure'!$K$29,"NA")</f>
        <v>126.54958677685953</v>
      </c>
      <c r="W30" s="49">
        <f>IF($A$30="NO",'T3.13 T3.5 FBH Spt Structure'!$K$30,"NA")</f>
        <v>126.54958677685951</v>
      </c>
      <c r="X30" s="49">
        <f>IF($A$30="NO",'T3.13 T3.5 FBH Spt Structure'!$K$31,"NA")</f>
        <v>126.54958677685953</v>
      </c>
      <c r="Y30" s="49">
        <f>IF($A$30="NO",'T3.13 T3.5 FBH Spt Structure'!$K$32,"NA")</f>
        <v>126.54958677685954</v>
      </c>
      <c r="Z30" s="49">
        <f>IF($A$30="NO",'T3.13 T3.5 FBH Spt Structure'!$K$33,"NA")</f>
        <v>127.32319177018331</v>
      </c>
      <c r="AA30" s="42">
        <f>IF($A$30="NO",'T3.13 T3.5 FBH Spt Structure'!$K$34,"NA")</f>
        <v>76.228559547961979</v>
      </c>
      <c r="AB30" s="49">
        <f>IF($A$30="NO",'T3.13 T3.5 FBH Spt Structure'!$K$35,"NA")</f>
        <v>123.95362148071727</v>
      </c>
      <c r="AC30" s="50" t="str">
        <f>IF('T3.13 T3.5 FBH Spt Structure'!$F$2="tubing only",'T3.13 T3.5 FBH Spt Structure'!$E$5,"")</f>
        <v>Steel</v>
      </c>
      <c r="AD30" s="50" t="str">
        <f>IF('T3.13 T3.5 FBH Spt Structure'!$F$2="tubing only",'T3.13 T3.5 FBH Spt Structure'!$E$6,"")</f>
        <v>Round</v>
      </c>
      <c r="AE30" s="51">
        <f>IF('T3.13 T3.5 FBH Spt Structure'!$F$2="tubing only",'T3.13 T3.5 FBH Spt Structure'!$E$15,"")</f>
        <v>28</v>
      </c>
      <c r="AF30" s="50">
        <f>IF('T3.13 T3.5 FBH Spt Structure'!$F$2="tubing only",'T3.13 T3.5 FBH Spt Structure'!$E$16,"")</f>
        <v>1.5</v>
      </c>
      <c r="AG30" s="50" t="str">
        <f>IF('T3.13 T3.5 FBH Spt Structure'!$F$2="tubing only",IF('T3.13 T3.5 FBH Spt Structure'!$F$14&gt;0,'T3.13 T3.5 FBH Spt Structure'!$F$5,""),"")</f>
        <v>Steel</v>
      </c>
      <c r="AH30" s="50" t="str">
        <f>IF('T3.13 T3.5 FBH Spt Structure'!$F$2="tubing only",IF('T3.13 T3.5 FBH Spt Structure'!$F$14&gt;0,'T3.13 T3.5 FBH Spt Structure'!$F$6,""),"")</f>
        <v>Round</v>
      </c>
      <c r="AI30" s="51">
        <f>IF('T3.13 T3.5 FBH Spt Structure'!$F$2="tubing only",IF('T3.13 T3.5 FBH Spt Structure'!$F$14&gt;0,'T3.13 T3.5 FBH Spt Structure'!$F$15,""),"")</f>
        <v>25</v>
      </c>
      <c r="AJ30" s="50">
        <f>IF('T3.13 T3.5 FBH Spt Structure'!$F$2="tubing only",IF('T3.13 T3.5 FBH Spt Structure'!$F$14&gt;0,'T3.13 T3.5 FBH Spt Structure'!$F$16,""),"")</f>
        <v>1.5</v>
      </c>
      <c r="AK30" s="50" t="str">
        <f>IF('T3.13 T3.5 FBH Spt Structure'!$F$2="tubing only",IF('T3.13 T3.5 FBH Spt Structure'!$G$14&gt;0,'T3.13 T3.5 FBH Spt Structure'!$G$5,""),"")</f>
        <v/>
      </c>
      <c r="AL30" s="50" t="str">
        <f>IF('T3.13 T3.5 FBH Spt Structure'!$F$2="tubing only",IF('T3.13 T3.5 FBH Spt Structure'!$G$14&gt;0,'T3.13 T3.5 FBH Spt Structure'!$G$6,""),"")</f>
        <v/>
      </c>
      <c r="AM30" s="51" t="str">
        <f>IF('T3.13 T3.5 FBH Spt Structure'!$F$2="tubing only",IF('T3.13 T3.5 FBH Spt Structure'!$G$14&gt;0,'T3.13 T3.5 FBH Spt Structure'!$G$15,""),"")</f>
        <v/>
      </c>
      <c r="AN30" s="50" t="str">
        <f>IF('T3.13 T3.5 FBH Spt Structure'!$F$2="tubing only",IF('T3.13 T3.5 FBH Spt Structure'!$G$14&gt;0,'T3.13 T3.5 FBH Spt Structure'!$G$16,""),"")</f>
        <v/>
      </c>
      <c r="AO30" s="50"/>
      <c r="AP30" s="51"/>
      <c r="AQ30" s="50"/>
      <c r="AR30" s="50"/>
      <c r="AS30" s="52"/>
      <c r="AT30" s="53"/>
      <c r="AU30" s="34"/>
    </row>
    <row r="31" spans="1:47" ht="12.75" customHeight="1">
      <c r="A31" s="606" t="str">
        <f>IF(NOT('T3.14 T3.5 SIS'!F2="tubing only"),"N/A",IF('T3.14 T3.5 SIS'!G17="YES","YES","NO"))</f>
        <v>NO</v>
      </c>
      <c r="B31" s="588"/>
      <c r="C31" s="606" t="str">
        <f t="shared" si="0"/>
        <v>YES</v>
      </c>
      <c r="D31" s="588"/>
      <c r="E31" s="586" t="s">
        <v>104</v>
      </c>
      <c r="F31" s="588"/>
      <c r="G31" s="608" t="s">
        <v>105</v>
      </c>
      <c r="H31" s="587"/>
      <c r="I31" s="587"/>
      <c r="J31" s="587"/>
      <c r="K31" s="587"/>
      <c r="L31" s="587"/>
      <c r="M31" s="587"/>
      <c r="N31" s="588"/>
      <c r="O31" s="605" t="s">
        <v>91</v>
      </c>
      <c r="P31" s="587"/>
      <c r="Q31" s="587"/>
      <c r="R31" s="587"/>
      <c r="S31" s="588"/>
      <c r="T31" s="40">
        <f>IF($A$31="NO",'T3.14 T3.5 SIS'!$L$27,"NA")</f>
        <v>129.24356363810895</v>
      </c>
      <c r="U31" s="41">
        <f>IF($A$31="NO",'T3.14 T3.5 SIS'!$L$28,"NA")</f>
        <v>104.38550420168067</v>
      </c>
      <c r="V31" s="41">
        <f>IF($A$31="NO",'T3.14 T3.5 SIS'!$L$29,"NA")</f>
        <v>104.38550420168067</v>
      </c>
      <c r="W31" s="41">
        <f>IF($A$31="NO",'T3.14 T3.5 SIS'!$L$30,"NA")</f>
        <v>104.38550420168069</v>
      </c>
      <c r="X31" s="41">
        <f>IF($A$31="NO",'T3.14 T3.5 SIS'!$L$31,"NA")</f>
        <v>104.38550420168067</v>
      </c>
      <c r="Y31" s="41">
        <f>IF($A$31="NO",'T3.14 T3.5 SIS'!$L$32,"NA")</f>
        <v>104.38550420168069</v>
      </c>
      <c r="Z31" s="41">
        <f>IF($A$31="NO",'T3.14 T3.5 SIS'!$L$33,"NA")</f>
        <v>117.24237558599884</v>
      </c>
      <c r="AA31" s="42">
        <f>IF($A$31="NO",'T3.14 T3.5 SIS'!$L$34,"NA")</f>
        <v>77.373292089041286</v>
      </c>
      <c r="AB31" s="41">
        <f>IF($A$31="NO",'T3.14 T3.5 SIS'!$L$35,"NA")</f>
        <v>106.35558356729896</v>
      </c>
      <c r="AC31" s="45" t="str">
        <f>IF('T3.14 T3.5 SIS'!$F$2="tubing only",'T3.14 T3.5 SIS'!$E$5,"")</f>
        <v>Steel</v>
      </c>
      <c r="AD31" s="45" t="str">
        <f>IF('T3.14 T3.5 SIS'!$F$2="tubing only",'T3.14 T3.5 SIS'!$E$6,"")</f>
        <v>Round</v>
      </c>
      <c r="AE31" s="44">
        <f>IF('T3.14 T3.5 SIS'!$F$2="tubing only",'T3.14 T3.5 SIS'!$E$15,"")</f>
        <v>28</v>
      </c>
      <c r="AF31" s="45">
        <f>IF('T3.14 T3.5 SIS'!$F$2="tubing only",'T3.14 T3.5 SIS'!$E$16,"")</f>
        <v>1.5</v>
      </c>
      <c r="AG31" s="45" t="str">
        <f>IF('T3.14 T3.5 SIS'!$F$2="tubing only",IF('T3.14 T3.5 SIS'!$F$14&gt;0,'T3.14 T3.5 SIS'!$F$5,""),"")</f>
        <v/>
      </c>
      <c r="AH31" s="45" t="str">
        <f>IF('T3.14 T3.5 SIS'!$F$2="tubing only",IF('T3.14 T3.5 SIS'!$F$14&gt;0,'T3.14 T3.5 SIS'!$F$6,""),"")</f>
        <v/>
      </c>
      <c r="AI31" s="44" t="str">
        <f>IF('T3.14 T3.5 SIS'!$F$2="tubing only",IF('T3.14 T3.5 SIS'!$F$14&gt;0,'T3.14 T3.5 SIS'!$F$15,""),"")</f>
        <v/>
      </c>
      <c r="AJ31" s="45" t="str">
        <f>IF('T3.14 T3.5 SIS'!$F$2="tubing only",IF('T3.14 T3.5 SIS'!$F$14&gt;0,'T3.14 T3.5 SIS'!$F$16,""),"")</f>
        <v/>
      </c>
      <c r="AK31" s="45" t="str">
        <f>IF('T3.14 T3.5 SIS'!$F$2="tubing only",IF('T3.14 T3.5 SIS'!$G$14&gt;0,'T3.14 T3.5 SIS'!$G$5,""),"")</f>
        <v/>
      </c>
      <c r="AL31" s="45" t="str">
        <f>IF('T3.14 T3.5 SIS'!$F$2="tubing only",IF('T3.14 T3.5 SIS'!$G$14&gt;0,'T3.14 T3.5 SIS'!$G$6,""),"")</f>
        <v/>
      </c>
      <c r="AM31" s="44" t="str">
        <f>IF('T3.14 T3.5 SIS'!$F$2="tubing only",IF('T3.14 T3.5 SIS'!$G$14&gt;0,'T3.14 T3.5 SIS'!$G$15,""),"")</f>
        <v/>
      </c>
      <c r="AN31" s="45" t="str">
        <f>IF('T3.14 T3.5 SIS'!$F$2="tubing only",IF('T3.14 T3.5 SIS'!$G$14&gt;0,'T3.14 T3.5 SIS'!$G$16,""),"")</f>
        <v/>
      </c>
      <c r="AO31" s="45"/>
      <c r="AP31" s="44"/>
      <c r="AQ31" s="45"/>
      <c r="AR31" s="45"/>
      <c r="AS31" s="53"/>
      <c r="AT31" s="53"/>
      <c r="AU31" s="34"/>
    </row>
    <row r="32" spans="1:47" ht="12.75" customHeight="1">
      <c r="A32" s="606" t="str">
        <f>IF(AND('T5.5 Shoulder Harness Bar'!F2="tubing only",'T5.5 Shoulder Harness Bar'!E5='T5.5 Shoulder Harness Bar'!C5,'T5.5 Shoulder Harness Bar'!E15&gt;='T5.5 Shoulder Harness Bar'!C15,'T5.5 Shoulder Harness Bar'!E16&gt;='T5.5 Shoulder Harness Bar'!C16),"YES","NO")</f>
        <v>NO</v>
      </c>
      <c r="B32" s="588"/>
      <c r="C32" s="606" t="str">
        <f t="shared" si="0"/>
        <v>YES</v>
      </c>
      <c r="D32" s="588"/>
      <c r="E32" s="586" t="s">
        <v>106</v>
      </c>
      <c r="F32" s="588"/>
      <c r="G32" s="608" t="s">
        <v>107</v>
      </c>
      <c r="H32" s="587"/>
      <c r="I32" s="587"/>
      <c r="J32" s="587"/>
      <c r="K32" s="587"/>
      <c r="L32" s="587"/>
      <c r="M32" s="587"/>
      <c r="N32" s="588"/>
      <c r="O32" s="605" t="s">
        <v>91</v>
      </c>
      <c r="P32" s="587"/>
      <c r="Q32" s="587"/>
      <c r="R32" s="587"/>
      <c r="S32" s="588"/>
      <c r="T32" s="40">
        <f>IF(A32="YES","NA",'T5.5 Shoulder Harness Bar'!H29)</f>
        <v>149.49141481320081</v>
      </c>
      <c r="U32" s="41">
        <f>IF(A32="YES","NA",'T5.5 Shoulder Harness Bar'!H30)</f>
        <v>101.4492753623188</v>
      </c>
      <c r="V32" s="41">
        <f>IF(A32="YES","NA",'T5.5 Shoulder Harness Bar'!H31)</f>
        <v>101.44927536231882</v>
      </c>
      <c r="W32" s="41">
        <f>IF(A32="YES","NA",'T5.5 Shoulder Harness Bar'!H32)</f>
        <v>101.44927536231883</v>
      </c>
      <c r="X32" s="41">
        <f>IF(A32="YES","NA",'T5.5 Shoulder Harness Bar'!H33)</f>
        <v>101.44927536231883</v>
      </c>
      <c r="Y32" s="41">
        <f>IF(A32="YES","NA",'T5.5 Shoulder Harness Bar'!H34)</f>
        <v>101.44927536231883</v>
      </c>
      <c r="Z32" s="41">
        <f>IF(A32="YES","NA",'T5.5 Shoulder Harness Bar'!H35)</f>
        <v>126.5693978751767</v>
      </c>
      <c r="AA32" s="42">
        <f>IF(A32="YES","NA",'T5.5 Shoulder Harness Bar'!H36)</f>
        <v>66.893473531544572</v>
      </c>
      <c r="AB32" s="41">
        <f>IF(A32="YES","NA",'T5.5 Shoulder Harness Bar'!H37)</f>
        <v>107.16209020098295</v>
      </c>
      <c r="AC32" s="45" t="str">
        <f>IF('T5.5 Shoulder Harness Bar'!F2="composite only","",'T5.5 Shoulder Harness Bar'!E5)</f>
        <v>Steel</v>
      </c>
      <c r="AD32" s="45" t="str">
        <f>IF('T5.5 Shoulder Harness Bar'!F2="composite only","",'T5.5 Shoulder Harness Bar'!E6)</f>
        <v>Round</v>
      </c>
      <c r="AE32" s="44">
        <f>IF('T5.5 Shoulder Harness Bar'!F2="composite only","",'T5.5 Shoulder Harness Bar'!E15)</f>
        <v>30</v>
      </c>
      <c r="AF32" s="45">
        <f>IF('T5.5 Shoulder Harness Bar'!F2="composite only","",'T5.5 Shoulder Harness Bar'!E16)</f>
        <v>2</v>
      </c>
      <c r="AG32" s="43"/>
      <c r="AH32" s="43"/>
      <c r="AI32" s="43"/>
      <c r="AJ32" s="43"/>
      <c r="AK32" s="43"/>
      <c r="AL32" s="43"/>
      <c r="AM32" s="43"/>
      <c r="AN32" s="43"/>
      <c r="AO32" s="45" t="str">
        <f>IF('T5.5 Shoulder Harness Bar'!F2="tubing only","",'T5.5 Shoulder Harness Bar'!F5)</f>
        <v/>
      </c>
      <c r="AP32" s="44" t="str">
        <f>IF('T5.5 Shoulder Harness Bar'!F2="tubing only","",'T5.5 Shoulder Harness Bar'!F20)</f>
        <v/>
      </c>
      <c r="AQ32" s="45" t="str">
        <f>IF('T5.5 Shoulder Harness Bar'!$F$2="tubing only","",'T5.5 Shoulder Harness Bar'!F22)</f>
        <v/>
      </c>
      <c r="AR32" s="45" t="str">
        <f>IF('T5.5 Shoulder Harness Bar'!$F$2="tubing only","",'T5.5 Shoulder Harness Bar'!F23)</f>
        <v/>
      </c>
      <c r="AS32" s="53" t="str">
        <f>IF('T5.5 Shoulder Harness Bar'!F2="tubing only","",'T5.5 Shoulder Harness Bar'!F24)</f>
        <v/>
      </c>
      <c r="AT32" s="53"/>
      <c r="AU32" s="34"/>
    </row>
    <row r="33" spans="1:47" ht="12.75" customHeight="1">
      <c r="A33" s="606" t="str">
        <f>IF('T3.16.3 IA AI Plate'!D23="YES","YES","NO")</f>
        <v>YES</v>
      </c>
      <c r="B33" s="588"/>
      <c r="C33" s="606" t="str">
        <f t="shared" si="0"/>
        <v>NO</v>
      </c>
      <c r="D33" s="588"/>
      <c r="E33" s="586" t="s">
        <v>108</v>
      </c>
      <c r="F33" s="588"/>
      <c r="G33" s="608" t="s">
        <v>109</v>
      </c>
      <c r="H33" s="587"/>
      <c r="I33" s="587"/>
      <c r="J33" s="587"/>
      <c r="K33" s="587"/>
      <c r="L33" s="587"/>
      <c r="M33" s="587"/>
      <c r="N33" s="588"/>
      <c r="O33" s="605" t="s">
        <v>110</v>
      </c>
      <c r="P33" s="587"/>
      <c r="Q33" s="587"/>
      <c r="R33" s="587"/>
      <c r="S33" s="588"/>
      <c r="T33" s="46" t="str">
        <f>IF(A33="YES","NA",IF('T3.16.3 IA AI Plate'!$D$23="NO","CH"))</f>
        <v>NA</v>
      </c>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34"/>
    </row>
    <row r="34" spans="1:47" ht="12.75" customHeight="1">
      <c r="A34" s="606" t="str">
        <f>IF('T3.11 T3.5 FHoop Bracing'!F2="tubing only","N/A","NO")</f>
        <v>N/A</v>
      </c>
      <c r="B34" s="588"/>
      <c r="C34" s="606" t="str">
        <f t="shared" si="0"/>
        <v>N/A</v>
      </c>
      <c r="D34" s="588"/>
      <c r="E34" s="586" t="s">
        <v>111</v>
      </c>
      <c r="F34" s="588"/>
      <c r="G34" s="607" t="s">
        <v>112</v>
      </c>
      <c r="H34" s="587"/>
      <c r="I34" s="587"/>
      <c r="J34" s="587"/>
      <c r="K34" s="587"/>
      <c r="L34" s="587"/>
      <c r="M34" s="587"/>
      <c r="N34" s="588"/>
      <c r="O34" s="605" t="s">
        <v>113</v>
      </c>
      <c r="P34" s="587"/>
      <c r="Q34" s="587"/>
      <c r="R34" s="587"/>
      <c r="S34" s="588"/>
      <c r="T34" s="46" t="str">
        <f>IF($A$34="NO",'T3.11 T3.5 FHoop Bracing'!$H$27,"NA")</f>
        <v>NA</v>
      </c>
      <c r="U34" s="47" t="str">
        <f>IF($A$34="NO",'T3.11 T3.5 FHoop Bracing'!$H$28,"NA")</f>
        <v>NA</v>
      </c>
      <c r="V34" s="47" t="str">
        <f>IF($A$34="NO",'T3.11 T3.5 FHoop Bracing'!$H$29,"NA")</f>
        <v>NA</v>
      </c>
      <c r="W34" s="47" t="str">
        <f>IF($A$34="NO",'T3.11 T3.5 FHoop Bracing'!$H$30,"NA")</f>
        <v>NA</v>
      </c>
      <c r="X34" s="47" t="str">
        <f>IF($A$34="NO",'T3.11 T3.5 FHoop Bracing'!$H$31,"NA")</f>
        <v>NA</v>
      </c>
      <c r="Y34" s="47" t="str">
        <f>IF($A$34="NO",'T3.11 T3.5 FHoop Bracing'!$H$32,"NA")</f>
        <v>NA</v>
      </c>
      <c r="Z34" s="47" t="str">
        <f>IF($A$34="NO",'T3.11 T3.5 FHoop Bracing'!$H$33,"NA")</f>
        <v>NA</v>
      </c>
      <c r="AA34" s="42" t="str">
        <f>IF($A$34="NO",'T3.11 T3.5 FHoop Bracing'!$H$34,"NA")</f>
        <v>NA</v>
      </c>
      <c r="AB34" s="47" t="str">
        <f>IF($A$34="NO",'T3.11 T3.5 FHoop Bracing'!$H$35,"NA")</f>
        <v>NA</v>
      </c>
      <c r="AC34" s="45" t="str">
        <f>IF('T3.11 T3.5 FHoop Bracing'!$F$2="tubing Only","",'T3.11 T3.5 FHoop Bracing'!$E$5)</f>
        <v/>
      </c>
      <c r="AD34" s="45" t="str">
        <f>IF('T3.11 T3.5 FHoop Bracing'!$F$2="tubing Only","",'T3.11 T3.5 FHoop Bracing'!$E$6)</f>
        <v/>
      </c>
      <c r="AE34" s="44" t="str">
        <f>IF('T3.11 T3.5 FHoop Bracing'!$F$2="tubing Only","",'T3.11 T3.5 FHoop Bracing'!$E$15)</f>
        <v/>
      </c>
      <c r="AF34" s="45" t="str">
        <f>IF('T3.11 T3.5 FHoop Bracing'!$F$2="tubing Only","",'T3.11 T3.5 FHoop Bracing'!$E$16)</f>
        <v/>
      </c>
      <c r="AG34" s="43"/>
      <c r="AH34" s="43"/>
      <c r="AI34" s="43"/>
      <c r="AJ34" s="43"/>
      <c r="AK34" s="43"/>
      <c r="AL34" s="43"/>
      <c r="AM34" s="43"/>
      <c r="AN34" s="43"/>
      <c r="AO34" s="45" t="str">
        <f>IF('T3.11 T3.5 FHoop Bracing'!$F$2="tubing Only","",'T3.11 T3.5 FHoop Bracing'!$F$5)</f>
        <v/>
      </c>
      <c r="AP34" s="44" t="str">
        <f>IF('T3.11 T3.5 FHoop Bracing'!$F$2="tubing Only","",'T3.11 T3.5 FHoop Bracing'!$F$18)</f>
        <v/>
      </c>
      <c r="AQ34" s="45" t="str">
        <f>IF('T3.11 T3.5 FHoop Bracing'!$F$2="tubing Only","",'T3.11 T3.5 FHoop Bracing'!$F$20)</f>
        <v/>
      </c>
      <c r="AR34" s="45" t="str">
        <f>IF('T3.11 T3.5 FHoop Bracing'!$F$2="tubing Only","",'T3.11 T3.5 FHoop Bracing'!$F$20)</f>
        <v/>
      </c>
      <c r="AS34" s="53" t="str">
        <f>IF('T3.11 T3.5 FHoop Bracing'!$F$2="tubing Only","",'T3.11 T3.5 FHoop Bracing'!$F$22)</f>
        <v/>
      </c>
      <c r="AT34" s="53"/>
      <c r="AU34" s="34"/>
    </row>
    <row r="35" spans="1:47" ht="12.75" customHeight="1">
      <c r="A35" s="606" t="str">
        <f>IF('T3.12 T3.5 Ft Bulkhead'!F2="tubing only","N/A","NO")</f>
        <v>N/A</v>
      </c>
      <c r="B35" s="588"/>
      <c r="C35" s="606" t="str">
        <f t="shared" si="0"/>
        <v>N/A</v>
      </c>
      <c r="D35" s="588"/>
      <c r="E35" s="586" t="s">
        <v>114</v>
      </c>
      <c r="F35" s="588"/>
      <c r="G35" s="608" t="s">
        <v>115</v>
      </c>
      <c r="H35" s="587"/>
      <c r="I35" s="587"/>
      <c r="J35" s="587"/>
      <c r="K35" s="587"/>
      <c r="L35" s="587"/>
      <c r="M35" s="587"/>
      <c r="N35" s="588"/>
      <c r="O35" s="605" t="s">
        <v>113</v>
      </c>
      <c r="P35" s="587"/>
      <c r="Q35" s="587"/>
      <c r="R35" s="587"/>
      <c r="S35" s="588"/>
      <c r="T35" s="46" t="str">
        <f>IF($A$35="NO",'T3.12 T3.5 Ft Bulkhead'!$H30,"NA")</f>
        <v>NA</v>
      </c>
      <c r="U35" s="47" t="str">
        <f>IF($A$35="NO",'T3.12 T3.5 Ft Bulkhead'!$H31,"NA")</f>
        <v>NA</v>
      </c>
      <c r="V35" s="47" t="str">
        <f>IF($A$35="NO",'T3.12 T3.5 Ft Bulkhead'!$H32,"NA")</f>
        <v>NA</v>
      </c>
      <c r="W35" s="47" t="str">
        <f>IF($A$35="NO",'T3.12 T3.5 Ft Bulkhead'!$H33,"NA")</f>
        <v>NA</v>
      </c>
      <c r="X35" s="47" t="str">
        <f>IF($A$35="NO",'T3.12 T3.5 Ft Bulkhead'!$H34,"NA")</f>
        <v>NA</v>
      </c>
      <c r="Y35" s="47" t="str">
        <f>IF($A$35="NO",'T3.12 T3.5 Ft Bulkhead'!$H35,"NA")</f>
        <v>NA</v>
      </c>
      <c r="Z35" s="47" t="str">
        <f>IF($A$35="NO",'T3.12 T3.5 Ft Bulkhead'!$H36,"NA")</f>
        <v>NA</v>
      </c>
      <c r="AA35" s="42" t="str">
        <f>IF($A$35="NO",'T3.12 T3.5 Ft Bulkhead'!$H37,"NA")</f>
        <v>NA</v>
      </c>
      <c r="AB35" s="47" t="str">
        <f>IF($A$35="NO",'T3.12 T3.5 Ft Bulkhead'!$H38,"NA")</f>
        <v>NA</v>
      </c>
      <c r="AC35" s="45" t="str">
        <f>IF('T3.12 T3.5 Ft Bulkhead'!$F$2="tubes + Composite",'T3.12 T3.5 Ft Bulkhead'!$E$5,"")</f>
        <v/>
      </c>
      <c r="AD35" s="45" t="str">
        <f>IF('T3.12 T3.5 Ft Bulkhead'!$F$2="tubes + composite",'T3.12 T3.5 Ft Bulkhead'!$E$6,"")</f>
        <v/>
      </c>
      <c r="AE35" s="44" t="str">
        <f>IF('T3.12 T3.5 Ft Bulkhead'!$F$2="tubes + composite",'T3.12 T3.5 Ft Bulkhead'!$E$18,"")</f>
        <v/>
      </c>
      <c r="AF35" s="45" t="str">
        <f>IF('T3.12 T3.5 Ft Bulkhead'!$F$2="tubes + composite",'T3.12 T3.5 Ft Bulkhead'!$E$19,"")</f>
        <v/>
      </c>
      <c r="AG35" s="43"/>
      <c r="AH35" s="43"/>
      <c r="AI35" s="43"/>
      <c r="AJ35" s="43"/>
      <c r="AK35" s="43"/>
      <c r="AL35" s="43"/>
      <c r="AM35" s="43"/>
      <c r="AN35" s="43"/>
      <c r="AO35" s="45" t="str">
        <f>IF('T3.12 T3.5 Ft Bulkhead'!$F$2="tubing only","",'T3.12 T3.5 Ft Bulkhead'!$F$5)</f>
        <v/>
      </c>
      <c r="AP35" s="44" t="str">
        <f>IF('T3.12 T3.5 Ft Bulkhead'!$F$2="tubing only","",'T3.12 T3.5 Ft Bulkhead'!$F$21)</f>
        <v/>
      </c>
      <c r="AQ35" s="45" t="str">
        <f>IF('T3.12 T3.5 Ft Bulkhead'!$F$2="tubing only","",'T3.12 T3.5 Ft Bulkhead'!$F$23)</f>
        <v/>
      </c>
      <c r="AR35" s="45" t="str">
        <f>IF('T3.12 T3.5 Ft Bulkhead'!$F$2="tubing only","",'T3.12 T3.5 Ft Bulkhead'!$F$24)</f>
        <v/>
      </c>
      <c r="AS35" s="53" t="str">
        <f>IF('T3.12 T3.5 Ft Bulkhead'!$F$2="tubing only","",'T3.12 T3.5 Ft Bulkhead'!$F$25)</f>
        <v/>
      </c>
      <c r="AT35" s="53"/>
      <c r="AU35" s="34"/>
    </row>
    <row r="36" spans="1:47" ht="12.75" customHeight="1">
      <c r="A36" s="606" t="str">
        <f>IF('T3.13 T3.5 FBH Spt Structure'!F2="tubing only","N/A","NO")</f>
        <v>N/A</v>
      </c>
      <c r="B36" s="588"/>
      <c r="C36" s="606" t="str">
        <f t="shared" si="0"/>
        <v>N/A</v>
      </c>
      <c r="D36" s="588"/>
      <c r="E36" s="586" t="s">
        <v>116</v>
      </c>
      <c r="F36" s="588"/>
      <c r="G36" s="608" t="s">
        <v>117</v>
      </c>
      <c r="H36" s="587"/>
      <c r="I36" s="587"/>
      <c r="J36" s="587"/>
      <c r="K36" s="587"/>
      <c r="L36" s="587"/>
      <c r="M36" s="587"/>
      <c r="N36" s="588"/>
      <c r="O36" s="605" t="s">
        <v>113</v>
      </c>
      <c r="P36" s="587"/>
      <c r="Q36" s="587"/>
      <c r="R36" s="587"/>
      <c r="S36" s="588"/>
      <c r="T36" s="46" t="str">
        <f>IF($A$36="NO",'T3.13 T3.5 FBH Spt Structure'!$K$27,"NA")</f>
        <v>NA</v>
      </c>
      <c r="U36" s="47" t="str">
        <f>IF($A$36="NO",'T3.13 T3.5 FBH Spt Structure'!$K$28,"NA")</f>
        <v>NA</v>
      </c>
      <c r="V36" s="47" t="str">
        <f>IF($A$36="NO",'T3.13 T3.5 FBH Spt Structure'!$K$29,"NA")</f>
        <v>NA</v>
      </c>
      <c r="W36" s="47" t="str">
        <f>IF($A$36="NO",'T3.13 T3.5 FBH Spt Structure'!$K$30,"NA")</f>
        <v>NA</v>
      </c>
      <c r="X36" s="47" t="str">
        <f>IF($A$36="NO",'T3.13 T3.5 FBH Spt Structure'!$K$31,"NA")</f>
        <v>NA</v>
      </c>
      <c r="Y36" s="47" t="str">
        <f>IF($A$36="NO",'T3.13 T3.5 FBH Spt Structure'!$K$32,"NA")</f>
        <v>NA</v>
      </c>
      <c r="Z36" s="47" t="str">
        <f>IF($A$36="NO",'T3.13 T3.5 FBH Spt Structure'!$K$33,"NA")</f>
        <v>NA</v>
      </c>
      <c r="AA36" s="42" t="str">
        <f>IF($A$36="NO",'T3.13 T3.5 FBH Spt Structure'!$K$34,"NA")</f>
        <v>NA</v>
      </c>
      <c r="AB36" s="47" t="str">
        <f>IF($A$36="NO",'T3.13 T3.5 FBH Spt Structure'!$K$35,"NA")</f>
        <v>NA</v>
      </c>
      <c r="AC36" s="45" t="str">
        <f>IF('T3.13 T3.5 FBH Spt Structure'!$F$2="Tubes + composite",'T3.13 T3.5 FBH Spt Structure'!$E$5,"")</f>
        <v/>
      </c>
      <c r="AD36" s="45" t="str">
        <f>IF('T3.13 T3.5 FBH Spt Structure'!$F$2="Tubes + composite",'T3.13 T3.5 FBH Spt Structure'!$E$6,"")</f>
        <v/>
      </c>
      <c r="AE36" s="44" t="str">
        <f>IF('T3.13 T3.5 FBH Spt Structure'!$F$2="Tubes + composite",'T3.13 T3.5 FBH Spt Structure'!$E$15,"")</f>
        <v/>
      </c>
      <c r="AF36" s="45" t="str">
        <f>IF('T3.13 T3.5 FBH Spt Structure'!$F$2="Tubes + composite",'T3.13 T3.5 FBH Spt Structure'!$E$16,"")</f>
        <v/>
      </c>
      <c r="AG36" s="45" t="str">
        <f>IF('T3.13 T3.5 FBH Spt Structure'!$F$2="Tubes + composite",IF('T3.13 T3.5 FBH Spt Structure'!$F$14&gt;0,'T3.13 T3.5 FBH Spt Structure'!$F$5,""),"")</f>
        <v/>
      </c>
      <c r="AH36" s="45" t="str">
        <f>IF('T3.13 T3.5 FBH Spt Structure'!$F$2="Tubes + composite",IF('T3.13 T3.5 FBH Spt Structure'!$F$14&gt;0,'T3.13 T3.5 FBH Spt Structure'!$F$6,""),"")</f>
        <v/>
      </c>
      <c r="AI36" s="44" t="str">
        <f>IF('T3.13 T3.5 FBH Spt Structure'!$F$2="Tubes + composite",IF('T3.13 T3.5 FBH Spt Structure'!$F$14&gt;0,'T3.13 T3.5 FBH Spt Structure'!$F$15,""),"")</f>
        <v/>
      </c>
      <c r="AJ36" s="45" t="str">
        <f>IF('T3.13 T3.5 FBH Spt Structure'!$F$2="Tubes + composite",IF('T3.13 T3.5 FBH Spt Structure'!$F$14&gt;0,'T3.13 T3.5 FBH Spt Structure'!$F$16,""),"")</f>
        <v/>
      </c>
      <c r="AK36" s="45" t="str">
        <f>IF('T3.13 T3.5 FBH Spt Structure'!$F$2="Tubes + composite",IF('T3.13 T3.5 FBH Spt Structure'!$G$14&gt;0,'T3.13 T3.5 FBH Spt Structure'!$G$5,""),"")</f>
        <v/>
      </c>
      <c r="AL36" s="45" t="str">
        <f>IF('T3.13 T3.5 FBH Spt Structure'!$F$2="Tubes + composite",IF('T3.13 T3.5 FBH Spt Structure'!$G$14&gt;0,'T3.13 T3.5 FBH Spt Structure'!$G$6,""),"")</f>
        <v/>
      </c>
      <c r="AM36" s="44" t="str">
        <f>IF('T3.13 T3.5 FBH Spt Structure'!$F$2="Tubes + composite",IF('T3.13 T3.5 FBH Spt Structure'!$G$14&gt;0,'T3.13 T3.5 FBH Spt Structure'!$G$15,""),"")</f>
        <v/>
      </c>
      <c r="AN36" s="45" t="str">
        <f>IF('T3.13 T3.5 FBH Spt Structure'!$F$2="Tubes + composite",IF('T3.13 T3.5 FBH Spt Structure'!$G$14&gt;0,'T3.13 T3.5 FBH Spt Structure'!$G$16,""),"")</f>
        <v/>
      </c>
      <c r="AO36" s="45" t="str">
        <f>IF('T3.13 T3.5 FBH Spt Structure'!$F$2="tubing only","",'T3.13 T3.5 FBH Spt Structure'!$I$5)</f>
        <v/>
      </c>
      <c r="AP36" s="44" t="str">
        <f>IF('T3.13 T3.5 FBH Spt Structure'!$F$2="tubing only","",'T3.13 T3.5 FBH Spt Structure'!$I$18)</f>
        <v/>
      </c>
      <c r="AQ36" s="45" t="str">
        <f>IF('T3.13 T3.5 FBH Spt Structure'!$F$2="tubing only","",'T3.13 T3.5 FBH Spt Structure'!$I$20)</f>
        <v/>
      </c>
      <c r="AR36" s="45" t="str">
        <f>IF('T3.13 T3.5 FBH Spt Structure'!$F$2="tubing only","",'T3.13 T3.5 FBH Spt Structure'!$I$21)</f>
        <v/>
      </c>
      <c r="AS36" s="53" t="str">
        <f>IF('T3.13 T3.5 FBH Spt Structure'!$F$2="tubing only","",'T3.13 T3.5 FBH Spt Structure'!$I$22)</f>
        <v/>
      </c>
      <c r="AT36" s="53"/>
      <c r="AU36" s="34"/>
    </row>
    <row r="37" spans="1:47" ht="12.75" customHeight="1">
      <c r="A37" s="606" t="str">
        <f>IF('T3.14 T3.5 SIS'!F2="tubing only","N/A","NO")</f>
        <v>N/A</v>
      </c>
      <c r="B37" s="588"/>
      <c r="C37" s="606" t="str">
        <f t="shared" si="0"/>
        <v>N/A</v>
      </c>
      <c r="D37" s="588"/>
      <c r="E37" s="586" t="s">
        <v>118</v>
      </c>
      <c r="F37" s="588"/>
      <c r="G37" s="608" t="s">
        <v>119</v>
      </c>
      <c r="H37" s="587"/>
      <c r="I37" s="587"/>
      <c r="J37" s="587"/>
      <c r="K37" s="587"/>
      <c r="L37" s="587"/>
      <c r="M37" s="587"/>
      <c r="N37" s="588"/>
      <c r="O37" s="605" t="s">
        <v>113</v>
      </c>
      <c r="P37" s="587"/>
      <c r="Q37" s="587"/>
      <c r="R37" s="587"/>
      <c r="S37" s="588"/>
      <c r="T37" s="610" t="str">
        <f>IF($A$37="NO",'T3.14 T3.5 SIS'!$L$27,"NA")</f>
        <v>NA</v>
      </c>
      <c r="U37" s="609" t="str">
        <f>IF($A$37="NO",'T3.14 T3.5 SIS'!$L$28,"NA")</f>
        <v>NA</v>
      </c>
      <c r="V37" s="609" t="str">
        <f>IF($A$37="NO",'T3.14 T3.5 SIS'!$L$29,"NA")</f>
        <v>NA</v>
      </c>
      <c r="W37" s="609" t="str">
        <f>IF($A$37="NO",'T3.14 T3.5 SIS'!$L$30,"NA")</f>
        <v>NA</v>
      </c>
      <c r="X37" s="609" t="str">
        <f>IF($A$37="NO",'T3.14 T3.5 SIS'!$L$31,"NA")</f>
        <v>NA</v>
      </c>
      <c r="Y37" s="609" t="str">
        <f>IF($A$37="NO",'T3.14 T3.5 SIS'!$L$32,"NA")</f>
        <v>NA</v>
      </c>
      <c r="Z37" s="609" t="str">
        <f>IF($A$37="NO",'T3.14 T3.5 SIS'!$L$33,"NA")</f>
        <v>NA</v>
      </c>
      <c r="AA37" s="611" t="str">
        <f>IF($A$37="NO",'T3.14 T3.5 SIS'!$L$34,"NA")</f>
        <v>NA</v>
      </c>
      <c r="AB37" s="609" t="str">
        <f>IF($A$37="NO",'T3.14 T3.5 SIS'!$L$35,"NA")</f>
        <v>NA</v>
      </c>
      <c r="AC37" s="612" t="str">
        <f>IF('T3.14 T3.5 SIS'!$F$2="tubes + composite",'T3.14 T3.5 SIS'!$E$5,"")</f>
        <v/>
      </c>
      <c r="AD37" s="612" t="str">
        <f>IF('T3.14 T3.5 SIS'!$F$2="tubes + composite",'T3.14 T3.5 SIS'!$E$6,"")</f>
        <v/>
      </c>
      <c r="AE37" s="613" t="str">
        <f>IF('T3.14 T3.5 SIS'!$F$2="tubes + composite",'T3.14 T3.5 SIS'!$E$15,"")</f>
        <v/>
      </c>
      <c r="AF37" s="612" t="str">
        <f>IF('T3.14 T3.5 SIS'!$F$2="tubes + composite",'T3.14 T3.5 SIS'!$E$16,"")</f>
        <v/>
      </c>
      <c r="AG37" s="612" t="str">
        <f>IF('T3.14 T3.5 SIS'!$F$2="tubes + composite",IF('T3.14 T3.5 SIS'!$F$14&gt;0,'T3.14 T3.5 SIS'!$F$5,""),"")</f>
        <v/>
      </c>
      <c r="AH37" s="612" t="str">
        <f>IF('T3.14 T3.5 SIS'!$F$2="tubes + composite",IF('T3.14 T3.5 SIS'!$F$14&gt;0,'T3.14 T3.5 SIS'!$F$6,""),"")</f>
        <v/>
      </c>
      <c r="AI37" s="613" t="str">
        <f>IF('T3.14 T3.5 SIS'!$F$2="tubes + composite",IF('T3.14 T3.5 SIS'!$F$14&gt;0,'T3.14 T3.5 SIS'!$F$15,""),"")</f>
        <v/>
      </c>
      <c r="AJ37" s="612" t="str">
        <f>IF('T3.14 T3.5 SIS'!$F$2="tubes + composite",IF('T3.14 T3.5 SIS'!$F$14&gt;0,'T3.14 T3.5 SIS'!$F$16,""),"")</f>
        <v/>
      </c>
      <c r="AK37" s="612" t="str">
        <f>IF('T3.14 T3.5 SIS'!$F$2="tubes + composite",IF('T3.14 T3.5 SIS'!$G$14&gt;0,'T3.14 T3.5 SIS'!$G$5,""),"")</f>
        <v/>
      </c>
      <c r="AL37" s="612" t="str">
        <f>IF('T3.14 T3.5 SIS'!$F$2="tubes + composite",IF('T3.14 T3.5 SIS'!$G$14&gt;0,'T3.14 T3.5 SIS'!$G$6,""),"")</f>
        <v/>
      </c>
      <c r="AM37" s="613" t="str">
        <f>IF('T3.14 T3.5 SIS'!$F$2="tubes + composite",IF('T3.14 T3.5 SIS'!$G$14&gt;0,'T3.14 T3.5 SIS'!$G$15,""),"")</f>
        <v/>
      </c>
      <c r="AN37" s="612" t="str">
        <f>IF('T3.14 T3.5 SIS'!$F$2="tubes + composite",IF('T3.14 T3.5 SIS'!$G$14&gt;0,'T3.14 T3.5 SIS'!$G$16,""),"")</f>
        <v/>
      </c>
      <c r="AO37" s="45" t="str">
        <f>IF('T3.14 T3.5 SIS'!$F$2="Tubing only","",'T3.14 T3.5 SIS'!$I$5)</f>
        <v/>
      </c>
      <c r="AP37" s="44" t="str">
        <f>IF('T3.14 T3.5 SIS'!$F$2="Tubing only","",'T3.14 T3.5 SIS'!$I$18)</f>
        <v/>
      </c>
      <c r="AQ37" s="45" t="str">
        <f>IF('T3.14 T3.5 SIS'!$F$2="Tubing only","",'T3.14 T3.5 SIS'!$I$20)</f>
        <v/>
      </c>
      <c r="AR37" s="45" t="str">
        <f>IF('T3.14 T3.5 SIS'!$F$2="Tubing only","",'T3.14 T3.5 SIS'!$I$21)</f>
        <v/>
      </c>
      <c r="AS37" s="53" t="str">
        <f>IF('T3.14 T3.5 SIS'!$F$2="Tubing only","",'T3.14 T3.5 SIS'!$I$22)</f>
        <v/>
      </c>
      <c r="AT37" s="53"/>
      <c r="AU37" s="34"/>
    </row>
    <row r="38" spans="1:47" ht="12.75" customHeight="1">
      <c r="A38" s="606" t="str">
        <f>IF('T3.14 T3.5 SIS'!F2="tubing only","N/A","NO")</f>
        <v>N/A</v>
      </c>
      <c r="B38" s="588"/>
      <c r="C38" s="606" t="str">
        <f t="shared" si="0"/>
        <v>N/A</v>
      </c>
      <c r="D38" s="588"/>
      <c r="E38" s="586" t="s">
        <v>118</v>
      </c>
      <c r="F38" s="588"/>
      <c r="G38" s="608" t="s">
        <v>120</v>
      </c>
      <c r="H38" s="587"/>
      <c r="I38" s="587"/>
      <c r="J38" s="587"/>
      <c r="K38" s="587"/>
      <c r="L38" s="587"/>
      <c r="M38" s="587"/>
      <c r="N38" s="588"/>
      <c r="O38" s="605" t="s">
        <v>113</v>
      </c>
      <c r="P38" s="587"/>
      <c r="Q38" s="587"/>
      <c r="R38" s="587"/>
      <c r="S38" s="588"/>
      <c r="T38" s="602"/>
      <c r="U38" s="592"/>
      <c r="V38" s="592"/>
      <c r="W38" s="592"/>
      <c r="X38" s="592"/>
      <c r="Y38" s="592"/>
      <c r="Z38" s="592"/>
      <c r="AA38" s="592"/>
      <c r="AB38" s="592"/>
      <c r="AC38" s="592"/>
      <c r="AD38" s="592"/>
      <c r="AE38" s="592"/>
      <c r="AF38" s="592"/>
      <c r="AG38" s="592"/>
      <c r="AH38" s="592"/>
      <c r="AI38" s="592"/>
      <c r="AJ38" s="592"/>
      <c r="AK38" s="592"/>
      <c r="AL38" s="592"/>
      <c r="AM38" s="592"/>
      <c r="AN38" s="592"/>
      <c r="AO38" s="45" t="str">
        <f>IF('T3.14 T3.5 SIS'!$F$2="Tubing only","",'T3.14 T3.5 SIS'!$J$5)</f>
        <v/>
      </c>
      <c r="AP38" s="44" t="str">
        <f>IF('T3.14 T3.5 SIS'!$F$2="Tubing only","",'T3.14 T3.5 SIS'!$J$18)</f>
        <v/>
      </c>
      <c r="AQ38" s="45" t="str">
        <f>IF('T3.14 T3.5 SIS'!$F$2="Tubing only","",'T3.14 T3.5 SIS'!$J$20)</f>
        <v/>
      </c>
      <c r="AR38" s="45" t="str">
        <f>IF('T3.14 T3.5 SIS'!$F$2="Tubing only","",'T3.14 T3.5 SIS'!$J$21)</f>
        <v/>
      </c>
      <c r="AS38" s="53" t="str">
        <f>IF('T3.14 T3.5 SIS'!$F$2="Tubing only","",'T3.14 T3.5 SIS'!$J$22)</f>
        <v/>
      </c>
      <c r="AT38" s="53"/>
      <c r="AU38" s="34"/>
    </row>
    <row r="39" spans="1:47" ht="12.75" customHeight="1">
      <c r="A39" s="606" t="str">
        <f>IF('T3.10.5 T3.5 MHoop Brace Spt'!F2="tubing only","N/A","NO")</f>
        <v>N/A</v>
      </c>
      <c r="B39" s="588"/>
      <c r="C39" s="606" t="str">
        <f t="shared" si="0"/>
        <v>N/A</v>
      </c>
      <c r="D39" s="588"/>
      <c r="E39" s="586" t="s">
        <v>121</v>
      </c>
      <c r="F39" s="588"/>
      <c r="G39" s="607" t="s">
        <v>122</v>
      </c>
      <c r="H39" s="587"/>
      <c r="I39" s="587"/>
      <c r="J39" s="587"/>
      <c r="K39" s="587"/>
      <c r="L39" s="587"/>
      <c r="M39" s="587"/>
      <c r="N39" s="588"/>
      <c r="O39" s="605" t="s">
        <v>113</v>
      </c>
      <c r="P39" s="587"/>
      <c r="Q39" s="587"/>
      <c r="R39" s="587"/>
      <c r="S39" s="588"/>
      <c r="T39" s="46" t="str">
        <f>IF(A39="NO",'T3.10.5 T3.5 MHoop Brace Spt'!$H$27,"NA")</f>
        <v>NA</v>
      </c>
      <c r="U39" s="47" t="str">
        <f>IF(A39="NO",'T3.10.5 T3.5 MHoop Brace Spt'!$H$28,"NA")</f>
        <v>NA</v>
      </c>
      <c r="V39" s="47" t="str">
        <f>IF(A39="NO",'T3.10.5 T3.5 MHoop Brace Spt'!$H$29,"NA")</f>
        <v>NA</v>
      </c>
      <c r="W39" s="47" t="str">
        <f>IF(A39="NO",'T3.10.5 T3.5 MHoop Brace Spt'!$H$30,"NA")</f>
        <v>NA</v>
      </c>
      <c r="X39" s="47" t="str">
        <f>IF(A39="NO",'T3.10.5 T3.5 MHoop Brace Spt'!$H$31,"NA")</f>
        <v>NA</v>
      </c>
      <c r="Y39" s="47" t="str">
        <f>IF(A39="NO",'T3.10.5 T3.5 MHoop Brace Spt'!$H$32,"NA")</f>
        <v>NA</v>
      </c>
      <c r="Z39" s="47" t="str">
        <f>IF(A39="NO",'T3.10.5 T3.5 MHoop Brace Spt'!$H$33,"NA")</f>
        <v>NA</v>
      </c>
      <c r="AA39" s="42" t="str">
        <f>IF(A39="NO",'T3.10.5 T3.5 MHoop Brace Spt'!$H$34,"NA")</f>
        <v>NA</v>
      </c>
      <c r="AB39" s="47" t="str">
        <f>IF(A39="NO",'T3.10.5 T3.5 MHoop Brace Spt'!$H$35,"NA")</f>
        <v>NA</v>
      </c>
      <c r="AC39" s="45" t="str">
        <f>IF(A39="N/A","",IF('T3.10.5 T3.5 MHoop Brace Spt'!$F$2="tubes + composite",'T3.10.5 T3.5 MHoop Brace Spt'!E5,""))</f>
        <v/>
      </c>
      <c r="AD39" s="45" t="str">
        <f>IF(A39="N/A","",IF('T3.10.5 T3.5 MHoop Brace Spt'!$F$2="tubes + composite",'T3.10.5 T3.5 MHoop Brace Spt'!$E$6,""))</f>
        <v/>
      </c>
      <c r="AE39" s="44" t="str">
        <f>IF(A39="N/A","",IF('T3.10.5 T3.5 MHoop Brace Spt'!$F$2="tubes + composite",'T3.10.5 T3.5 MHoop Brace Spt'!$E$15,""))</f>
        <v/>
      </c>
      <c r="AF39" s="45" t="str">
        <f>IF(A39="N/A","",IF('T3.10.5 T3.5 MHoop Brace Spt'!$F$2="tubes + composite",'T3.10.5 T3.5 MHoop Brace Spt'!$E$16,""))</f>
        <v/>
      </c>
      <c r="AG39" s="43"/>
      <c r="AH39" s="43"/>
      <c r="AI39" s="43"/>
      <c r="AJ39" s="43"/>
      <c r="AK39" s="43"/>
      <c r="AL39" s="43"/>
      <c r="AM39" s="43"/>
      <c r="AN39" s="43"/>
      <c r="AO39" s="45" t="str">
        <f>IF('T3.10.5 T3.5 MHoop Brace Spt'!F2="tubing only","",'T3.10.5 T3.5 MHoop Brace Spt'!F5)</f>
        <v/>
      </c>
      <c r="AP39" s="44" t="str">
        <f>IF('T3.10.5 T3.5 MHoop Brace Spt'!F2="tubing only","",'T3.10.5 T3.5 MHoop Brace Spt'!F18)</f>
        <v/>
      </c>
      <c r="AQ39" s="45" t="str">
        <f>IF('T3.10.5 T3.5 MHoop Brace Spt'!$F$2="tubing only","",'T3.10.5 T3.5 MHoop Brace Spt'!$F$20)</f>
        <v/>
      </c>
      <c r="AR39" s="45" t="str">
        <f>IF('T3.10.5 T3.5 MHoop Brace Spt'!$F$2="tubing only","",'T3.10.5 T3.5 MHoop Brace Spt'!$F$21)</f>
        <v/>
      </c>
      <c r="AS39" s="53" t="str">
        <f>IF('T3.10.5 T3.5 MHoop Brace Spt'!F2="tubing only","",'T3.10.5 T3.5 MHoop Brace Spt'!F22)</f>
        <v/>
      </c>
      <c r="AT39" s="53"/>
      <c r="AU39" s="34"/>
    </row>
    <row r="40" spans="1:47" ht="12.75" customHeight="1">
      <c r="A40" s="606" t="str">
        <f>IF(A37="no","NO","N/A")</f>
        <v>N/A</v>
      </c>
      <c r="B40" s="588"/>
      <c r="C40" s="606" t="str">
        <f t="shared" si="0"/>
        <v>N/A</v>
      </c>
      <c r="D40" s="588"/>
      <c r="E40" s="614" t="s">
        <v>123</v>
      </c>
      <c r="F40" s="588"/>
      <c r="G40" s="608" t="s">
        <v>124</v>
      </c>
      <c r="H40" s="587"/>
      <c r="I40" s="587"/>
      <c r="J40" s="587"/>
      <c r="K40" s="587"/>
      <c r="L40" s="587"/>
      <c r="M40" s="587"/>
      <c r="N40" s="588"/>
      <c r="O40" s="605" t="s">
        <v>113</v>
      </c>
      <c r="P40" s="587"/>
      <c r="Q40" s="587"/>
      <c r="R40" s="587"/>
      <c r="S40" s="588"/>
      <c r="T40" s="46" t="str">
        <f>IF(A40="N/A","NA",IF(OR('T3.15 MH &amp; MH Bing Attachments'!C8="FAIL",'T3.15 MH &amp; MH Bing Attachments'!E8="FAIL",'T3.15 MH &amp; MH Bing Attachments'!I8="FAIL",'T3.15 MH &amp; MH Bing Attachments'!K8="FAIL"),"FA","PA"))</f>
        <v>NA</v>
      </c>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43"/>
      <c r="AU40" s="34"/>
    </row>
    <row r="41" spans="1:47" ht="12.75" customHeight="1">
      <c r="A41" s="606" t="str">
        <f>IF(A36="no","NO","N/A")</f>
        <v>N/A</v>
      </c>
      <c r="B41" s="588"/>
      <c r="C41" s="606" t="str">
        <f t="shared" si="0"/>
        <v>N/A</v>
      </c>
      <c r="D41" s="588"/>
      <c r="E41" s="586" t="s">
        <v>123</v>
      </c>
      <c r="F41" s="588"/>
      <c r="G41" s="608" t="s">
        <v>125</v>
      </c>
      <c r="H41" s="587"/>
      <c r="I41" s="587"/>
      <c r="J41" s="587"/>
      <c r="K41" s="587"/>
      <c r="L41" s="587"/>
      <c r="M41" s="587"/>
      <c r="N41" s="588"/>
      <c r="O41" s="605" t="s">
        <v>113</v>
      </c>
      <c r="P41" s="587"/>
      <c r="Q41" s="587"/>
      <c r="R41" s="587"/>
      <c r="S41" s="588"/>
      <c r="T41" s="46" t="str">
        <f>IF('T3.15 FH &amp; FH Bing Attachments'!C3=0,"CH",IF(A41="N/A","NA",IF(OR('T3.15 FH &amp; FH Bing Attachments'!C8="FAIL",'T3.15 FH &amp; FH Bing Attachments'!E8="FAIL",'T3.15 FH &amp; FH Bing Attachments'!I8="FAIL",'T3.15 FH &amp; FH Bing Attachments'!K8="FAIL"),"FA","PA")))</f>
        <v>NA</v>
      </c>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34"/>
    </row>
    <row r="42" spans="1:47" ht="12.75" customHeight="1">
      <c r="A42" s="606" t="str">
        <f>IF(OR('T4.5 Harness Attachments'!Q34="YES",'T4.5 Harness Attachments'!Q35="YES",'T4.5 Harness Attachments'!Q36="YES",'T4.5 Harness Attachments'!Q37="YES"),"NO","N/A")</f>
        <v>N/A</v>
      </c>
      <c r="B42" s="588"/>
      <c r="C42" s="606" t="str">
        <f t="shared" si="0"/>
        <v>N/A</v>
      </c>
      <c r="D42" s="588"/>
      <c r="E42" s="586" t="s">
        <v>126</v>
      </c>
      <c r="F42" s="588"/>
      <c r="G42" s="607" t="s">
        <v>127</v>
      </c>
      <c r="H42" s="587"/>
      <c r="I42" s="587"/>
      <c r="J42" s="587"/>
      <c r="K42" s="587"/>
      <c r="L42" s="587"/>
      <c r="M42" s="587"/>
      <c r="N42" s="588"/>
      <c r="O42" s="605" t="s">
        <v>128</v>
      </c>
      <c r="P42" s="587"/>
      <c r="Q42" s="587"/>
      <c r="R42" s="587"/>
      <c r="S42" s="588"/>
      <c r="T42" s="46" t="str">
        <f>IF(A42="N/A","NA",IF('T4.5 Harness Attachments'!A35="PASS","PA","FA"))</f>
        <v>NA</v>
      </c>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34"/>
    </row>
    <row r="43" spans="1:47" ht="12.75" customHeight="1">
      <c r="A43" s="606" t="s">
        <v>129</v>
      </c>
      <c r="B43" s="588"/>
      <c r="C43" s="606" t="s">
        <v>129</v>
      </c>
      <c r="D43" s="588"/>
      <c r="E43" s="586" t="s">
        <v>130</v>
      </c>
      <c r="F43" s="588"/>
      <c r="G43" s="608" t="s">
        <v>131</v>
      </c>
      <c r="H43" s="587"/>
      <c r="I43" s="587"/>
      <c r="J43" s="587"/>
      <c r="K43" s="587"/>
      <c r="L43" s="587"/>
      <c r="M43" s="587"/>
      <c r="N43" s="588"/>
      <c r="O43" s="605" t="s">
        <v>113</v>
      </c>
      <c r="P43" s="587"/>
      <c r="Q43" s="587"/>
      <c r="R43" s="587"/>
      <c r="S43" s="588"/>
      <c r="T43" s="46" t="str">
        <f>IF(A43="N/A","NA",IF('T3.15.6&amp;3.16.5 Prim.Struc.Att.'!C24="FAIL","FA","PA"))</f>
        <v>NA</v>
      </c>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34"/>
    </row>
    <row r="44" spans="1:47" ht="12.75" customHeight="1">
      <c r="A44" s="606" t="s">
        <v>129</v>
      </c>
      <c r="B44" s="588"/>
      <c r="C44" s="606" t="s">
        <v>129</v>
      </c>
      <c r="D44" s="588"/>
      <c r="E44" s="586" t="s">
        <v>132</v>
      </c>
      <c r="F44" s="588"/>
      <c r="G44" s="608" t="s">
        <v>133</v>
      </c>
      <c r="H44" s="587"/>
      <c r="I44" s="587"/>
      <c r="J44" s="587"/>
      <c r="K44" s="587"/>
      <c r="L44" s="587"/>
      <c r="M44" s="587"/>
      <c r="N44" s="588"/>
      <c r="O44" s="605" t="s">
        <v>113</v>
      </c>
      <c r="P44" s="587"/>
      <c r="Q44" s="587"/>
      <c r="R44" s="587"/>
      <c r="S44" s="588"/>
      <c r="T44" s="46" t="e">
        <f t="array" aca="1" ref="T44" ca="1">_xludf.IFS(AND('T3.15.7 Prim.Struct.Att. Blind'!G38="N/A",'T3.15.7 Prim.Struct.Att. Blind'!AA38="N/A"),"NA",AND('T3.15.7 Prim.Struct.Att. Blind'!G38="PASS",'T3.15.7 Prim.Struct.Att. Blind'!AA38="PASS"),"PA",TRUE,"FA")</f>
        <v>#NAME?</v>
      </c>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34"/>
    </row>
    <row r="45" spans="1:47" ht="12.75" customHeight="1">
      <c r="A45" s="606" t="s">
        <v>129</v>
      </c>
      <c r="B45" s="588"/>
      <c r="C45" s="606" t="s">
        <v>129</v>
      </c>
      <c r="D45" s="588"/>
      <c r="E45" s="586" t="s">
        <v>134</v>
      </c>
      <c r="F45" s="588"/>
      <c r="G45" s="608" t="s">
        <v>135</v>
      </c>
      <c r="H45" s="587"/>
      <c r="I45" s="587"/>
      <c r="J45" s="587"/>
      <c r="K45" s="587"/>
      <c r="L45" s="587"/>
      <c r="M45" s="587"/>
      <c r="N45" s="588"/>
      <c r="O45" s="605"/>
      <c r="P45" s="587"/>
      <c r="Q45" s="587"/>
      <c r="R45" s="587"/>
      <c r="S45" s="588"/>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34"/>
    </row>
    <row r="46" spans="1:47" ht="12.75" customHeight="1">
      <c r="A46" s="606" t="s">
        <v>129</v>
      </c>
      <c r="B46" s="588"/>
      <c r="C46" s="606" t="s">
        <v>129</v>
      </c>
      <c r="D46" s="588"/>
      <c r="E46" s="586" t="s">
        <v>136</v>
      </c>
      <c r="F46" s="588"/>
      <c r="G46" s="607" t="s">
        <v>137</v>
      </c>
      <c r="H46" s="587"/>
      <c r="I46" s="587"/>
      <c r="J46" s="587"/>
      <c r="K46" s="587"/>
      <c r="L46" s="587"/>
      <c r="M46" s="587"/>
      <c r="N46" s="588"/>
      <c r="O46" s="605" t="s">
        <v>138</v>
      </c>
      <c r="P46" s="587"/>
      <c r="Q46" s="587"/>
      <c r="R46" s="587"/>
      <c r="S46" s="588"/>
      <c r="T46" s="46" t="str">
        <f>IF('T1.2.1 T4.6 T4.8 Firewall'!D3="PASS","PA","FA")</f>
        <v>PA</v>
      </c>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34"/>
    </row>
    <row r="47" spans="1:47" ht="12.75" customHeight="1">
      <c r="A47" s="615" t="str">
        <f>IF(NOT('EV5.5.1&amp;2 EV4.4 ACPS TSPS sidex'!F2="tubing only"),"NO",IF('EV5.5.1&amp;2 EV4.4 ACPS TSPS sidex'!G17="YES","YES","NO"))</f>
        <v>YES</v>
      </c>
      <c r="B47" s="588"/>
      <c r="C47" s="615" t="str">
        <f t="shared" ref="C47:C48" si="1">IF(A47="N/A","N/A",IF(A47="YES","NO","YES"))</f>
        <v>NO</v>
      </c>
      <c r="D47" s="588"/>
      <c r="E47" s="586" t="s">
        <v>139</v>
      </c>
      <c r="F47" s="588"/>
      <c r="G47" s="607" t="str">
        <f>IF(D17="electric vehicle","Accumulator&amp;Tractive System Protection Side","N/A")</f>
        <v>Accumulator&amp;Tractive System Protection Side</v>
      </c>
      <c r="H47" s="587"/>
      <c r="I47" s="587"/>
      <c r="J47" s="587"/>
      <c r="K47" s="587"/>
      <c r="L47" s="587"/>
      <c r="M47" s="587"/>
      <c r="N47" s="588"/>
      <c r="O47" s="605" t="s">
        <v>91</v>
      </c>
      <c r="P47" s="587"/>
      <c r="Q47" s="587"/>
      <c r="R47" s="587"/>
      <c r="S47" s="588"/>
      <c r="T47" s="46" t="str">
        <f>IF($A$47="NO",'EV5.5.1&amp;2 EV4.4 ACPS TSPS Side'!$L$27,"NA")</f>
        <v>NA</v>
      </c>
      <c r="U47" s="47" t="str">
        <f>IF($A$47="NO",'EV5.5.1&amp;2 EV4.4 ACPS TSPS Side'!$L$28,"NA")</f>
        <v>NA</v>
      </c>
      <c r="V47" s="47" t="str">
        <f>IF($A$47="NO",'EV5.5.1&amp;2 EV4.4 ACPS TSPS Side'!$L$29,"NA")</f>
        <v>NA</v>
      </c>
      <c r="W47" s="47" t="str">
        <f>IF($A$47="NO",'EV5.5.1&amp;2 EV4.4 ACPS TSPS Side'!$L$30,"NA")</f>
        <v>NA</v>
      </c>
      <c r="X47" s="47" t="str">
        <f>IF($A$47="NO",'EV5.5.1&amp;2 EV4.4 ACPS TSPS Side'!$L$31,"NA")</f>
        <v>NA</v>
      </c>
      <c r="Y47" s="47" t="str">
        <f>IF($A$47="NO",'EV5.5.1&amp;2 EV4.4 ACPS TSPS Side'!$L$32,"NA")</f>
        <v>NA</v>
      </c>
      <c r="Z47" s="47" t="str">
        <f>IF($A$47="NO",'EV5.5.1&amp;2 EV4.4 ACPS TSPS Side'!$L$33,"NA")</f>
        <v>NA</v>
      </c>
      <c r="AA47" s="42" t="str">
        <f>IF($A$47="NO",'EV5.5.1&amp;2 EV4.4 ACPS TSPS sidex'!$L$34,"NA")</f>
        <v>NA</v>
      </c>
      <c r="AB47" s="47" t="str">
        <f>IF($A$47="NO",'EV5.5.1&amp;2 EV4.4 ACPS TSPS Side'!$L$35,"NA")</f>
        <v>NA</v>
      </c>
      <c r="AC47" s="45" t="str">
        <f>IF('EV5.5.1&amp;2 EV4.4 ACPS TSPS Side'!$F$2="tubing only",'EV5.5.1&amp;2 EV4.4 ACPS TSPS Side'!$E$5,"")</f>
        <v>Steel</v>
      </c>
      <c r="AD47" s="45" t="str">
        <f>IF('EV5.5.1&amp;2 EV4.4 ACPS TSPS Side'!$F$2="tubing only",'EV5.5.1&amp;2 EV4.4 ACPS TSPS Side'!$E$6,"")</f>
        <v>Round</v>
      </c>
      <c r="AE47" s="44">
        <f>IF('EV5.5.1&amp;2 EV4.4 ACPS TSPS Side'!$F$2="tubing only",'EV5.5.1&amp;2 EV4.4 ACPS TSPS Side'!$E$15,"")</f>
        <v>28</v>
      </c>
      <c r="AF47" s="45">
        <f>IF('EV5.5.1&amp;2 EV4.4 ACPS TSPS Side'!$F$2="tubing only",'EV5.5.1&amp;2 EV4.4 ACPS TSPS Side'!$E$16,"")</f>
        <v>1.5</v>
      </c>
      <c r="AG47" s="45" t="str">
        <f>IF('EV5.5.1&amp;2 EV4.4 ACPS TSPS sidex'!$F$2="tubing only",IF('EV5.5.1&amp;2 EV4.4 ACPS TSPS sidex'!$F$14&gt;0,'EV5.5.1&amp;2 EV4.4 ACPS TSPS sidex'!$F$5,""),"")</f>
        <v/>
      </c>
      <c r="AH47" s="45" t="str">
        <f>IF('EV5.5.1&amp;2 EV4.4 ACPS TSPS sidex'!$F$2="tubing only",IF('EV5.5.1&amp;2 EV4.4 ACPS TSPS sidex'!$F$14&gt;0,'EV5.5.1&amp;2 EV4.4 ACPS TSPS sidex'!$F$6,""),"")</f>
        <v/>
      </c>
      <c r="AI47" s="44" t="str">
        <f>IF('EV5.5.1&amp;2 EV4.4 ACPS TSPS sidex'!$F$2="tubing only",IF('EV5.5.1&amp;2 EV4.4 ACPS TSPS sidex'!$F$14&gt;0,'EV5.5.1&amp;2 EV4.4 ACPS TSPS sidex'!$F$15,""),"")</f>
        <v/>
      </c>
      <c r="AJ47" s="45" t="str">
        <f>IF('EV5.5.1&amp;2 EV4.4 ACPS TSPS sidex'!$F$2="tubing only",IF('EV5.5.1&amp;2 EV4.4 ACPS TSPS sidex'!$F$14&gt;0,'EV5.5.1&amp;2 EV4.4 ACPS TSPS sidex'!$F$16,""),"")</f>
        <v/>
      </c>
      <c r="AK47" s="45" t="str">
        <f>IF('EV5.5.1&amp;2 EV4.4 ACPS TSPS sidex'!$F$2="tubing only",IF('EV5.5.1&amp;2 EV4.4 ACPS TSPS sidex'!$G$14&gt;0,'EV5.5.1&amp;2 EV4.4 ACPS TSPS sidex'!$G$5,""),"")</f>
        <v/>
      </c>
      <c r="AL47" s="45" t="str">
        <f>IF('EV5.5.1&amp;2 EV4.4 ACPS TSPS sidex'!$F$2="tubing only",IF('EV5.5.1&amp;2 EV4.4 ACPS TSPS sidex'!$G$14&gt;0,'EV5.5.1&amp;2 EV4.4 ACPS TSPS sidex'!$G$6,""),"")</f>
        <v/>
      </c>
      <c r="AM47" s="44" t="str">
        <f>IF('EV5.5.1&amp;2 EV4.4 ACPS TSPS sidex'!$F$2="tubing only",IF('EV5.5.1&amp;2 EV4.4 ACPS TSPS sidex'!$G$14&gt;0,'EV5.5.1&amp;2 EV4.4 ACPS TSPS sidex'!$G$15,""),"")</f>
        <v/>
      </c>
      <c r="AN47" s="45" t="str">
        <f>IF('EV5.5.1&amp;2 EV4.4 ACPS TSPS sidex'!$F$2="tubing only",IF('EV5.5.1&amp;2 EV4.4 ACPS TSPS sidex'!$G$14&gt;0,'EV5.5.1&amp;2 EV4.4 ACPS TSPS sidex'!$G$16,""),"")</f>
        <v/>
      </c>
      <c r="AO47" s="45" t="str">
        <f>IF('EV5.5.1&amp;2 EV4.4 ACPS TSPS sidex'!$F$2="Tubing only","",'EV5.5.1&amp;2 EV4.4 ACPS TSPS sidex'!$I$5)</f>
        <v/>
      </c>
      <c r="AP47" s="44" t="str">
        <f>IF('EV5.5.1&amp;2 EV4.4 ACPS TSPS sidex'!$F$2="Tubing only","",'EV5.5.1&amp;2 EV4.4 ACPS TSPS sidex'!$I$18)</f>
        <v/>
      </c>
      <c r="AQ47" s="45" t="str">
        <f>IF('EV5.5.1&amp;2 EV4.4 ACPS TSPS sidex'!$F$2="Tubing only","",'EV5.5.1&amp;2 EV4.4 ACPS TSPS sidex'!$I$20)</f>
        <v/>
      </c>
      <c r="AR47" s="45" t="str">
        <f>IF('EV5.5.1&amp;2 EV4.4 ACPS TSPS sidex'!$F$2="Tubing only","",'EV5.5.1&amp;2 EV4.4 ACPS TSPS sidex'!$I$21)</f>
        <v/>
      </c>
      <c r="AS47" s="53" t="str">
        <f>IF('EV5.5.1&amp;2 EV4.4 ACPS TSPS sidex'!$F$2="Tubing only","",'EV5.5.1&amp;2 EV4.4 ACPS TSPS sidex'!$I$22)</f>
        <v/>
      </c>
      <c r="AT47" s="53"/>
      <c r="AU47" s="34"/>
    </row>
    <row r="48" spans="1:47" ht="12.75" customHeight="1">
      <c r="A48" s="615" t="str">
        <f>IF(NOT('EV5.5.1&amp;2 EV4.4 ACPS TSPS rearx'!F2="tubing only"),"NO",IF('EV5.5.1&amp;2 EV4.4 ACPS TSPS sidex'!G17="YES","YES","NO"))</f>
        <v>YES</v>
      </c>
      <c r="B48" s="588"/>
      <c r="C48" s="615" t="str">
        <f t="shared" si="1"/>
        <v>NO</v>
      </c>
      <c r="D48" s="588"/>
      <c r="E48" s="586" t="s">
        <v>139</v>
      </c>
      <c r="F48" s="588"/>
      <c r="G48" s="607" t="str">
        <f>IF(D17="electric vehicle","Accumulator&amp;Tractive System Protection Rear","N/A")</f>
        <v>Accumulator&amp;Tractive System Protection Rear</v>
      </c>
      <c r="H48" s="587"/>
      <c r="I48" s="587"/>
      <c r="J48" s="587"/>
      <c r="K48" s="587"/>
      <c r="L48" s="587"/>
      <c r="M48" s="587"/>
      <c r="N48" s="588"/>
      <c r="O48" s="605" t="s">
        <v>91</v>
      </c>
      <c r="P48" s="587"/>
      <c r="Q48" s="587"/>
      <c r="R48" s="587"/>
      <c r="S48" s="588"/>
      <c r="T48" s="46" t="str">
        <f>IF($A$47="NO",'EV5.5.1&amp;2 EV4.4 ACPS TSPS Rear'!$L$27,"NA")</f>
        <v>NA</v>
      </c>
      <c r="U48" s="47" t="str">
        <f>IF($A$47="NO",'EV5.5.1&amp;2 EV4.4 ACPS TSPS Rear'!$L$28,"NA")</f>
        <v>NA</v>
      </c>
      <c r="V48" s="47" t="str">
        <f>IF($A$47="NO",'EV5.5.1&amp;2 EV4.4 ACPS TSPS Rear'!$L$29,"NA")</f>
        <v>NA</v>
      </c>
      <c r="W48" s="47" t="str">
        <f>IF($A$47="NO",'EV5.5.1&amp;2 EV4.4 ACPS TSPS Rear'!$L$30,"NA")</f>
        <v>NA</v>
      </c>
      <c r="X48" s="47" t="str">
        <f>IF($A$47="NO",'EV5.5.1&amp;2 EV4.4 ACPS TSPS Rear'!$L$31,"NA")</f>
        <v>NA</v>
      </c>
      <c r="Y48" s="47" t="str">
        <f>IF($A$47="NO",'EV5.5.1&amp;2 EV4.4 ACPS TSPS Rear'!$L$32,"NA")</f>
        <v>NA</v>
      </c>
      <c r="Z48" s="47" t="str">
        <f>IF($A$47="NO",'EV5.5.1&amp;2 EV4.4 ACPS TSPS Rear'!$L$33,"NA")</f>
        <v>NA</v>
      </c>
      <c r="AA48" s="42" t="str">
        <f>IF($A$47="NO",'EV5.5.1&amp;2 EV4.4 ACPS TSPS Rear'!$L$34,"NA")</f>
        <v>NA</v>
      </c>
      <c r="AB48" s="47" t="str">
        <f>IF($A$47="NO",'EV5.5.1&amp;2 EV4.4 ACPS TSPS Rear'!$L$35,"NA")</f>
        <v>NA</v>
      </c>
      <c r="AC48" s="45" t="str">
        <f>IF('EV5.5.1&amp;2 EV4.4 ACPS TSPS Rear'!$F$2="tubing only",'EV5.5.1&amp;2 EV4.4 ACPS TSPS Rear'!$E$5,"")</f>
        <v>Steel</v>
      </c>
      <c r="AD48" s="45" t="str">
        <f>IF('EV5.5.1&amp;2 EV4.4 ACPS TSPS Rear'!$F$2="tubing only",'EV5.5.1&amp;2 EV4.4 ACPS TSPS Rear'!$E$6,"")</f>
        <v>Round</v>
      </c>
      <c r="AE48" s="44">
        <f>IF('EV5.5.1&amp;2 EV4.4 ACPS TSPS Rear'!$F$2="tubing only",'EV5.5.1&amp;2 EV4.4 ACPS TSPS Rear'!$E$15,"")</f>
        <v>28</v>
      </c>
      <c r="AF48" s="45">
        <f>IF('EV5.5.1&amp;2 EV4.4 ACPS TSPS Rear'!$F$2="tubing only",'EV5.5.1&amp;2 EV4.4 ACPS TSPS Rear'!$E$16,"")</f>
        <v>1.5</v>
      </c>
      <c r="AG48" s="45" t="str">
        <f>IF('EV5.5.1&amp;2 EV4.4 ACPS TSPS sidex'!$F$2="tubing only",IF('EV5.5.1&amp;2 EV4.4 ACPS TSPS sidex'!$F$14&gt;0,'EV5.5.1&amp;2 EV4.4 ACPS TSPS sidex'!$F$5,""),"")</f>
        <v/>
      </c>
      <c r="AH48" s="45" t="str">
        <f>IF('EV5.5.1&amp;2 EV4.4 ACPS TSPS sidex'!$F$2="tubing only",IF('EV5.5.1&amp;2 EV4.4 ACPS TSPS sidex'!$F$14&gt;0,'EV5.5.1&amp;2 EV4.4 ACPS TSPS sidex'!$F$6,""),"")</f>
        <v/>
      </c>
      <c r="AI48" s="44" t="str">
        <f>IF('EV5.5.1&amp;2 EV4.4 ACPS TSPS sidex'!$F$2="tubing only",IF('EV5.5.1&amp;2 EV4.4 ACPS TSPS sidex'!$F$14&gt;0,'EV5.5.1&amp;2 EV4.4 ACPS TSPS sidex'!$F$15,""),"")</f>
        <v/>
      </c>
      <c r="AJ48" s="45" t="str">
        <f>IF('EV5.5.1&amp;2 EV4.4 ACPS TSPS sidex'!$F$2="tubing only",IF('EV5.5.1&amp;2 EV4.4 ACPS TSPS sidex'!$F$14&gt;0,'EV5.5.1&amp;2 EV4.4 ACPS TSPS sidex'!$F$16,""),"")</f>
        <v/>
      </c>
      <c r="AK48" s="45" t="str">
        <f>IF('EV5.5.1&amp;2 EV4.4 ACPS TSPS sidex'!$F$2="tubing only",IF('EV5.5.1&amp;2 EV4.4 ACPS TSPS sidex'!$G$14&gt;0,'EV5.5.1&amp;2 EV4.4 ACPS TSPS sidex'!$G$5,""),"")</f>
        <v/>
      </c>
      <c r="AL48" s="45" t="str">
        <f>IF('EV5.5.1&amp;2 EV4.4 ACPS TSPS sidex'!$F$2="tubing only",IF('EV5.5.1&amp;2 EV4.4 ACPS TSPS sidex'!$G$14&gt;0,'EV5.5.1&amp;2 EV4.4 ACPS TSPS sidex'!$G$6,""),"")</f>
        <v/>
      </c>
      <c r="AM48" s="44" t="str">
        <f>IF('EV5.5.1&amp;2 EV4.4 ACPS TSPS sidex'!$F$2="tubing only",IF('EV5.5.1&amp;2 EV4.4 ACPS TSPS sidex'!$G$14&gt;0,'EV5.5.1&amp;2 EV4.4 ACPS TSPS sidex'!$G$15,""),"")</f>
        <v/>
      </c>
      <c r="AN48" s="45" t="str">
        <f>IF('EV5.5.1&amp;2 EV4.4 ACPS TSPS sidex'!$F$2="tubing only",IF('EV5.5.1&amp;2 EV4.4 ACPS TSPS sidex'!$G$14&gt;0,'EV5.5.1&amp;2 EV4.4 ACPS TSPS sidex'!$G$16,""),"")</f>
        <v/>
      </c>
      <c r="AO48" s="45" t="str">
        <f>IF('EV5.5.1&amp;2 EV4.4 ACPS TSPS sidex'!$F$2="Tubing only","",'EV5.5.1&amp;2 EV4.4 ACPS TSPS sidex'!$I$5)</f>
        <v/>
      </c>
      <c r="AP48" s="44" t="str">
        <f>IF('EV5.5.1&amp;2 EV4.4 ACPS TSPS sidex'!$F$2="Tubing only","",'EV5.5.1&amp;2 EV4.4 ACPS TSPS sidex'!$I$18)</f>
        <v/>
      </c>
      <c r="AQ48" s="45" t="str">
        <f>IF('EV5.5.1&amp;2 EV4.4 ACPS TSPS sidex'!$F$2="Tubing only","",'EV5.5.1&amp;2 EV4.4 ACPS TSPS sidex'!$I$20)</f>
        <v/>
      </c>
      <c r="AR48" s="45" t="str">
        <f>IF('EV5.5.1&amp;2 EV4.4 ACPS TSPS sidex'!$F$2="Tubing only","",'EV5.5.1&amp;2 EV4.4 ACPS TSPS sidex'!$I$21)</f>
        <v/>
      </c>
      <c r="AS48" s="53" t="str">
        <f>IF('EV5.5.1&amp;2 EV4.4 ACPS TSPS sidex'!$F$2="Tubing only","",'EV5.5.1&amp;2 EV4.4 ACPS TSPS sidex'!$I$22)</f>
        <v/>
      </c>
      <c r="AT48" s="53"/>
      <c r="AU48" s="34"/>
    </row>
    <row r="49" spans="1:47" ht="12.75" customHeight="1">
      <c r="A49" s="31" t="s">
        <v>140</v>
      </c>
      <c r="B49" s="34"/>
      <c r="C49" s="34"/>
      <c r="D49" s="34"/>
      <c r="E49" s="34"/>
      <c r="F49" s="34"/>
      <c r="G49" s="34"/>
      <c r="H49" s="34"/>
      <c r="I49" s="34"/>
      <c r="J49" s="34"/>
      <c r="K49" s="34"/>
      <c r="L49" s="34"/>
      <c r="M49" s="34"/>
      <c r="N49" s="34"/>
      <c r="O49" s="34"/>
      <c r="P49" s="34"/>
      <c r="Q49" s="34"/>
      <c r="R49" s="34"/>
      <c r="S49" s="34"/>
      <c r="T49" s="55"/>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row>
    <row r="50" spans="1:47" ht="12.75" customHeight="1">
      <c r="A50" s="56" t="str">
        <f t="shared" ref="A50:A55" si="2">IF(OR($T50="YES",$T50="N/A"),"P","F")</f>
        <v>F</v>
      </c>
      <c r="B50" s="616" t="s">
        <v>141</v>
      </c>
      <c r="C50" s="598"/>
      <c r="D50" s="598"/>
      <c r="E50" s="598"/>
      <c r="F50" s="598"/>
      <c r="G50" s="598"/>
      <c r="H50" s="598"/>
      <c r="I50" s="598"/>
      <c r="J50" s="598"/>
      <c r="K50" s="598"/>
      <c r="L50" s="598"/>
      <c r="M50" s="598"/>
      <c r="N50" s="598"/>
      <c r="O50" s="598"/>
      <c r="P50" s="598"/>
      <c r="Q50" s="598"/>
      <c r="R50" s="598"/>
      <c r="S50" s="598"/>
      <c r="T50" s="58" t="s">
        <v>142</v>
      </c>
      <c r="U50" s="59"/>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row>
    <row r="51" spans="1:47" ht="12.75" customHeight="1">
      <c r="A51" s="56" t="str">
        <f t="shared" si="2"/>
        <v>F</v>
      </c>
      <c r="B51" s="616" t="s">
        <v>143</v>
      </c>
      <c r="C51" s="598"/>
      <c r="D51" s="598"/>
      <c r="E51" s="598"/>
      <c r="F51" s="598"/>
      <c r="G51" s="598"/>
      <c r="H51" s="598"/>
      <c r="I51" s="598"/>
      <c r="J51" s="598"/>
      <c r="K51" s="598"/>
      <c r="L51" s="598"/>
      <c r="M51" s="598"/>
      <c r="N51" s="598"/>
      <c r="O51" s="598"/>
      <c r="P51" s="598"/>
      <c r="Q51" s="598"/>
      <c r="R51" s="598"/>
      <c r="S51" s="598"/>
      <c r="T51" s="58" t="s">
        <v>142</v>
      </c>
      <c r="U51" s="59"/>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row>
    <row r="52" spans="1:47" ht="12.75" customHeight="1">
      <c r="A52" s="56" t="str">
        <f t="shared" si="2"/>
        <v>P</v>
      </c>
      <c r="B52" s="616" t="s">
        <v>144</v>
      </c>
      <c r="C52" s="598"/>
      <c r="D52" s="598"/>
      <c r="E52" s="598"/>
      <c r="F52" s="598"/>
      <c r="G52" s="598"/>
      <c r="H52" s="598"/>
      <c r="I52" s="598"/>
      <c r="J52" s="598"/>
      <c r="K52" s="598"/>
      <c r="L52" s="598"/>
      <c r="M52" s="598"/>
      <c r="N52" s="598"/>
      <c r="O52" s="598"/>
      <c r="P52" s="598"/>
      <c r="Q52" s="598"/>
      <c r="R52" s="598"/>
      <c r="S52" s="598"/>
      <c r="T52" s="58" t="s">
        <v>129</v>
      </c>
      <c r="U52" s="59"/>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row>
    <row r="53" spans="1:47" ht="12.75" customHeight="1">
      <c r="A53" s="56" t="str">
        <f t="shared" si="2"/>
        <v>P</v>
      </c>
      <c r="B53" s="616" t="s">
        <v>145</v>
      </c>
      <c r="C53" s="598"/>
      <c r="D53" s="598"/>
      <c r="E53" s="598"/>
      <c r="F53" s="598"/>
      <c r="G53" s="598"/>
      <c r="H53" s="598"/>
      <c r="I53" s="598"/>
      <c r="J53" s="598"/>
      <c r="K53" s="598"/>
      <c r="L53" s="598"/>
      <c r="M53" s="598"/>
      <c r="N53" s="598"/>
      <c r="O53" s="598"/>
      <c r="P53" s="598"/>
      <c r="Q53" s="598"/>
      <c r="R53" s="598"/>
      <c r="S53" s="598"/>
      <c r="T53" s="58" t="s">
        <v>129</v>
      </c>
      <c r="U53" s="59"/>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row>
    <row r="54" spans="1:47" ht="12.75" customHeight="1">
      <c r="A54" s="56" t="str">
        <f t="shared" si="2"/>
        <v>P</v>
      </c>
      <c r="B54" s="616" t="s">
        <v>145</v>
      </c>
      <c r="C54" s="598"/>
      <c r="D54" s="598"/>
      <c r="E54" s="598"/>
      <c r="F54" s="598"/>
      <c r="G54" s="598"/>
      <c r="H54" s="598"/>
      <c r="I54" s="598"/>
      <c r="J54" s="598"/>
      <c r="K54" s="598"/>
      <c r="L54" s="598"/>
      <c r="M54" s="598"/>
      <c r="N54" s="598"/>
      <c r="O54" s="598"/>
      <c r="P54" s="598"/>
      <c r="Q54" s="598"/>
      <c r="R54" s="598"/>
      <c r="S54" s="598"/>
      <c r="T54" s="58" t="s">
        <v>129</v>
      </c>
      <c r="U54" s="59"/>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row>
    <row r="55" spans="1:47" ht="12.75" customHeight="1">
      <c r="A55" s="56" t="str">
        <f t="shared" si="2"/>
        <v>P</v>
      </c>
      <c r="B55" s="616" t="s">
        <v>145</v>
      </c>
      <c r="C55" s="598"/>
      <c r="D55" s="598"/>
      <c r="E55" s="598"/>
      <c r="F55" s="598"/>
      <c r="G55" s="598"/>
      <c r="H55" s="598"/>
      <c r="I55" s="598"/>
      <c r="J55" s="598"/>
      <c r="K55" s="598"/>
      <c r="L55" s="598"/>
      <c r="M55" s="598"/>
      <c r="N55" s="598"/>
      <c r="O55" s="598"/>
      <c r="P55" s="598"/>
      <c r="Q55" s="598"/>
      <c r="R55" s="598"/>
      <c r="S55" s="598"/>
      <c r="T55" s="58" t="s">
        <v>129</v>
      </c>
      <c r="U55" s="59"/>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row>
    <row r="56" spans="1:47" ht="12.75" customHeight="1">
      <c r="A56" s="34"/>
      <c r="B56" s="34"/>
      <c r="C56" s="34"/>
      <c r="D56" s="34"/>
      <c r="E56" s="34"/>
      <c r="F56" s="34"/>
      <c r="G56" s="34"/>
      <c r="H56" s="34"/>
      <c r="I56" s="34"/>
      <c r="J56" s="34"/>
      <c r="K56" s="34"/>
      <c r="L56" s="34"/>
      <c r="M56" s="34"/>
      <c r="N56" s="34"/>
      <c r="O56" s="34"/>
      <c r="P56" s="34"/>
      <c r="Q56" s="34"/>
      <c r="R56" s="34"/>
      <c r="S56" s="34"/>
      <c r="T56" s="60"/>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row>
    <row r="57" spans="1:47" ht="12.75" customHeight="1">
      <c r="A57" s="617" t="s">
        <v>146</v>
      </c>
      <c r="B57" s="598"/>
      <c r="C57" s="598"/>
      <c r="D57" s="598"/>
      <c r="E57" s="598"/>
      <c r="F57" s="598"/>
      <c r="G57" s="598"/>
      <c r="H57" s="598"/>
      <c r="I57" s="598"/>
      <c r="J57" s="598"/>
      <c r="K57" s="598"/>
      <c r="L57" s="598"/>
      <c r="M57" s="598"/>
      <c r="N57" s="598"/>
      <c r="O57" s="598"/>
      <c r="P57" s="598"/>
      <c r="Q57" s="598"/>
      <c r="R57" s="598"/>
      <c r="S57" s="598"/>
      <c r="T57" s="60"/>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row>
    <row r="58" spans="1:47" ht="12.75" customHeight="1">
      <c r="A58" s="61" t="s">
        <v>147</v>
      </c>
      <c r="B58" s="34"/>
      <c r="C58" s="39" t="s">
        <v>148</v>
      </c>
      <c r="D58" s="34"/>
      <c r="E58" s="34"/>
      <c r="F58" s="34"/>
      <c r="G58" s="34"/>
      <c r="H58" s="34"/>
      <c r="I58" s="34"/>
      <c r="J58" s="62" t="s">
        <v>149</v>
      </c>
      <c r="K58" s="34"/>
      <c r="L58" s="34"/>
      <c r="M58" s="34"/>
      <c r="N58" s="34"/>
      <c r="O58" s="34"/>
      <c r="P58" s="34"/>
      <c r="Q58" s="34"/>
      <c r="R58" s="34"/>
      <c r="S58" s="34"/>
      <c r="T58" s="60"/>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row>
    <row r="59" spans="1:47" ht="12.75" customHeight="1">
      <c r="A59" s="61"/>
      <c r="B59" s="34"/>
      <c r="C59" s="39"/>
      <c r="D59" s="34"/>
      <c r="E59" s="34"/>
      <c r="F59" s="34"/>
      <c r="G59" s="34"/>
      <c r="H59" s="34"/>
      <c r="I59" s="34"/>
      <c r="J59" s="62"/>
      <c r="K59" s="34"/>
      <c r="L59" s="34"/>
      <c r="M59" s="34"/>
      <c r="N59" s="34"/>
      <c r="O59" s="34"/>
      <c r="P59" s="34"/>
      <c r="Q59" s="34"/>
      <c r="R59" s="34"/>
      <c r="S59" s="34"/>
      <c r="T59" s="60"/>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row>
    <row r="60" spans="1:47" ht="12.75" customHeight="1">
      <c r="A60" s="618" t="s">
        <v>150</v>
      </c>
      <c r="B60" s="598"/>
      <c r="C60" s="598"/>
      <c r="D60" s="598"/>
      <c r="E60" s="598"/>
      <c r="F60" s="598"/>
      <c r="G60" s="598"/>
      <c r="H60" s="598"/>
      <c r="I60" s="598"/>
      <c r="J60" s="598"/>
      <c r="K60" s="598"/>
      <c r="L60" s="598"/>
      <c r="M60" s="598"/>
      <c r="N60" s="598"/>
      <c r="O60" s="598"/>
      <c r="P60" s="598"/>
      <c r="Q60" s="598"/>
      <c r="R60" s="598"/>
      <c r="S60" s="598"/>
      <c r="T60" s="63"/>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row>
    <row r="61" spans="1:47" ht="12.75" customHeight="1">
      <c r="A61" s="598"/>
      <c r="B61" s="598"/>
      <c r="C61" s="598"/>
      <c r="D61" s="598"/>
      <c r="E61" s="598"/>
      <c r="F61" s="598"/>
      <c r="G61" s="598"/>
      <c r="H61" s="598"/>
      <c r="I61" s="598"/>
      <c r="J61" s="598"/>
      <c r="K61" s="598"/>
      <c r="L61" s="598"/>
      <c r="M61" s="598"/>
      <c r="N61" s="598"/>
      <c r="O61" s="598"/>
      <c r="P61" s="598"/>
      <c r="Q61" s="598"/>
      <c r="R61" s="598"/>
      <c r="S61" s="598"/>
      <c r="T61" s="63"/>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row>
    <row r="62" spans="1:47"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row>
    <row r="63" spans="1:47"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row>
    <row r="64" spans="1:47"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row>
    <row r="65" spans="1:47"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row>
    <row r="66" spans="1:47"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row>
    <row r="759" spans="1:4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row>
    <row r="760" spans="1:4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row>
    <row r="761" spans="1:4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row>
    <row r="762" spans="1:4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row>
    <row r="763" spans="1:4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row>
    <row r="764" spans="1:4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row>
    <row r="765" spans="1:4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row>
    <row r="766" spans="1:4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row>
    <row r="767" spans="1:4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row>
    <row r="768" spans="1:4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row>
    <row r="769" spans="1:4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row>
    <row r="770" spans="1:4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row>
    <row r="771" spans="1:4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row>
    <row r="772" spans="1:4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row>
    <row r="773" spans="1:4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row>
    <row r="774" spans="1:4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row>
    <row r="775" spans="1:4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row>
    <row r="776" spans="1:4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row>
    <row r="777" spans="1:4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row>
    <row r="778" spans="1:4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row>
    <row r="779" spans="1:4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row>
    <row r="780" spans="1:4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row>
    <row r="781" spans="1:4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row>
    <row r="782" spans="1:4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row>
    <row r="783" spans="1:4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row>
    <row r="784" spans="1:4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row>
    <row r="785" spans="1:4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row>
    <row r="786" spans="1:4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row>
    <row r="787" spans="1:4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row>
    <row r="788" spans="1:4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row>
    <row r="789" spans="1:4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row>
    <row r="790" spans="1:4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row>
    <row r="791" spans="1:4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row>
    <row r="792" spans="1:4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row>
    <row r="793" spans="1:4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row>
    <row r="794" spans="1:4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row>
    <row r="795" spans="1:4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row>
    <row r="796" spans="1:4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row>
    <row r="797" spans="1:4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row>
    <row r="798" spans="1:4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row>
    <row r="799" spans="1:4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row>
    <row r="800" spans="1:4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row>
    <row r="801" spans="1:4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row>
    <row r="802" spans="1:4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row>
    <row r="803" spans="1:4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row>
    <row r="804" spans="1:4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row>
    <row r="805" spans="1:4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row>
    <row r="806" spans="1:4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row>
    <row r="807" spans="1:4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row>
    <row r="808" spans="1:4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row>
    <row r="809" spans="1:4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row>
    <row r="810" spans="1:4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row>
    <row r="811" spans="1:4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row>
    <row r="812" spans="1:4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row>
    <row r="813" spans="1:4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row>
    <row r="814" spans="1:4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row>
    <row r="815" spans="1:4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row>
    <row r="816" spans="1:4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row>
    <row r="817" spans="1:4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row>
    <row r="818" spans="1:4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row>
    <row r="819" spans="1:4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row>
    <row r="820" spans="1:4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row>
    <row r="821" spans="1:4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row>
    <row r="822" spans="1:4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row>
    <row r="823" spans="1:4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row>
    <row r="824" spans="1:4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row>
    <row r="825" spans="1:4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row>
    <row r="826" spans="1:4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row>
    <row r="827" spans="1:4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row>
    <row r="828" spans="1:4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row>
    <row r="829" spans="1:4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row>
    <row r="830" spans="1:4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row>
    <row r="831" spans="1:4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row>
    <row r="832" spans="1:4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row>
    <row r="833" spans="1:4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row>
    <row r="834" spans="1:4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row>
    <row r="835" spans="1:4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row>
    <row r="836" spans="1:4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row>
    <row r="837" spans="1:4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row>
    <row r="838" spans="1:4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row>
    <row r="839" spans="1:4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row>
    <row r="840" spans="1:4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row>
    <row r="841" spans="1:4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row>
    <row r="842" spans="1:4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row>
    <row r="843" spans="1:4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row>
    <row r="844" spans="1:4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row>
    <row r="845" spans="1:4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row>
    <row r="846" spans="1:4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row>
    <row r="847" spans="1:4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row>
    <row r="848" spans="1:4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row>
    <row r="849" spans="1:4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row>
    <row r="850" spans="1:4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row>
    <row r="851" spans="1:4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row>
    <row r="852" spans="1:4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row>
    <row r="853" spans="1:4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row>
    <row r="854" spans="1:4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row>
    <row r="855" spans="1:4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row>
    <row r="856" spans="1:4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row>
    <row r="857" spans="1:4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row>
    <row r="858" spans="1:4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row>
    <row r="859" spans="1:4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row>
    <row r="860" spans="1:4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row>
    <row r="861" spans="1:4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row>
    <row r="862" spans="1:4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row>
    <row r="863" spans="1:4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row>
    <row r="864" spans="1:4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row>
    <row r="865" spans="1:4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row>
    <row r="866" spans="1:4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row>
    <row r="867" spans="1:4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row>
    <row r="868" spans="1:4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row>
    <row r="869" spans="1:4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row>
    <row r="870" spans="1:4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row>
    <row r="871" spans="1:4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row>
    <row r="872" spans="1:4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row>
    <row r="873" spans="1:4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row>
    <row r="874" spans="1:4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row>
    <row r="875" spans="1:4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row>
    <row r="876" spans="1:4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row>
    <row r="877" spans="1:4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row>
    <row r="878" spans="1:4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row>
    <row r="879" spans="1:4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row>
    <row r="880" spans="1:4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row>
    <row r="881" spans="1:4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row>
    <row r="882" spans="1:4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row>
    <row r="883" spans="1:4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row>
    <row r="884" spans="1:4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row>
    <row r="885" spans="1:4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row>
    <row r="886" spans="1:4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row>
    <row r="887" spans="1:4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row>
    <row r="888" spans="1:4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row>
    <row r="889" spans="1:4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row>
    <row r="890" spans="1:4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row>
    <row r="891" spans="1:4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row>
    <row r="892" spans="1:4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row>
    <row r="893" spans="1:4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row>
    <row r="894" spans="1:4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row>
    <row r="895" spans="1:4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row>
    <row r="896" spans="1:4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row>
    <row r="897" spans="1:4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row>
    <row r="898" spans="1:4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row>
    <row r="899" spans="1:4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row>
    <row r="900" spans="1:4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row>
    <row r="901" spans="1:4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row>
    <row r="902" spans="1:4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row>
    <row r="903" spans="1:4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row>
    <row r="904" spans="1:4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row>
    <row r="905" spans="1:4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row>
    <row r="906" spans="1:4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row>
    <row r="907" spans="1:4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row>
    <row r="908" spans="1:4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row>
    <row r="909" spans="1:4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row>
    <row r="910" spans="1:4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row>
    <row r="911" spans="1:4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row>
    <row r="912" spans="1:4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row>
    <row r="913" spans="1:4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row>
    <row r="914" spans="1:4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row>
    <row r="915" spans="1:4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row>
    <row r="916" spans="1:4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row>
    <row r="917" spans="1:4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row>
    <row r="918" spans="1:4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row>
    <row r="919" spans="1:4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row>
    <row r="920" spans="1:4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row>
    <row r="921" spans="1:4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row>
    <row r="922" spans="1:4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row>
    <row r="923" spans="1:4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row>
    <row r="924" spans="1:4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row>
    <row r="925" spans="1:4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row>
    <row r="926" spans="1:4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row>
    <row r="927" spans="1:4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row>
    <row r="928" spans="1:4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row>
    <row r="929" spans="1:4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row>
    <row r="930" spans="1:4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row>
    <row r="931" spans="1:4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row>
    <row r="932" spans="1:4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row>
    <row r="933" spans="1:4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row>
    <row r="934" spans="1:4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row>
    <row r="935" spans="1:4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row>
    <row r="936" spans="1:4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row>
    <row r="937" spans="1:4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row>
    <row r="938" spans="1:4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row>
    <row r="939" spans="1:4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row>
    <row r="940" spans="1:4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row>
    <row r="941" spans="1:4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row>
    <row r="942" spans="1:4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row>
    <row r="943" spans="1:4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row>
    <row r="944" spans="1:4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row>
    <row r="945" spans="1:4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row>
    <row r="946" spans="1:4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row>
    <row r="947" spans="1:4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row>
    <row r="948" spans="1:4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row>
    <row r="949" spans="1:4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row>
    <row r="950" spans="1:4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row>
    <row r="951" spans="1:4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row>
    <row r="952" spans="1:4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row>
    <row r="953" spans="1:4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row>
    <row r="954" spans="1:4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row>
    <row r="955" spans="1:4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row>
    <row r="956" spans="1:4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row>
    <row r="957" spans="1:4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row>
    <row r="958" spans="1:4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row>
    <row r="959" spans="1:4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row>
    <row r="960" spans="1:4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row>
    <row r="961" spans="1:4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row>
    <row r="962" spans="1:4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row>
    <row r="963" spans="1:4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row>
    <row r="964" spans="1:4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row>
    <row r="965" spans="1:4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row>
    <row r="966" spans="1:4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row>
    <row r="967" spans="1:4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row>
    <row r="968" spans="1:4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row>
    <row r="969" spans="1:4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row>
    <row r="970" spans="1:4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row>
    <row r="971" spans="1:4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row>
    <row r="972" spans="1:4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row>
    <row r="973" spans="1:4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row>
    <row r="974" spans="1:4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row>
    <row r="975" spans="1:4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row>
    <row r="976" spans="1:4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row>
    <row r="977" spans="1:4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row>
    <row r="978" spans="1:4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row>
    <row r="979" spans="1:4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row>
    <row r="980" spans="1:4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row>
    <row r="981" spans="1:4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row>
    <row r="982" spans="1:4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row>
    <row r="983" spans="1:4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row>
    <row r="984" spans="1:4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row>
    <row r="985" spans="1:4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row>
    <row r="986" spans="1:4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row>
    <row r="987" spans="1:4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row>
    <row r="988" spans="1:4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row>
    <row r="989" spans="1:4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row>
    <row r="990" spans="1:4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row>
    <row r="991" spans="1:4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row>
    <row r="992" spans="1:4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row>
    <row r="993" spans="1:4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row>
    <row r="994" spans="1:4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row>
    <row r="995" spans="1:4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row>
    <row r="996" spans="1:4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row>
    <row r="997" spans="1:4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row>
    <row r="998" spans="1:4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row>
    <row r="999" spans="1:4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row>
    <row r="1000" spans="1:4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row>
  </sheetData>
  <mergeCells count="202">
    <mergeCell ref="A39:B39"/>
    <mergeCell ref="C39:D39"/>
    <mergeCell ref="E39:F39"/>
    <mergeCell ref="G39:N39"/>
    <mergeCell ref="O39:S39"/>
    <mergeCell ref="A30:B30"/>
    <mergeCell ref="C30:D30"/>
    <mergeCell ref="O30:S30"/>
    <mergeCell ref="E30:F30"/>
    <mergeCell ref="G30:N30"/>
    <mergeCell ref="A31:B31"/>
    <mergeCell ref="C31:D31"/>
    <mergeCell ref="E31:F31"/>
    <mergeCell ref="G31:N31"/>
    <mergeCell ref="O31:S31"/>
    <mergeCell ref="A35:B35"/>
    <mergeCell ref="C35:D35"/>
    <mergeCell ref="E35:F35"/>
    <mergeCell ref="G35:N35"/>
    <mergeCell ref="O35:S35"/>
    <mergeCell ref="A36:B36"/>
    <mergeCell ref="C36:D36"/>
    <mergeCell ref="O36:S36"/>
    <mergeCell ref="A33:B33"/>
    <mergeCell ref="G27:N27"/>
    <mergeCell ref="A28:B28"/>
    <mergeCell ref="C28:D28"/>
    <mergeCell ref="E28:F28"/>
    <mergeCell ref="G28:N28"/>
    <mergeCell ref="O28:S28"/>
    <mergeCell ref="A29:B29"/>
    <mergeCell ref="C29:D29"/>
    <mergeCell ref="E29:F29"/>
    <mergeCell ref="G29:N29"/>
    <mergeCell ref="O29:S29"/>
    <mergeCell ref="A1:S1"/>
    <mergeCell ref="A3:S9"/>
    <mergeCell ref="A11:S12"/>
    <mergeCell ref="D14:J14"/>
    <mergeCell ref="D15:J15"/>
    <mergeCell ref="D16:J16"/>
    <mergeCell ref="A19:S19"/>
    <mergeCell ref="D17:J17"/>
    <mergeCell ref="A21:B23"/>
    <mergeCell ref="C21:D23"/>
    <mergeCell ref="E21:F23"/>
    <mergeCell ref="G21:N23"/>
    <mergeCell ref="N15:S15"/>
    <mergeCell ref="N16:S16"/>
    <mergeCell ref="B51:S51"/>
    <mergeCell ref="B52:S52"/>
    <mergeCell ref="B53:S53"/>
    <mergeCell ref="B54:S54"/>
    <mergeCell ref="B55:S55"/>
    <mergeCell ref="A57:S57"/>
    <mergeCell ref="A60:S61"/>
    <mergeCell ref="E47:F47"/>
    <mergeCell ref="G47:N47"/>
    <mergeCell ref="A48:B48"/>
    <mergeCell ref="C48:D48"/>
    <mergeCell ref="E48:F48"/>
    <mergeCell ref="G48:N48"/>
    <mergeCell ref="O48:S48"/>
    <mergeCell ref="A46:B46"/>
    <mergeCell ref="C46:D46"/>
    <mergeCell ref="E46:F46"/>
    <mergeCell ref="G46:N46"/>
    <mergeCell ref="O46:S46"/>
    <mergeCell ref="A47:B47"/>
    <mergeCell ref="C47:D47"/>
    <mergeCell ref="O47:S47"/>
    <mergeCell ref="B50:S50"/>
    <mergeCell ref="A44:B44"/>
    <mergeCell ref="C44:D44"/>
    <mergeCell ref="O44:S44"/>
    <mergeCell ref="E44:F44"/>
    <mergeCell ref="G44:N44"/>
    <mergeCell ref="A45:B45"/>
    <mergeCell ref="C45:D45"/>
    <mergeCell ref="E45:F45"/>
    <mergeCell ref="G45:N45"/>
    <mergeCell ref="O45:S45"/>
    <mergeCell ref="A42:B42"/>
    <mergeCell ref="C42:D42"/>
    <mergeCell ref="E42:F42"/>
    <mergeCell ref="G42:N42"/>
    <mergeCell ref="O42:S42"/>
    <mergeCell ref="A43:B43"/>
    <mergeCell ref="C43:D43"/>
    <mergeCell ref="E43:F43"/>
    <mergeCell ref="G43:N43"/>
    <mergeCell ref="O43:S43"/>
    <mergeCell ref="A40:B40"/>
    <mergeCell ref="C40:D40"/>
    <mergeCell ref="E40:F40"/>
    <mergeCell ref="G40:N40"/>
    <mergeCell ref="O40:S40"/>
    <mergeCell ref="A41:B41"/>
    <mergeCell ref="C41:D41"/>
    <mergeCell ref="O41:S41"/>
    <mergeCell ref="E41:F41"/>
    <mergeCell ref="G41:N41"/>
    <mergeCell ref="AM37:AM38"/>
    <mergeCell ref="AN37:AN38"/>
    <mergeCell ref="AC37:AC38"/>
    <mergeCell ref="AD37:AD38"/>
    <mergeCell ref="AE37:AE38"/>
    <mergeCell ref="AF37:AF38"/>
    <mergeCell ref="AG37:AG38"/>
    <mergeCell ref="AH37:AH38"/>
    <mergeCell ref="AI37:AI38"/>
    <mergeCell ref="W37:W38"/>
    <mergeCell ref="X37:X38"/>
    <mergeCell ref="Y37:Y38"/>
    <mergeCell ref="Z37:Z38"/>
    <mergeCell ref="AA37:AA38"/>
    <mergeCell ref="AB37:AB38"/>
    <mergeCell ref="AJ37:AJ38"/>
    <mergeCell ref="AK37:AK38"/>
    <mergeCell ref="AL37:AL38"/>
    <mergeCell ref="V37:V38"/>
    <mergeCell ref="A38:B38"/>
    <mergeCell ref="C38:D38"/>
    <mergeCell ref="E38:F38"/>
    <mergeCell ref="G38:N38"/>
    <mergeCell ref="O38:S38"/>
    <mergeCell ref="E36:F36"/>
    <mergeCell ref="G36:N36"/>
    <mergeCell ref="A37:B37"/>
    <mergeCell ref="C37:D37"/>
    <mergeCell ref="E37:F37"/>
    <mergeCell ref="G37:N37"/>
    <mergeCell ref="O37:S37"/>
    <mergeCell ref="T37:T38"/>
    <mergeCell ref="U37:U38"/>
    <mergeCell ref="C33:D33"/>
    <mergeCell ref="O33:S33"/>
    <mergeCell ref="E33:F33"/>
    <mergeCell ref="G33:N33"/>
    <mergeCell ref="A34:B34"/>
    <mergeCell ref="C34:D34"/>
    <mergeCell ref="E34:F34"/>
    <mergeCell ref="G34:N34"/>
    <mergeCell ref="O34:S34"/>
    <mergeCell ref="E24:F24"/>
    <mergeCell ref="G24:N24"/>
    <mergeCell ref="O24:S24"/>
    <mergeCell ref="A25:B25"/>
    <mergeCell ref="C25:D25"/>
    <mergeCell ref="E25:F25"/>
    <mergeCell ref="G25:N25"/>
    <mergeCell ref="O25:S25"/>
    <mergeCell ref="A32:B32"/>
    <mergeCell ref="C32:D32"/>
    <mergeCell ref="E32:F32"/>
    <mergeCell ref="G32:N32"/>
    <mergeCell ref="O32:S32"/>
    <mergeCell ref="A24:B24"/>
    <mergeCell ref="C24:D24"/>
    <mergeCell ref="A26:B26"/>
    <mergeCell ref="C26:D26"/>
    <mergeCell ref="E26:F26"/>
    <mergeCell ref="G26:N26"/>
    <mergeCell ref="O26:S26"/>
    <mergeCell ref="A27:B27"/>
    <mergeCell ref="C27:D27"/>
    <mergeCell ref="O27:S27"/>
    <mergeCell ref="E27:F27"/>
    <mergeCell ref="AR18:AR23"/>
    <mergeCell ref="AS18:AS23"/>
    <mergeCell ref="AT18:AT23"/>
    <mergeCell ref="AG18:AG23"/>
    <mergeCell ref="AH18:AH23"/>
    <mergeCell ref="AI18:AI23"/>
    <mergeCell ref="AJ18:AJ23"/>
    <mergeCell ref="AK18:AK23"/>
    <mergeCell ref="AL18:AL23"/>
    <mergeCell ref="AM18:AM23"/>
    <mergeCell ref="T17:AB17"/>
    <mergeCell ref="AC17:AF17"/>
    <mergeCell ref="AG17:AJ17"/>
    <mergeCell ref="AK17:AN17"/>
    <mergeCell ref="AO17:AT17"/>
    <mergeCell ref="O14:S14"/>
    <mergeCell ref="T18:T23"/>
    <mergeCell ref="U18:U23"/>
    <mergeCell ref="V18:V23"/>
    <mergeCell ref="W18:W23"/>
    <mergeCell ref="X18:X23"/>
    <mergeCell ref="Y18:Y23"/>
    <mergeCell ref="O21:S23"/>
    <mergeCell ref="Z18:Z23"/>
    <mergeCell ref="AA18:AA23"/>
    <mergeCell ref="AB18:AB23"/>
    <mergeCell ref="AC18:AC23"/>
    <mergeCell ref="AD18:AD23"/>
    <mergeCell ref="AE18:AE23"/>
    <mergeCell ref="AF18:AF23"/>
    <mergeCell ref="AN18:AN23"/>
    <mergeCell ref="AO18:AO23"/>
    <mergeCell ref="AP18:AP23"/>
    <mergeCell ref="AQ18:AQ23"/>
  </mergeCells>
  <conditionalFormatting sqref="T28 T34">
    <cfRule type="expression" dxfId="395" priority="1" stopIfTrue="1">
      <formula>T28&gt;=100</formula>
    </cfRule>
    <cfRule type="cellIs" dxfId="394" priority="2" stopIfTrue="1" operator="between">
      <formula>0</formula>
      <formula>99.99</formula>
    </cfRule>
    <cfRule type="expression" dxfId="393" priority="3" stopIfTrue="1">
      <formula>ISBLANK(T28)</formula>
    </cfRule>
  </conditionalFormatting>
  <conditionalFormatting sqref="T33">
    <cfRule type="cellIs" dxfId="392" priority="4" stopIfTrue="1" operator="equal">
      <formula>"CH"</formula>
    </cfRule>
    <cfRule type="expression" dxfId="391" priority="5" stopIfTrue="1">
      <formula>T33="FA"</formula>
    </cfRule>
    <cfRule type="expression" dxfId="390" priority="6" stopIfTrue="1">
      <formula>OR($T$33="PA",$T$33="NA")</formula>
    </cfRule>
  </conditionalFormatting>
  <conditionalFormatting sqref="T40">
    <cfRule type="cellIs" dxfId="389" priority="7" stopIfTrue="1" operator="equal">
      <formula>"CH"</formula>
    </cfRule>
    <cfRule type="expression" dxfId="388" priority="8" stopIfTrue="1">
      <formula>OR($T$40="PA",$T$40="NA")</formula>
    </cfRule>
  </conditionalFormatting>
  <conditionalFormatting sqref="T40:T44">
    <cfRule type="expression" dxfId="387" priority="9" stopIfTrue="1">
      <formula>T40="FA"</formula>
    </cfRule>
  </conditionalFormatting>
  <conditionalFormatting sqref="T41:T44">
    <cfRule type="expression" dxfId="386" priority="10" stopIfTrue="1">
      <formula>OR(T41="PA",T41="NA")</formula>
    </cfRule>
    <cfRule type="expression" dxfId="385" priority="11" stopIfTrue="1">
      <formula>T41="CH"</formula>
    </cfRule>
  </conditionalFormatting>
  <conditionalFormatting sqref="T42:T44">
    <cfRule type="cellIs" dxfId="384" priority="12" stopIfTrue="1" operator="equal">
      <formula>"CH"</formula>
    </cfRule>
    <cfRule type="expression" dxfId="383" priority="13" stopIfTrue="1">
      <formula>T42="FA"</formula>
    </cfRule>
    <cfRule type="expression" dxfId="382" priority="14" stopIfTrue="1">
      <formula>OR($T$42="PA",$T$42="NA")</formula>
    </cfRule>
  </conditionalFormatting>
  <conditionalFormatting sqref="T43:T44">
    <cfRule type="cellIs" dxfId="381" priority="15" stopIfTrue="1" operator="equal">
      <formula>"CH"</formula>
    </cfRule>
    <cfRule type="expression" dxfId="380" priority="16" stopIfTrue="1">
      <formula>T43="FA"</formula>
    </cfRule>
    <cfRule type="expression" dxfId="379" priority="17" stopIfTrue="1">
      <formula>OR($T$40="PA",$T$40="NA")</formula>
    </cfRule>
  </conditionalFormatting>
  <conditionalFormatting sqref="T46">
    <cfRule type="cellIs" dxfId="378" priority="18" operator="equal">
      <formula>"CH"</formula>
    </cfRule>
    <cfRule type="expression" dxfId="377" priority="19" stopIfTrue="1">
      <formula>T46="FA"</formula>
    </cfRule>
    <cfRule type="expression" dxfId="376" priority="20" stopIfTrue="1">
      <formula>OR(#REF!="PA",#REF!="NA")</formula>
    </cfRule>
  </conditionalFormatting>
  <conditionalFormatting sqref="T50:T55">
    <cfRule type="cellIs" dxfId="375" priority="21" operator="equal">
      <formula>"No"</formula>
    </cfRule>
    <cfRule type="cellIs" dxfId="374" priority="22" operator="equal">
      <formula>"yes"</formula>
    </cfRule>
  </conditionalFormatting>
  <conditionalFormatting sqref="T50:U55">
    <cfRule type="cellIs" dxfId="373" priority="23" operator="equal">
      <formula>"N/A"</formula>
    </cfRule>
  </conditionalFormatting>
  <conditionalFormatting sqref="T24:Z27 AB24:AB32 U28:Z29 T29 T30:Z32 U34:Z34 AB34:AB37 T35:Z37 T39:Z39 AB39">
    <cfRule type="cellIs" dxfId="372" priority="24" stopIfTrue="1" operator="greaterThanOrEqual">
      <formula>100</formula>
    </cfRule>
    <cfRule type="cellIs" dxfId="371" priority="25" stopIfTrue="1" operator="lessThan">
      <formula>100</formula>
    </cfRule>
  </conditionalFormatting>
  <conditionalFormatting sqref="T47:Z48 AB47:AB48">
    <cfRule type="cellIs" dxfId="370" priority="26" stopIfTrue="1" operator="greaterThanOrEqual">
      <formula>100</formula>
    </cfRule>
    <cfRule type="cellIs" dxfId="369" priority="27" stopIfTrue="1" operator="lessThan">
      <formula>100</formula>
    </cfRule>
  </conditionalFormatting>
  <conditionalFormatting sqref="AA24:AA32 AA34:AA37 AA39">
    <cfRule type="expression" dxfId="368" priority="28" stopIfTrue="1">
      <formula>OR(AA24="NA",AA24&lt;100.01)</formula>
    </cfRule>
    <cfRule type="expression" dxfId="367" priority="29" stopIfTrue="1">
      <formula>AND(NOT(AA24="NA"),AA24&gt;=100.01)</formula>
    </cfRule>
  </conditionalFormatting>
  <conditionalFormatting sqref="AA47:AA48">
    <cfRule type="expression" dxfId="366" priority="30" stopIfTrue="1">
      <formula>OR(AA47="NA",AA47&lt;100.01)</formula>
    </cfRule>
    <cfRule type="expression" dxfId="365" priority="31" stopIfTrue="1">
      <formula>AND(NOT(AA47="NA"),AA47&gt;=100.01)</formula>
    </cfRule>
  </conditionalFormatting>
  <conditionalFormatting sqref="AC27:AF32 AG30:AN31 AC34:AF35 AO34:AQ35 AC36:AQ37 AC39:AF39 AO39:AS39">
    <cfRule type="expression" dxfId="364" priority="32" stopIfTrue="1">
      <formula>AC27=""</formula>
    </cfRule>
  </conditionalFormatting>
  <conditionalFormatting sqref="AC47:AT48">
    <cfRule type="expression" dxfId="363" priority="33" stopIfTrue="1">
      <formula>AC47=""</formula>
    </cfRule>
  </conditionalFormatting>
  <conditionalFormatting sqref="AO38:AQ38">
    <cfRule type="expression" dxfId="362" priority="34" stopIfTrue="1">
      <formula>AO38=""</formula>
    </cfRule>
  </conditionalFormatting>
  <conditionalFormatting sqref="AO30:AT30 AO32:AT32">
    <cfRule type="expression" dxfId="361" priority="35" stopIfTrue="1">
      <formula>AO30=""</formula>
    </cfRule>
  </conditionalFormatting>
  <conditionalFormatting sqref="AR34:AS38">
    <cfRule type="expression" dxfId="360" priority="36" stopIfTrue="1">
      <formula>AR34=""</formula>
    </cfRule>
  </conditionalFormatting>
  <conditionalFormatting sqref="AT34:AT39">
    <cfRule type="expression" dxfId="359" priority="37" stopIfTrue="1">
      <formula>AT34=""</formula>
    </cfRule>
  </conditionalFormatting>
  <dataValidations count="2">
    <dataValidation type="list" allowBlank="1" showErrorMessage="1" sqref="D17" xr:uid="{00000000-0002-0000-0300-000000000000}">
      <formula1>"Internal Combustion,Electric Vehicle"</formula1>
    </dataValidation>
    <dataValidation type="list" allowBlank="1" showErrorMessage="1" sqref="T50:T55" xr:uid="{00000000-0002-0000-0300-000001000000}">
      <formula1>"No,N/A,Yes"</formula1>
    </dataValidation>
  </dataValidations>
  <hyperlinks>
    <hyperlink ref="N15" r:id="rId1" xr:uid="{00000000-0004-0000-0300-000000000000}"/>
    <hyperlink ref="N16" r:id="rId2" xr:uid="{00000000-0004-0000-0300-000001000000}"/>
    <hyperlink ref="B50" location="'Additional Info'!A1" display="Receipt, letter of donation or proof for non-steel materials (composite, honeycomb, resin, etc)" xr:uid="{00000000-0004-0000-0300-000002000000}"/>
    <hyperlink ref="B51" location="MaterialData!A1" display="Properties for all non-steel materials" xr:uid="{00000000-0004-0000-0300-000003000000}"/>
    <hyperlink ref="B52" location="null!A1" display="Monocoque Laminate Test data and pictures" xr:uid="{00000000-0004-0000-0300-000004000000}"/>
    <hyperlink ref="B53" location="'Welded Tube Inserts'!A1" display="Holes &gt;4mm drilled in any regulated tubing require proof of equivalency, include area and moment of inertia" xr:uid="{00000000-0004-0000-0300-000005000000}"/>
    <hyperlink ref="B54" location="'Welded Tube Inserts'!A1" display="Holes &gt;4mm drilled in any regulated tubing require proof of equivalency, include area and moment of inertia" xr:uid="{00000000-0004-0000-0300-000006000000}"/>
    <hyperlink ref="B55" location="'Welded Tube Inserts'!A1" display="Holes &gt;4mm drilled in any regulated tubing require proof of equivalency, include area and moment of inertia" xr:uid="{00000000-0004-0000-0300-000007000000}"/>
    <hyperlink ref="C58" location="Read_Me!A1" display="&quot;Structural Equivalency Spreadsheet Guide&quot;" xr:uid="{00000000-0004-0000-0300-000008000000}"/>
  </hyperlinks>
  <printOptions horizontalCentered="1"/>
  <pageMargins left="0" right="0" top="0.39370078740157483" bottom="0.39370078740157483" header="0" footer="0"/>
  <pageSetup paperSize="9" orientation="portrait"/>
  <colBreaks count="1" manualBreakCount="1">
    <brk id="19" man="1"/>
  </colBreaks>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AM1000"/>
  <sheetViews>
    <sheetView showGridLines="0" topLeftCell="A18" zoomScale="77" zoomScaleNormal="77" workbookViewId="0">
      <selection activeCell="Y64" sqref="Y64"/>
    </sheetView>
  </sheetViews>
  <sheetFormatPr baseColWidth="10" defaultColWidth="12.5703125" defaultRowHeight="15" customHeight="1"/>
  <cols>
    <col min="1" max="17" width="5" customWidth="1"/>
    <col min="18" max="19" width="5.42578125" customWidth="1"/>
    <col min="20" max="21" width="5" customWidth="1"/>
    <col min="22" max="22" width="15.5703125" customWidth="1"/>
    <col min="23" max="23" width="11.42578125" customWidth="1"/>
    <col min="24" max="24" width="15.5703125" customWidth="1"/>
    <col min="25" max="25" width="12.28515625" customWidth="1"/>
    <col min="26" max="26" width="11.42578125" customWidth="1"/>
    <col min="27" max="27" width="15.5703125" customWidth="1"/>
    <col min="28" max="28" width="11.42578125" customWidth="1"/>
    <col min="29" max="29" width="15.28515625" customWidth="1"/>
    <col min="30" max="31" width="5" customWidth="1"/>
    <col min="32" max="32" width="50.7109375" customWidth="1"/>
    <col min="33" max="37" width="5" customWidth="1"/>
    <col min="38" max="38" width="8" customWidth="1"/>
    <col min="39" max="39" width="12.28515625" customWidth="1"/>
  </cols>
  <sheetData>
    <row r="1" spans="1:39" ht="12.75" customHeight="1">
      <c r="A1" s="617" t="str">
        <f>CONCATENATE(Read_Me!A1," FS STRUCTURAL EQUIVALENCY SPREADSHEET (SES) ",Read_Me!B1," - COVER SHEET")</f>
        <v>2025 FS STRUCTURAL EQUIVALENCY SPREADSHEET (SES) V1.1 - COVER SHEET</v>
      </c>
      <c r="B1" s="598"/>
      <c r="C1" s="598"/>
      <c r="D1" s="598"/>
      <c r="E1" s="598"/>
      <c r="F1" s="598"/>
      <c r="G1" s="598"/>
      <c r="H1" s="598"/>
      <c r="I1" s="598"/>
      <c r="J1" s="598"/>
      <c r="K1" s="598"/>
      <c r="L1" s="598"/>
      <c r="M1" s="598"/>
      <c r="N1" s="598"/>
      <c r="O1" s="598"/>
      <c r="P1" s="598"/>
      <c r="Q1" s="598"/>
      <c r="R1" s="598"/>
      <c r="S1" s="598"/>
      <c r="T1" s="64"/>
      <c r="U1" s="64"/>
      <c r="V1" s="64"/>
      <c r="W1" s="65"/>
      <c r="X1" s="64"/>
      <c r="Y1" s="64"/>
      <c r="Z1" s="64"/>
      <c r="AA1" s="64"/>
      <c r="AB1" s="64"/>
      <c r="AC1" s="64"/>
      <c r="AD1" s="64"/>
      <c r="AE1" s="64"/>
      <c r="AF1" s="64"/>
      <c r="AG1" s="64"/>
      <c r="AH1" s="64"/>
      <c r="AI1" s="64"/>
      <c r="AJ1" s="64"/>
      <c r="AK1" s="64"/>
      <c r="AL1" s="64"/>
      <c r="AM1" s="64"/>
    </row>
    <row r="2" spans="1:39" ht="44.25" customHeight="1">
      <c r="T2" s="64"/>
      <c r="U2" s="64"/>
      <c r="V2" s="66" t="s">
        <v>151</v>
      </c>
      <c r="W2" s="65"/>
      <c r="X2" s="64"/>
      <c r="Y2" s="64"/>
      <c r="Z2" s="64"/>
      <c r="AA2" s="64"/>
      <c r="AB2" s="64"/>
      <c r="AC2" s="64"/>
      <c r="AD2" s="64"/>
      <c r="AE2" s="64"/>
      <c r="AF2" s="64"/>
      <c r="AG2" s="64"/>
      <c r="AH2" s="64"/>
      <c r="AI2" s="64"/>
      <c r="AJ2" s="64"/>
      <c r="AK2" s="64"/>
      <c r="AL2" s="64"/>
      <c r="AM2" s="64"/>
    </row>
    <row r="3" spans="1:39" ht="13.5" customHeight="1">
      <c r="A3" s="67" t="s">
        <v>45</v>
      </c>
      <c r="D3" s="635" t="str">
        <f>IF('Cover Sheet'!D14:J14&gt;0,'Cover Sheet'!D14:J14,"")</f>
        <v>Ecole Centrale Lyon</v>
      </c>
      <c r="E3" s="601"/>
      <c r="F3" s="601"/>
      <c r="G3" s="601"/>
      <c r="H3" s="601"/>
      <c r="I3" s="601"/>
      <c r="J3" s="601"/>
      <c r="K3" s="67" t="s">
        <v>47</v>
      </c>
      <c r="O3" s="635" t="str">
        <f>IF('Cover Sheet'!O14:S14&gt;0,'Cover Sheet'!O14:S14,"")</f>
        <v>81 FSCH/FSS/FSF</v>
      </c>
      <c r="P3" s="601"/>
      <c r="Q3" s="601"/>
      <c r="R3" s="601"/>
      <c r="S3" s="601"/>
      <c r="T3" s="64"/>
      <c r="U3" s="64"/>
      <c r="V3" s="636" t="s">
        <v>152</v>
      </c>
      <c r="W3" s="629" t="s">
        <v>153</v>
      </c>
      <c r="X3" s="629" t="s">
        <v>154</v>
      </c>
      <c r="Y3" s="628" t="s">
        <v>155</v>
      </c>
      <c r="Z3" s="628" t="s">
        <v>156</v>
      </c>
      <c r="AA3" s="629" t="s">
        <v>157</v>
      </c>
      <c r="AB3" s="629" t="s">
        <v>158</v>
      </c>
      <c r="AC3" s="630" t="s">
        <v>159</v>
      </c>
      <c r="AD3" s="64"/>
      <c r="AE3" s="64"/>
      <c r="AF3" s="64"/>
      <c r="AG3" s="64"/>
      <c r="AH3" s="64"/>
      <c r="AI3" s="64"/>
      <c r="AJ3" s="64"/>
      <c r="AK3" s="64"/>
      <c r="AL3" s="64"/>
      <c r="AM3" s="64"/>
    </row>
    <row r="4" spans="1:39" ht="13.5" customHeight="1">
      <c r="T4" s="64"/>
      <c r="U4" s="64"/>
      <c r="V4" s="637"/>
      <c r="W4" s="591"/>
      <c r="X4" s="591"/>
      <c r="Y4" s="591"/>
      <c r="Z4" s="591"/>
      <c r="AA4" s="591"/>
      <c r="AB4" s="591"/>
      <c r="AC4" s="631"/>
      <c r="AD4" s="64"/>
      <c r="AE4" s="64"/>
      <c r="AF4" s="64"/>
      <c r="AG4" s="64"/>
      <c r="AH4" s="64"/>
      <c r="AI4" s="64"/>
      <c r="AJ4" s="64"/>
      <c r="AK4" s="64"/>
      <c r="AL4" s="64"/>
      <c r="AM4" s="64"/>
    </row>
    <row r="5" spans="1:39" ht="13.5" customHeight="1">
      <c r="A5" s="639" t="s">
        <v>160</v>
      </c>
      <c r="B5" s="595"/>
      <c r="C5" s="595"/>
      <c r="D5" s="595"/>
      <c r="E5" s="595"/>
      <c r="F5" s="595"/>
      <c r="G5" s="595"/>
      <c r="H5" s="595"/>
      <c r="I5" s="595"/>
      <c r="J5" s="595"/>
      <c r="K5" s="595"/>
      <c r="L5" s="595"/>
      <c r="M5" s="595"/>
      <c r="N5" s="595"/>
      <c r="O5" s="595"/>
      <c r="P5" s="595"/>
      <c r="Q5" s="595"/>
      <c r="R5" s="595"/>
      <c r="S5" s="596"/>
      <c r="T5" s="64"/>
      <c r="U5" s="64"/>
      <c r="V5" s="637"/>
      <c r="W5" s="591"/>
      <c r="X5" s="591"/>
      <c r="Y5" s="591"/>
      <c r="Z5" s="591"/>
      <c r="AA5" s="591"/>
      <c r="AB5" s="591"/>
      <c r="AC5" s="631"/>
      <c r="AD5" s="64"/>
      <c r="AE5" s="64"/>
      <c r="AF5" s="64"/>
      <c r="AG5" s="64"/>
      <c r="AH5" s="64"/>
      <c r="AI5" s="64"/>
      <c r="AJ5" s="64"/>
      <c r="AK5" s="64"/>
      <c r="AL5" s="64"/>
      <c r="AM5" s="64"/>
    </row>
    <row r="6" spans="1:39" ht="13.5" customHeight="1">
      <c r="A6" s="597"/>
      <c r="B6" s="598"/>
      <c r="C6" s="598"/>
      <c r="D6" s="598"/>
      <c r="E6" s="598"/>
      <c r="F6" s="598"/>
      <c r="G6" s="598"/>
      <c r="H6" s="598"/>
      <c r="I6" s="598"/>
      <c r="J6" s="598"/>
      <c r="K6" s="598"/>
      <c r="L6" s="598"/>
      <c r="M6" s="598"/>
      <c r="N6" s="598"/>
      <c r="O6" s="598"/>
      <c r="P6" s="598"/>
      <c r="Q6" s="598"/>
      <c r="R6" s="598"/>
      <c r="S6" s="599"/>
      <c r="T6" s="64"/>
      <c r="U6" s="64"/>
      <c r="V6" s="637"/>
      <c r="W6" s="591"/>
      <c r="X6" s="591"/>
      <c r="Y6" s="591"/>
      <c r="Z6" s="591"/>
      <c r="AA6" s="591"/>
      <c r="AB6" s="591"/>
      <c r="AC6" s="631"/>
      <c r="AD6" s="64"/>
      <c r="AE6" s="64"/>
      <c r="AF6" s="64"/>
      <c r="AG6" s="64"/>
      <c r="AH6" s="64"/>
      <c r="AI6" s="64"/>
      <c r="AJ6" s="64"/>
      <c r="AK6" s="64"/>
      <c r="AL6" s="64"/>
      <c r="AM6" s="64"/>
    </row>
    <row r="7" spans="1:39" ht="13.5" customHeight="1">
      <c r="A7" s="597"/>
      <c r="B7" s="598"/>
      <c r="C7" s="598"/>
      <c r="D7" s="598"/>
      <c r="E7" s="598"/>
      <c r="F7" s="598"/>
      <c r="G7" s="598"/>
      <c r="H7" s="598"/>
      <c r="I7" s="598"/>
      <c r="J7" s="598"/>
      <c r="K7" s="598"/>
      <c r="L7" s="598"/>
      <c r="M7" s="598"/>
      <c r="N7" s="598"/>
      <c r="O7" s="598"/>
      <c r="P7" s="598"/>
      <c r="Q7" s="598"/>
      <c r="R7" s="598"/>
      <c r="S7" s="599"/>
      <c r="T7" s="64"/>
      <c r="U7" s="64"/>
      <c r="V7" s="638"/>
      <c r="W7" s="592"/>
      <c r="X7" s="592"/>
      <c r="Y7" s="592"/>
      <c r="Z7" s="592"/>
      <c r="AA7" s="592"/>
      <c r="AB7" s="592"/>
      <c r="AC7" s="632"/>
      <c r="AD7" s="64"/>
      <c r="AE7" s="64"/>
      <c r="AF7" s="64"/>
      <c r="AG7" s="64"/>
      <c r="AH7" s="64"/>
      <c r="AI7" s="64"/>
      <c r="AJ7" s="64"/>
      <c r="AK7" s="64"/>
      <c r="AL7" s="64"/>
      <c r="AM7" s="64"/>
    </row>
    <row r="8" spans="1:39" ht="13.5" customHeight="1">
      <c r="A8" s="597"/>
      <c r="B8" s="598"/>
      <c r="C8" s="598"/>
      <c r="D8" s="598"/>
      <c r="E8" s="598"/>
      <c r="F8" s="598"/>
      <c r="G8" s="598"/>
      <c r="H8" s="598"/>
      <c r="I8" s="598"/>
      <c r="J8" s="598"/>
      <c r="K8" s="598"/>
      <c r="L8" s="598"/>
      <c r="M8" s="598"/>
      <c r="N8" s="598"/>
      <c r="O8" s="598"/>
      <c r="P8" s="598"/>
      <c r="Q8" s="598"/>
      <c r="R8" s="598"/>
      <c r="S8" s="599"/>
      <c r="T8" s="64"/>
      <c r="U8" s="68"/>
      <c r="V8" s="69" t="s">
        <v>161</v>
      </c>
      <c r="W8" s="70">
        <f>'T3.10.5 T3.5 MHoop Brace Spt'!$F$21</f>
        <v>0</v>
      </c>
      <c r="X8" s="71"/>
      <c r="Y8" s="72"/>
      <c r="Z8" s="73">
        <f>'T3.10.5 T3.5 MHoop Brace Spt'!$F$19</f>
        <v>0</v>
      </c>
      <c r="AA8" s="72"/>
      <c r="AB8" s="70">
        <f>'T3.10.5 T3.5 MHoop Brace Spt'!$F$20</f>
        <v>0</v>
      </c>
      <c r="AC8" s="74"/>
      <c r="AD8" s="64"/>
      <c r="AE8" s="64"/>
      <c r="AF8" s="64"/>
      <c r="AG8" s="64"/>
      <c r="AH8" s="64"/>
      <c r="AI8" s="64"/>
      <c r="AJ8" s="64"/>
      <c r="AK8" s="64"/>
      <c r="AL8" s="64"/>
      <c r="AM8" s="64"/>
    </row>
    <row r="9" spans="1:39" ht="13.5" customHeight="1">
      <c r="A9" s="600"/>
      <c r="B9" s="601"/>
      <c r="C9" s="601"/>
      <c r="D9" s="601"/>
      <c r="E9" s="601"/>
      <c r="F9" s="601"/>
      <c r="G9" s="601"/>
      <c r="H9" s="601"/>
      <c r="I9" s="601"/>
      <c r="J9" s="601"/>
      <c r="K9" s="601"/>
      <c r="L9" s="601"/>
      <c r="M9" s="601"/>
      <c r="N9" s="601"/>
      <c r="O9" s="601"/>
      <c r="P9" s="601"/>
      <c r="Q9" s="601"/>
      <c r="R9" s="601"/>
      <c r="S9" s="602"/>
      <c r="T9" s="64"/>
      <c r="U9" s="75"/>
      <c r="V9" s="69" t="s">
        <v>162</v>
      </c>
      <c r="W9" s="70">
        <f>'T3.11 T3.5 FHoop Bracing'!$F$21</f>
        <v>0</v>
      </c>
      <c r="X9" s="71"/>
      <c r="Y9" s="72"/>
      <c r="Z9" s="73">
        <f>'T3.11 T3.5 FHoop Bracing'!$F$19</f>
        <v>0</v>
      </c>
      <c r="AA9" s="72"/>
      <c r="AB9" s="70">
        <f>'T3.11 T3.5 FHoop Bracing'!$F$20</f>
        <v>0</v>
      </c>
      <c r="AC9" s="74"/>
      <c r="AD9" s="64"/>
      <c r="AE9" s="64"/>
      <c r="AF9" s="64"/>
      <c r="AG9" s="64"/>
      <c r="AH9" s="64"/>
      <c r="AI9" s="64"/>
      <c r="AJ9" s="64"/>
      <c r="AK9" s="64"/>
      <c r="AL9" s="64"/>
      <c r="AM9" s="64"/>
    </row>
    <row r="10" spans="1:39" ht="13.5" customHeight="1">
      <c r="A10" s="76" t="s">
        <v>163</v>
      </c>
      <c r="Q10" s="77"/>
      <c r="R10" s="623" t="s">
        <v>164</v>
      </c>
      <c r="S10" s="596"/>
      <c r="T10" s="64"/>
      <c r="U10" s="78"/>
      <c r="V10" s="69" t="s">
        <v>165</v>
      </c>
      <c r="W10" s="70">
        <f>'T3.12 T3.5 Ft Bulkhead'!$F$24</f>
        <v>0</v>
      </c>
      <c r="X10" s="71"/>
      <c r="Y10" s="72"/>
      <c r="Z10" s="73">
        <f>'T3.12 T3.5 Ft Bulkhead'!$F$22</f>
        <v>0</v>
      </c>
      <c r="AA10" s="72"/>
      <c r="AB10" s="70">
        <f>'T3.12 T3.5 Ft Bulkhead'!$F$23</f>
        <v>0</v>
      </c>
      <c r="AC10" s="74"/>
      <c r="AD10" s="64"/>
      <c r="AE10" s="64"/>
      <c r="AF10" s="64"/>
      <c r="AG10" s="64"/>
      <c r="AH10" s="64"/>
      <c r="AI10" s="64"/>
      <c r="AJ10" s="64"/>
      <c r="AK10" s="64"/>
      <c r="AL10" s="64"/>
      <c r="AM10" s="64"/>
    </row>
    <row r="11" spans="1:39" ht="13.5" customHeight="1">
      <c r="Q11" s="77"/>
      <c r="R11" s="600"/>
      <c r="S11" s="602"/>
      <c r="T11" s="64"/>
      <c r="U11" s="79"/>
      <c r="V11" s="69" t="s">
        <v>166</v>
      </c>
      <c r="W11" s="70">
        <f>'T3.13 T3.5 FBH Spt Structure'!$I$21</f>
        <v>0</v>
      </c>
      <c r="X11" s="71"/>
      <c r="Y11" s="72"/>
      <c r="Z11" s="73">
        <f>'T3.13 T3.5 FBH Spt Structure'!$I$19</f>
        <v>0</v>
      </c>
      <c r="AA11" s="72"/>
      <c r="AB11" s="70">
        <f>'T3.13 T3.5 FBH Spt Structure'!$I$20</f>
        <v>0</v>
      </c>
      <c r="AC11" s="74"/>
      <c r="AD11" s="64"/>
      <c r="AE11" s="64"/>
      <c r="AF11" s="64"/>
      <c r="AG11" s="64"/>
      <c r="AH11" s="64"/>
      <c r="AI11" s="64"/>
      <c r="AJ11" s="64"/>
      <c r="AK11" s="64"/>
      <c r="AL11" s="64"/>
      <c r="AM11" s="64"/>
    </row>
    <row r="12" spans="1:39" ht="13.5" customHeight="1">
      <c r="A12" s="80" t="s">
        <v>167</v>
      </c>
      <c r="Q12" s="81"/>
      <c r="R12" s="640" t="s">
        <v>168</v>
      </c>
      <c r="S12" s="599"/>
      <c r="T12" s="64"/>
      <c r="U12" s="82"/>
      <c r="V12" s="69" t="s">
        <v>169</v>
      </c>
      <c r="W12" s="70">
        <f>'T3.14 T3.5 SIS'!$I$21</f>
        <v>0</v>
      </c>
      <c r="X12" s="71"/>
      <c r="Y12" s="72"/>
      <c r="Z12" s="73">
        <f>'T3.14 T3.5 SIS'!$I$19</f>
        <v>0</v>
      </c>
      <c r="AA12" s="72"/>
      <c r="AB12" s="70">
        <f>'T3.14 T3.5 SIS'!$I$20</f>
        <v>0</v>
      </c>
      <c r="AC12" s="74"/>
      <c r="AD12" s="64"/>
      <c r="AE12" s="64"/>
      <c r="AF12" s="64"/>
      <c r="AG12" s="64"/>
      <c r="AH12" s="64"/>
      <c r="AI12" s="64"/>
      <c r="AJ12" s="64"/>
      <c r="AK12" s="64"/>
      <c r="AL12" s="64"/>
      <c r="AM12" s="64"/>
    </row>
    <row r="13" spans="1:39" ht="13.5" customHeight="1">
      <c r="A13" s="80" t="s">
        <v>170</v>
      </c>
      <c r="Q13" s="81"/>
      <c r="R13" s="640" t="s">
        <v>168</v>
      </c>
      <c r="S13" s="599"/>
      <c r="T13" s="64"/>
      <c r="U13" s="83"/>
      <c r="V13" s="69" t="s">
        <v>171</v>
      </c>
      <c r="W13" s="70">
        <f>'T3.14 T3.5 SIS'!$J$21</f>
        <v>0</v>
      </c>
      <c r="X13" s="71"/>
      <c r="Y13" s="72"/>
      <c r="Z13" s="73">
        <f>'T3.14 T3.5 SIS'!$J$19</f>
        <v>0</v>
      </c>
      <c r="AA13" s="72"/>
      <c r="AB13" s="70">
        <f>'T3.14 T3.5 SIS'!$J$20</f>
        <v>0</v>
      </c>
      <c r="AC13" s="74"/>
      <c r="AD13" s="64"/>
      <c r="AE13" s="64"/>
      <c r="AF13" s="64"/>
      <c r="AG13" s="64"/>
      <c r="AH13" s="64"/>
      <c r="AI13" s="64"/>
      <c r="AJ13" s="64"/>
      <c r="AK13" s="64"/>
      <c r="AL13" s="64"/>
      <c r="AM13" s="64"/>
    </row>
    <row r="14" spans="1:39" ht="13.5" customHeight="1">
      <c r="A14" s="80" t="s">
        <v>172</v>
      </c>
      <c r="Q14" s="81"/>
      <c r="R14" s="640" t="s">
        <v>168</v>
      </c>
      <c r="S14" s="599"/>
      <c r="T14" s="64"/>
      <c r="U14" s="84"/>
      <c r="V14" s="69" t="s">
        <v>173</v>
      </c>
      <c r="W14" s="70">
        <f>'T5.5 Shoulder Harness Bar'!$F$23</f>
        <v>0</v>
      </c>
      <c r="X14" s="71"/>
      <c r="Y14" s="72"/>
      <c r="Z14" s="73">
        <f>'T3.14 T3.5 SIS'!$J$19</f>
        <v>0</v>
      </c>
      <c r="AA14" s="72"/>
      <c r="AB14" s="70">
        <f>'T5.5 Shoulder Harness Bar'!$F$22</f>
        <v>0</v>
      </c>
      <c r="AC14" s="74"/>
      <c r="AD14" s="64"/>
      <c r="AE14" s="64"/>
      <c r="AF14" s="64"/>
      <c r="AG14" s="64"/>
      <c r="AH14" s="64"/>
      <c r="AI14" s="64"/>
      <c r="AJ14" s="64"/>
      <c r="AK14" s="64"/>
      <c r="AL14" s="64"/>
      <c r="AM14" s="64"/>
    </row>
    <row r="15" spans="1:39" ht="13.5" customHeight="1">
      <c r="A15" s="80" t="s">
        <v>174</v>
      </c>
      <c r="Q15" s="81"/>
      <c r="R15" s="640" t="s">
        <v>168</v>
      </c>
      <c r="S15" s="599"/>
      <c r="T15" s="64"/>
      <c r="U15" s="85"/>
      <c r="V15" s="86" t="s">
        <v>175</v>
      </c>
      <c r="W15" s="87"/>
      <c r="X15" s="71"/>
      <c r="Y15" s="72"/>
      <c r="Z15" s="87"/>
      <c r="AA15" s="72"/>
      <c r="AB15" s="87"/>
      <c r="AC15" s="74"/>
      <c r="AD15" s="64"/>
      <c r="AE15" s="64"/>
      <c r="AF15" s="64"/>
      <c r="AG15" s="64"/>
      <c r="AH15" s="64"/>
      <c r="AI15" s="64"/>
      <c r="AJ15" s="64"/>
      <c r="AK15" s="64"/>
      <c r="AL15" s="64"/>
      <c r="AM15" s="64"/>
    </row>
    <row r="16" spans="1:39" ht="13.5" customHeight="1">
      <c r="A16" s="34" t="s">
        <v>176</v>
      </c>
      <c r="Q16" s="81"/>
      <c r="R16" s="640" t="s">
        <v>168</v>
      </c>
      <c r="S16" s="599"/>
      <c r="T16" s="64"/>
      <c r="U16" s="85"/>
      <c r="V16" s="86" t="s">
        <v>177</v>
      </c>
      <c r="W16" s="87"/>
      <c r="X16" s="71"/>
      <c r="Y16" s="72"/>
      <c r="Z16" s="87"/>
      <c r="AA16" s="72"/>
      <c r="AB16" s="87"/>
      <c r="AC16" s="74"/>
      <c r="AD16" s="64"/>
      <c r="AE16" s="64"/>
      <c r="AF16" s="64"/>
      <c r="AG16" s="64"/>
      <c r="AH16" s="64"/>
      <c r="AI16" s="64"/>
      <c r="AJ16" s="64"/>
      <c r="AK16" s="64"/>
      <c r="AL16" s="64"/>
      <c r="AM16" s="64"/>
    </row>
    <row r="17" spans="1:39" ht="13.5" customHeight="1">
      <c r="A17" s="34" t="s">
        <v>178</v>
      </c>
      <c r="Q17" s="81"/>
      <c r="R17" s="640" t="s">
        <v>168</v>
      </c>
      <c r="S17" s="599"/>
      <c r="T17" s="64"/>
      <c r="U17" s="85"/>
      <c r="V17" s="86" t="s">
        <v>179</v>
      </c>
      <c r="W17" s="87"/>
      <c r="X17" s="71"/>
      <c r="Y17" s="72"/>
      <c r="Z17" s="87"/>
      <c r="AA17" s="72"/>
      <c r="AB17" s="87"/>
      <c r="AC17" s="74"/>
      <c r="AD17" s="64"/>
      <c r="AE17" s="64"/>
      <c r="AF17" s="64"/>
      <c r="AG17" s="64"/>
      <c r="AH17" s="64"/>
      <c r="AI17" s="64"/>
      <c r="AJ17" s="64"/>
      <c r="AK17" s="64"/>
      <c r="AL17" s="64"/>
      <c r="AM17" s="64"/>
    </row>
    <row r="18" spans="1:39" ht="13.5" customHeight="1">
      <c r="A18" s="34" t="s">
        <v>180</v>
      </c>
      <c r="Q18" s="81"/>
      <c r="R18" s="626" t="s">
        <v>168</v>
      </c>
      <c r="S18" s="602"/>
      <c r="T18" s="64"/>
      <c r="U18" s="85"/>
      <c r="V18" s="86" t="s">
        <v>181</v>
      </c>
      <c r="W18" s="87"/>
      <c r="X18" s="71"/>
      <c r="Y18" s="72"/>
      <c r="Z18" s="87"/>
      <c r="AA18" s="72"/>
      <c r="AB18" s="87"/>
      <c r="AC18" s="74"/>
      <c r="AD18" s="64"/>
      <c r="AE18" s="64"/>
      <c r="AF18" s="64"/>
      <c r="AG18" s="64"/>
      <c r="AH18" s="64"/>
      <c r="AI18" s="64"/>
      <c r="AJ18" s="64"/>
      <c r="AK18" s="64"/>
      <c r="AL18" s="64"/>
      <c r="AM18" s="64"/>
    </row>
    <row r="19" spans="1:39" ht="37.5" customHeight="1">
      <c r="A19" s="641" t="s">
        <v>182</v>
      </c>
      <c r="B19" s="587"/>
      <c r="C19" s="587"/>
      <c r="D19" s="587"/>
      <c r="E19" s="587"/>
      <c r="F19" s="587"/>
      <c r="G19" s="587"/>
      <c r="H19" s="587"/>
      <c r="I19" s="587"/>
      <c r="J19" s="587"/>
      <c r="K19" s="587"/>
      <c r="L19" s="587"/>
      <c r="M19" s="587"/>
      <c r="N19" s="587"/>
      <c r="O19" s="587"/>
      <c r="P19" s="587"/>
      <c r="Q19" s="588"/>
      <c r="R19" s="643" t="s">
        <v>129</v>
      </c>
      <c r="S19" s="602"/>
      <c r="T19" s="64"/>
      <c r="U19" s="85"/>
      <c r="V19" s="86" t="s">
        <v>183</v>
      </c>
      <c r="W19" s="87"/>
      <c r="X19" s="71"/>
      <c r="Y19" s="72"/>
      <c r="Z19" s="87"/>
      <c r="AA19" s="72"/>
      <c r="AB19" s="87"/>
      <c r="AC19" s="74"/>
      <c r="AD19" s="64"/>
      <c r="AE19" s="64"/>
      <c r="AF19" s="64"/>
      <c r="AG19" s="64"/>
      <c r="AH19" s="64"/>
      <c r="AI19" s="64"/>
      <c r="AJ19" s="64"/>
      <c r="AK19" s="64"/>
      <c r="AL19" s="64"/>
      <c r="AM19" s="64"/>
    </row>
    <row r="20" spans="1:39" ht="27.75" customHeight="1">
      <c r="A20" s="641" t="s">
        <v>184</v>
      </c>
      <c r="B20" s="587"/>
      <c r="C20" s="587"/>
      <c r="D20" s="587"/>
      <c r="E20" s="587"/>
      <c r="F20" s="587"/>
      <c r="G20" s="587"/>
      <c r="H20" s="587"/>
      <c r="I20" s="587"/>
      <c r="J20" s="587"/>
      <c r="K20" s="587"/>
      <c r="L20" s="587"/>
      <c r="M20" s="587"/>
      <c r="N20" s="587"/>
      <c r="O20" s="587"/>
      <c r="P20" s="587"/>
      <c r="Q20" s="588"/>
      <c r="R20" s="643" t="s">
        <v>168</v>
      </c>
      <c r="S20" s="602"/>
      <c r="T20" s="64"/>
      <c r="U20" s="85"/>
      <c r="V20" s="86" t="s">
        <v>185</v>
      </c>
      <c r="W20" s="87"/>
      <c r="X20" s="71"/>
      <c r="Y20" s="72"/>
      <c r="Z20" s="87"/>
      <c r="AA20" s="72"/>
      <c r="AB20" s="87"/>
      <c r="AC20" s="74"/>
      <c r="AD20" s="64"/>
      <c r="AE20" s="64"/>
      <c r="AF20" s="64"/>
      <c r="AG20" s="64"/>
      <c r="AH20" s="64"/>
      <c r="AI20" s="64"/>
      <c r="AJ20" s="64"/>
      <c r="AK20" s="64"/>
      <c r="AL20" s="64"/>
      <c r="AM20" s="64"/>
    </row>
    <row r="21" spans="1:39" ht="37.5" customHeight="1">
      <c r="A21" s="641" t="s">
        <v>186</v>
      </c>
      <c r="B21" s="587"/>
      <c r="C21" s="587"/>
      <c r="D21" s="587"/>
      <c r="E21" s="587"/>
      <c r="F21" s="587"/>
      <c r="G21" s="587"/>
      <c r="H21" s="587"/>
      <c r="I21" s="587"/>
      <c r="J21" s="587"/>
      <c r="K21" s="587"/>
      <c r="L21" s="587"/>
      <c r="M21" s="587"/>
      <c r="N21" s="587"/>
      <c r="O21" s="587"/>
      <c r="P21" s="587"/>
      <c r="Q21" s="588"/>
      <c r="R21" s="643" t="s">
        <v>129</v>
      </c>
      <c r="S21" s="602"/>
      <c r="T21" s="64"/>
      <c r="U21" s="89"/>
      <c r="V21" s="90" t="s">
        <v>187</v>
      </c>
      <c r="W21" s="91"/>
      <c r="X21" s="92"/>
      <c r="Y21" s="93"/>
      <c r="Z21" s="91"/>
      <c r="AA21" s="93"/>
      <c r="AB21" s="91"/>
      <c r="AC21" s="94"/>
      <c r="AD21" s="64"/>
      <c r="AE21" s="64"/>
      <c r="AF21" s="64"/>
      <c r="AG21" s="64"/>
      <c r="AH21" s="64"/>
      <c r="AI21" s="64"/>
      <c r="AJ21" s="64"/>
      <c r="AK21" s="64"/>
      <c r="AL21" s="64"/>
      <c r="AM21" s="64"/>
    </row>
    <row r="22" spans="1:39" ht="12.75" customHeight="1">
      <c r="A22" s="95"/>
      <c r="B22" s="64"/>
      <c r="C22" s="64"/>
      <c r="D22" s="64"/>
      <c r="E22" s="64"/>
      <c r="F22" s="64"/>
      <c r="G22" s="64"/>
      <c r="H22" s="64"/>
      <c r="I22" s="64"/>
      <c r="J22" s="64"/>
      <c r="K22" s="64"/>
      <c r="L22" s="64"/>
      <c r="M22" s="64"/>
      <c r="N22" s="64"/>
      <c r="O22" s="64"/>
      <c r="P22" s="64"/>
      <c r="Q22" s="64"/>
      <c r="R22" s="64"/>
      <c r="S22" s="96"/>
      <c r="T22" s="95"/>
      <c r="U22" s="64"/>
      <c r="V22" s="64"/>
      <c r="W22" s="65"/>
      <c r="X22" s="64"/>
      <c r="Y22" s="64"/>
      <c r="Z22" s="64"/>
      <c r="AA22" s="64"/>
      <c r="AB22" s="64"/>
      <c r="AC22" s="64"/>
      <c r="AD22" s="64"/>
      <c r="AE22" s="64"/>
      <c r="AF22" s="64"/>
      <c r="AG22" s="64"/>
      <c r="AH22" s="64"/>
      <c r="AI22" s="64"/>
      <c r="AJ22" s="64"/>
      <c r="AK22" s="64"/>
      <c r="AL22" s="64"/>
      <c r="AM22" s="64"/>
    </row>
    <row r="23" spans="1:39" ht="12.75" customHeight="1">
      <c r="A23" s="97"/>
      <c r="B23" s="98"/>
      <c r="C23" s="98"/>
      <c r="D23" s="98"/>
      <c r="E23" s="98"/>
      <c r="F23" s="98"/>
      <c r="G23" s="98"/>
      <c r="H23" s="98"/>
      <c r="I23" s="98"/>
      <c r="J23" s="98"/>
      <c r="K23" s="98"/>
      <c r="L23" s="98"/>
      <c r="M23" s="98"/>
      <c r="N23" s="98"/>
      <c r="O23" s="98"/>
      <c r="P23" s="98"/>
      <c r="Q23" s="98"/>
      <c r="R23" s="98"/>
      <c r="S23" s="99"/>
      <c r="T23" s="95"/>
      <c r="U23" s="64"/>
      <c r="V23" s="64"/>
      <c r="W23" s="65"/>
      <c r="X23" s="64"/>
      <c r="Y23" s="64"/>
      <c r="Z23" s="64"/>
      <c r="AA23" s="64"/>
      <c r="AB23" s="64"/>
      <c r="AC23" s="64"/>
      <c r="AD23" s="64"/>
      <c r="AE23" s="64"/>
      <c r="AF23" s="64"/>
      <c r="AG23" s="64"/>
      <c r="AH23" s="64"/>
      <c r="AI23" s="64"/>
      <c r="AJ23" s="64"/>
      <c r="AK23" s="64"/>
      <c r="AL23" s="64"/>
      <c r="AM23" s="64"/>
    </row>
    <row r="24" spans="1:39" ht="12.75" customHeight="1">
      <c r="A24" s="95"/>
      <c r="B24" s="64"/>
      <c r="C24" s="64"/>
      <c r="D24" s="64"/>
      <c r="E24" s="64"/>
      <c r="F24" s="64"/>
      <c r="G24" s="64"/>
      <c r="H24" s="64"/>
      <c r="I24" s="64"/>
      <c r="J24" s="64"/>
      <c r="K24" s="64"/>
      <c r="L24" s="64"/>
      <c r="M24" s="64"/>
      <c r="N24" s="64"/>
      <c r="O24" s="64"/>
      <c r="P24" s="64"/>
      <c r="Q24" s="64"/>
      <c r="R24" s="64"/>
      <c r="S24" s="64"/>
      <c r="T24" s="95"/>
      <c r="U24" s="64"/>
      <c r="V24" s="64"/>
      <c r="W24" s="65"/>
      <c r="X24" s="64"/>
      <c r="Y24" s="64"/>
      <c r="Z24" s="64"/>
      <c r="AA24" s="64"/>
      <c r="AB24" s="64"/>
      <c r="AC24" s="64"/>
      <c r="AD24" s="64"/>
      <c r="AE24" s="64"/>
      <c r="AF24" s="64"/>
      <c r="AG24" s="64"/>
      <c r="AH24" s="64"/>
      <c r="AI24" s="64"/>
      <c r="AJ24" s="64"/>
      <c r="AK24" s="64"/>
      <c r="AL24" s="64"/>
      <c r="AM24" s="64"/>
    </row>
    <row r="25" spans="1:39" ht="12.75" customHeight="1">
      <c r="A25" s="95"/>
      <c r="B25" s="64"/>
      <c r="C25" s="64"/>
      <c r="D25" s="64"/>
      <c r="E25" s="64"/>
      <c r="F25" s="64"/>
      <c r="G25" s="64"/>
      <c r="H25" s="64"/>
      <c r="I25" s="64"/>
      <c r="J25" s="64"/>
      <c r="K25" s="64"/>
      <c r="L25" s="64"/>
      <c r="M25" s="64"/>
      <c r="N25" s="64"/>
      <c r="O25" s="64"/>
      <c r="P25" s="64"/>
      <c r="Q25" s="64"/>
      <c r="R25" s="64"/>
      <c r="S25" s="64"/>
      <c r="T25" s="95"/>
      <c r="U25" s="64"/>
      <c r="V25" s="64"/>
      <c r="W25" s="65"/>
      <c r="X25" s="64"/>
      <c r="Y25" s="64"/>
      <c r="Z25" s="64"/>
      <c r="AA25" s="64"/>
      <c r="AB25" s="64"/>
      <c r="AC25" s="64"/>
      <c r="AD25" s="64"/>
      <c r="AE25" s="64"/>
      <c r="AF25" s="64"/>
      <c r="AG25" s="64"/>
      <c r="AH25" s="64"/>
      <c r="AI25" s="64"/>
      <c r="AJ25" s="64"/>
      <c r="AK25" s="64"/>
      <c r="AL25" s="64"/>
      <c r="AM25" s="64"/>
    </row>
    <row r="26" spans="1:39" ht="12.75" customHeight="1">
      <c r="A26" s="95"/>
      <c r="B26" s="64"/>
      <c r="C26" s="64"/>
      <c r="D26" s="64"/>
      <c r="E26" s="64"/>
      <c r="F26" s="64"/>
      <c r="G26" s="64"/>
      <c r="H26" s="64"/>
      <c r="I26" s="64"/>
      <c r="J26" s="64"/>
      <c r="K26" s="64"/>
      <c r="L26" s="64"/>
      <c r="M26" s="64"/>
      <c r="N26" s="64"/>
      <c r="O26" s="64"/>
      <c r="P26" s="64"/>
      <c r="Q26" s="64"/>
      <c r="R26" s="64"/>
      <c r="S26" s="64"/>
      <c r="T26" s="95"/>
      <c r="U26" s="64"/>
      <c r="V26" s="64"/>
      <c r="W26" s="65"/>
      <c r="X26" s="64"/>
      <c r="Y26" s="64"/>
      <c r="Z26" s="64"/>
      <c r="AA26" s="64"/>
      <c r="AB26" s="64"/>
      <c r="AC26" s="64"/>
      <c r="AD26" s="64"/>
      <c r="AE26" s="64"/>
      <c r="AF26" s="64"/>
      <c r="AG26" s="64"/>
      <c r="AH26" s="64"/>
      <c r="AI26" s="64"/>
      <c r="AJ26" s="64"/>
      <c r="AK26" s="64"/>
      <c r="AL26" s="64"/>
      <c r="AM26" s="64"/>
    </row>
    <row r="27" spans="1:39" ht="12.75" customHeight="1">
      <c r="A27" s="95"/>
      <c r="B27" s="64"/>
      <c r="C27" s="64"/>
      <c r="D27" s="64"/>
      <c r="E27" s="64"/>
      <c r="F27" s="64"/>
      <c r="G27" s="64"/>
      <c r="H27" s="64"/>
      <c r="I27" s="64"/>
      <c r="J27" s="64"/>
      <c r="K27" s="64"/>
      <c r="L27" s="64"/>
      <c r="M27" s="64"/>
      <c r="N27" s="64"/>
      <c r="O27" s="64"/>
      <c r="P27" s="64"/>
      <c r="Q27" s="64"/>
      <c r="R27" s="64"/>
      <c r="S27" s="64"/>
      <c r="T27" s="95"/>
      <c r="U27" s="64"/>
      <c r="V27" s="64"/>
      <c r="W27" s="65"/>
      <c r="X27" s="64"/>
      <c r="Y27" s="64"/>
      <c r="Z27" s="64"/>
      <c r="AA27" s="64"/>
      <c r="AB27" s="64"/>
      <c r="AC27" s="64"/>
      <c r="AD27" s="64"/>
      <c r="AE27" s="64"/>
      <c r="AF27" s="64"/>
      <c r="AG27" s="64"/>
      <c r="AH27" s="64"/>
      <c r="AI27" s="64"/>
      <c r="AJ27" s="64"/>
      <c r="AK27" s="64"/>
      <c r="AL27" s="64"/>
      <c r="AM27" s="64"/>
    </row>
    <row r="28" spans="1:39" ht="12.75" customHeight="1">
      <c r="A28" s="95"/>
      <c r="B28" s="64"/>
      <c r="C28" s="64"/>
      <c r="D28" s="64"/>
      <c r="E28" s="64"/>
      <c r="F28" s="64"/>
      <c r="G28" s="64"/>
      <c r="H28" s="64"/>
      <c r="I28" s="64"/>
      <c r="J28" s="64"/>
      <c r="K28" s="64"/>
      <c r="L28" s="64"/>
      <c r="M28" s="64"/>
      <c r="N28" s="64"/>
      <c r="O28" s="64"/>
      <c r="P28" s="64"/>
      <c r="Q28" s="64"/>
      <c r="R28" s="64"/>
      <c r="S28" s="64"/>
      <c r="T28" s="95"/>
      <c r="U28" s="64"/>
      <c r="V28" s="64"/>
      <c r="W28" s="65"/>
      <c r="X28" s="64"/>
      <c r="Y28" s="64"/>
      <c r="Z28" s="64"/>
      <c r="AA28" s="64"/>
      <c r="AB28" s="64"/>
      <c r="AC28" s="64"/>
      <c r="AD28" s="64"/>
      <c r="AE28" s="64"/>
      <c r="AF28" s="64"/>
      <c r="AG28" s="64"/>
      <c r="AH28" s="64"/>
      <c r="AI28" s="64"/>
      <c r="AJ28" s="64"/>
      <c r="AK28" s="64"/>
      <c r="AL28" s="64"/>
      <c r="AM28" s="64"/>
    </row>
    <row r="29" spans="1:39" ht="12.75" customHeight="1">
      <c r="A29" s="95"/>
      <c r="B29" s="64"/>
      <c r="C29" s="64"/>
      <c r="D29" s="64"/>
      <c r="E29" s="64"/>
      <c r="F29" s="64"/>
      <c r="G29" s="64"/>
      <c r="H29" s="64"/>
      <c r="I29" s="64"/>
      <c r="J29" s="64"/>
      <c r="K29" s="64"/>
      <c r="L29" s="64"/>
      <c r="M29" s="64"/>
      <c r="N29" s="64"/>
      <c r="O29" s="64"/>
      <c r="P29" s="64"/>
      <c r="Q29" s="64"/>
      <c r="R29" s="64"/>
      <c r="S29" s="64"/>
      <c r="T29" s="95"/>
      <c r="U29" s="64"/>
      <c r="V29" s="64"/>
      <c r="W29" s="65"/>
      <c r="X29" s="64"/>
      <c r="Y29" s="64"/>
      <c r="Z29" s="64"/>
      <c r="AA29" s="64"/>
      <c r="AB29" s="64"/>
      <c r="AC29" s="64"/>
      <c r="AD29" s="64"/>
      <c r="AE29" s="64"/>
      <c r="AF29" s="64"/>
      <c r="AG29" s="64"/>
      <c r="AH29" s="64"/>
      <c r="AI29" s="64"/>
      <c r="AJ29" s="64"/>
      <c r="AK29" s="64"/>
      <c r="AL29" s="64"/>
      <c r="AM29" s="64"/>
    </row>
    <row r="30" spans="1:39" ht="12.75" customHeight="1">
      <c r="A30" s="95"/>
      <c r="B30" s="64"/>
      <c r="C30" s="64"/>
      <c r="D30" s="64"/>
      <c r="E30" s="64"/>
      <c r="F30" s="64"/>
      <c r="G30" s="64"/>
      <c r="H30" s="64"/>
      <c r="I30" s="64"/>
      <c r="J30" s="64"/>
      <c r="K30" s="64"/>
      <c r="L30" s="64"/>
      <c r="M30" s="64"/>
      <c r="N30" s="64"/>
      <c r="O30" s="64"/>
      <c r="P30" s="64"/>
      <c r="Q30" s="64"/>
      <c r="R30" s="64"/>
      <c r="S30" s="64"/>
      <c r="T30" s="95"/>
      <c r="U30" s="64"/>
      <c r="V30" s="64"/>
      <c r="W30" s="65"/>
      <c r="X30" s="64"/>
      <c r="Y30" s="64"/>
      <c r="Z30" s="64"/>
      <c r="AA30" s="64"/>
      <c r="AB30" s="64"/>
      <c r="AC30" s="64"/>
      <c r="AD30" s="64"/>
      <c r="AE30" s="64"/>
      <c r="AF30" s="64"/>
      <c r="AG30" s="64"/>
      <c r="AH30" s="64"/>
      <c r="AI30" s="64"/>
      <c r="AJ30" s="64"/>
      <c r="AK30" s="64"/>
      <c r="AL30" s="64"/>
      <c r="AM30" s="64"/>
    </row>
    <row r="31" spans="1:39" ht="12.75" customHeight="1">
      <c r="A31" s="95"/>
      <c r="B31" s="64"/>
      <c r="C31" s="64"/>
      <c r="D31" s="64"/>
      <c r="E31" s="64"/>
      <c r="F31" s="64"/>
      <c r="G31" s="64"/>
      <c r="H31" s="64"/>
      <c r="I31" s="64"/>
      <c r="J31" s="64"/>
      <c r="K31" s="64"/>
      <c r="L31" s="64"/>
      <c r="M31" s="64"/>
      <c r="N31" s="64"/>
      <c r="O31" s="64"/>
      <c r="P31" s="64"/>
      <c r="Q31" s="64"/>
      <c r="R31" s="64"/>
      <c r="S31" s="64"/>
      <c r="T31" s="95"/>
      <c r="U31" s="64"/>
      <c r="V31" s="64"/>
      <c r="W31" s="65"/>
      <c r="X31" s="64"/>
      <c r="Y31" s="64"/>
      <c r="Z31" s="64"/>
      <c r="AA31" s="64"/>
      <c r="AB31" s="64"/>
      <c r="AC31" s="64"/>
      <c r="AD31" s="64"/>
      <c r="AE31" s="64"/>
      <c r="AF31" s="64"/>
      <c r="AG31" s="64"/>
      <c r="AH31" s="64"/>
      <c r="AI31" s="64"/>
      <c r="AJ31" s="64"/>
      <c r="AK31" s="64"/>
      <c r="AL31" s="64"/>
      <c r="AM31" s="64"/>
    </row>
    <row r="32" spans="1:39" ht="12.75" customHeight="1">
      <c r="A32" s="95"/>
      <c r="B32" s="64"/>
      <c r="C32" s="64"/>
      <c r="D32" s="64"/>
      <c r="E32" s="64"/>
      <c r="F32" s="64"/>
      <c r="G32" s="64"/>
      <c r="H32" s="64"/>
      <c r="I32" s="64"/>
      <c r="J32" s="64"/>
      <c r="K32" s="64"/>
      <c r="L32" s="64"/>
      <c r="M32" s="64"/>
      <c r="N32" s="64"/>
      <c r="O32" s="64"/>
      <c r="P32" s="64"/>
      <c r="Q32" s="64"/>
      <c r="R32" s="64"/>
      <c r="S32" s="64"/>
      <c r="T32" s="95"/>
      <c r="U32" s="64"/>
      <c r="V32" s="64"/>
      <c r="W32" s="65"/>
      <c r="X32" s="64"/>
      <c r="Y32" s="64"/>
      <c r="Z32" s="64"/>
      <c r="AA32" s="64"/>
      <c r="AB32" s="64"/>
      <c r="AC32" s="64"/>
      <c r="AD32" s="64"/>
      <c r="AE32" s="64"/>
      <c r="AF32" s="64"/>
      <c r="AG32" s="64"/>
      <c r="AH32" s="64"/>
      <c r="AI32" s="64"/>
      <c r="AJ32" s="64"/>
      <c r="AK32" s="64"/>
      <c r="AL32" s="64"/>
      <c r="AM32" s="64"/>
    </row>
    <row r="33" spans="1:39" ht="12.75" customHeight="1">
      <c r="A33" s="95"/>
      <c r="B33" s="64"/>
      <c r="C33" s="64"/>
      <c r="D33" s="64"/>
      <c r="E33" s="64"/>
      <c r="F33" s="64"/>
      <c r="G33" s="64"/>
      <c r="H33" s="64"/>
      <c r="I33" s="64"/>
      <c r="J33" s="64"/>
      <c r="K33" s="64"/>
      <c r="L33" s="64"/>
      <c r="M33" s="64"/>
      <c r="N33" s="64"/>
      <c r="O33" s="64"/>
      <c r="P33" s="64"/>
      <c r="Q33" s="64"/>
      <c r="R33" s="64"/>
      <c r="S33" s="64"/>
      <c r="T33" s="95"/>
      <c r="U33" s="64"/>
      <c r="V33" s="64"/>
      <c r="W33" s="65"/>
      <c r="X33" s="64"/>
      <c r="Y33" s="64"/>
      <c r="Z33" s="64"/>
      <c r="AA33" s="64"/>
      <c r="AB33" s="64"/>
      <c r="AC33" s="64"/>
      <c r="AD33" s="64"/>
      <c r="AE33" s="64"/>
      <c r="AF33" s="64"/>
      <c r="AG33" s="64"/>
      <c r="AH33" s="64"/>
      <c r="AI33" s="64"/>
      <c r="AJ33" s="64"/>
      <c r="AK33" s="64"/>
      <c r="AL33" s="64"/>
      <c r="AM33" s="64"/>
    </row>
    <row r="34" spans="1:39" ht="12.75" customHeight="1">
      <c r="A34" s="95"/>
      <c r="B34" s="64"/>
      <c r="C34" s="64"/>
      <c r="D34" s="64"/>
      <c r="E34" s="64"/>
      <c r="F34" s="64"/>
      <c r="G34" s="64"/>
      <c r="H34" s="64"/>
      <c r="I34" s="64"/>
      <c r="J34" s="64"/>
      <c r="K34" s="64"/>
      <c r="L34" s="64"/>
      <c r="M34" s="64"/>
      <c r="N34" s="64"/>
      <c r="O34" s="64"/>
      <c r="P34" s="64"/>
      <c r="Q34" s="64"/>
      <c r="R34" s="64"/>
      <c r="S34" s="64"/>
      <c r="T34" s="95"/>
      <c r="U34" s="64"/>
      <c r="V34" s="64"/>
      <c r="W34" s="65"/>
      <c r="X34" s="64"/>
      <c r="Y34" s="64"/>
      <c r="Z34" s="64"/>
      <c r="AA34" s="64"/>
      <c r="AB34" s="64"/>
      <c r="AC34" s="64"/>
      <c r="AD34" s="64"/>
      <c r="AE34" s="64"/>
      <c r="AF34" s="64"/>
      <c r="AG34" s="64"/>
      <c r="AH34" s="64"/>
      <c r="AI34" s="64"/>
      <c r="AJ34" s="64"/>
      <c r="AK34" s="64"/>
      <c r="AL34" s="64"/>
      <c r="AM34" s="64"/>
    </row>
    <row r="35" spans="1:39" ht="12.75" customHeight="1">
      <c r="A35" s="95"/>
      <c r="B35" s="64"/>
      <c r="C35" s="64"/>
      <c r="D35" s="64"/>
      <c r="E35" s="64"/>
      <c r="F35" s="64"/>
      <c r="G35" s="64"/>
      <c r="H35" s="64"/>
      <c r="I35" s="64"/>
      <c r="J35" s="64"/>
      <c r="K35" s="64"/>
      <c r="L35" s="64"/>
      <c r="M35" s="64"/>
      <c r="N35" s="64"/>
      <c r="O35" s="64"/>
      <c r="P35" s="64"/>
      <c r="Q35" s="64"/>
      <c r="R35" s="64"/>
      <c r="S35" s="64"/>
      <c r="T35" s="95"/>
      <c r="U35" s="64"/>
      <c r="V35" s="64"/>
      <c r="W35" s="65"/>
      <c r="X35" s="64"/>
      <c r="Y35" s="64"/>
      <c r="Z35" s="64"/>
      <c r="AA35" s="64"/>
      <c r="AB35" s="64"/>
      <c r="AC35" s="64"/>
      <c r="AD35" s="64"/>
      <c r="AE35" s="64"/>
      <c r="AF35" s="64"/>
      <c r="AG35" s="64"/>
      <c r="AH35" s="64"/>
      <c r="AI35" s="64"/>
      <c r="AJ35" s="64"/>
      <c r="AK35" s="64"/>
      <c r="AL35" s="64"/>
      <c r="AM35" s="64"/>
    </row>
    <row r="36" spans="1:39" ht="12.75" customHeight="1">
      <c r="A36" s="95"/>
      <c r="B36" s="64"/>
      <c r="C36" s="64"/>
      <c r="D36" s="64"/>
      <c r="E36" s="64"/>
      <c r="F36" s="64"/>
      <c r="G36" s="64"/>
      <c r="H36" s="64"/>
      <c r="I36" s="64"/>
      <c r="J36" s="64"/>
      <c r="K36" s="64"/>
      <c r="L36" s="64"/>
      <c r="M36" s="64"/>
      <c r="N36" s="64"/>
      <c r="O36" s="64"/>
      <c r="P36" s="64"/>
      <c r="Q36" s="64"/>
      <c r="R36" s="64"/>
      <c r="S36" s="64"/>
      <c r="T36" s="95"/>
      <c r="U36" s="64"/>
      <c r="V36" s="64"/>
      <c r="W36" s="65"/>
      <c r="X36" s="64"/>
      <c r="Y36" s="64"/>
      <c r="Z36" s="64"/>
      <c r="AA36" s="64"/>
      <c r="AB36" s="64"/>
      <c r="AC36" s="64"/>
      <c r="AD36" s="64"/>
      <c r="AE36" s="64"/>
      <c r="AF36" s="64"/>
      <c r="AG36" s="64"/>
      <c r="AH36" s="64"/>
      <c r="AI36" s="64"/>
      <c r="AJ36" s="64"/>
      <c r="AK36" s="64"/>
      <c r="AL36" s="64"/>
      <c r="AM36" s="64"/>
    </row>
    <row r="37" spans="1:39" ht="12.75" customHeight="1">
      <c r="A37" s="95"/>
      <c r="B37" s="64"/>
      <c r="C37" s="64"/>
      <c r="D37" s="64"/>
      <c r="E37" s="64"/>
      <c r="F37" s="64"/>
      <c r="G37" s="64"/>
      <c r="H37" s="64"/>
      <c r="I37" s="64"/>
      <c r="J37" s="64"/>
      <c r="K37" s="64"/>
      <c r="L37" s="64"/>
      <c r="M37" s="64"/>
      <c r="N37" s="64"/>
      <c r="O37" s="64"/>
      <c r="P37" s="64"/>
      <c r="Q37" s="64"/>
      <c r="R37" s="64"/>
      <c r="S37" s="64"/>
      <c r="T37" s="95"/>
      <c r="U37" s="64"/>
      <c r="V37" s="64"/>
      <c r="W37" s="65"/>
      <c r="X37" s="64"/>
      <c r="Y37" s="64"/>
      <c r="Z37" s="64"/>
      <c r="AA37" s="64"/>
      <c r="AB37" s="64"/>
      <c r="AC37" s="64"/>
      <c r="AD37" s="64"/>
      <c r="AE37" s="64"/>
      <c r="AF37" s="64"/>
      <c r="AG37" s="64"/>
      <c r="AH37" s="64"/>
      <c r="AI37" s="64"/>
      <c r="AJ37" s="64"/>
      <c r="AK37" s="64"/>
      <c r="AL37" s="64"/>
      <c r="AM37" s="64"/>
    </row>
    <row r="38" spans="1:39" ht="12.75" customHeight="1">
      <c r="A38" s="95"/>
      <c r="B38" s="64"/>
      <c r="C38" s="64"/>
      <c r="D38" s="64"/>
      <c r="E38" s="64"/>
      <c r="F38" s="64"/>
      <c r="G38" s="64"/>
      <c r="H38" s="64"/>
      <c r="I38" s="64"/>
      <c r="J38" s="64"/>
      <c r="K38" s="64"/>
      <c r="L38" s="64"/>
      <c r="M38" s="64"/>
      <c r="N38" s="64"/>
      <c r="O38" s="64"/>
      <c r="P38" s="64"/>
      <c r="Q38" s="64"/>
      <c r="R38" s="64"/>
      <c r="S38" s="64"/>
      <c r="T38" s="95"/>
      <c r="U38" s="64"/>
      <c r="V38" s="64"/>
      <c r="W38" s="65"/>
      <c r="X38" s="64"/>
      <c r="Y38" s="64"/>
      <c r="Z38" s="64"/>
      <c r="AA38" s="64"/>
      <c r="AB38" s="64"/>
      <c r="AC38" s="64"/>
      <c r="AD38" s="64"/>
      <c r="AE38" s="64"/>
      <c r="AF38" s="64"/>
      <c r="AG38" s="64"/>
      <c r="AH38" s="64"/>
      <c r="AI38" s="64"/>
      <c r="AJ38" s="64"/>
      <c r="AK38" s="64"/>
      <c r="AL38" s="64"/>
      <c r="AM38" s="64"/>
    </row>
    <row r="39" spans="1:39" ht="12.75" customHeight="1">
      <c r="A39" s="95"/>
      <c r="B39" s="64"/>
      <c r="C39" s="64"/>
      <c r="D39" s="64"/>
      <c r="E39" s="64"/>
      <c r="F39" s="64"/>
      <c r="G39" s="64"/>
      <c r="H39" s="64"/>
      <c r="I39" s="64"/>
      <c r="J39" s="64"/>
      <c r="K39" s="64"/>
      <c r="L39" s="64"/>
      <c r="M39" s="64"/>
      <c r="N39" s="64"/>
      <c r="O39" s="64"/>
      <c r="P39" s="64"/>
      <c r="Q39" s="64"/>
      <c r="R39" s="64"/>
      <c r="S39" s="64"/>
      <c r="T39" s="95"/>
      <c r="U39" s="64"/>
      <c r="V39" s="64"/>
      <c r="W39" s="65"/>
      <c r="X39" s="64"/>
      <c r="Y39" s="64"/>
      <c r="Z39" s="64"/>
      <c r="AA39" s="64"/>
      <c r="AB39" s="64"/>
      <c r="AC39" s="64"/>
      <c r="AD39" s="64"/>
      <c r="AE39" s="64"/>
      <c r="AF39" s="64"/>
      <c r="AG39" s="64"/>
      <c r="AH39" s="64"/>
      <c r="AI39" s="64"/>
      <c r="AJ39" s="64"/>
      <c r="AK39" s="64"/>
      <c r="AL39" s="64"/>
      <c r="AM39" s="64"/>
    </row>
    <row r="40" spans="1:39" ht="12.75" customHeight="1">
      <c r="A40" s="95"/>
      <c r="B40" s="64"/>
      <c r="C40" s="64"/>
      <c r="D40" s="64"/>
      <c r="E40" s="64"/>
      <c r="F40" s="64"/>
      <c r="G40" s="64"/>
      <c r="H40" s="64"/>
      <c r="I40" s="64"/>
      <c r="J40" s="64"/>
      <c r="K40" s="64"/>
      <c r="L40" s="64"/>
      <c r="M40" s="64"/>
      <c r="N40" s="64"/>
      <c r="O40" s="64"/>
      <c r="P40" s="64"/>
      <c r="Q40" s="64"/>
      <c r="R40" s="64"/>
      <c r="S40" s="64"/>
      <c r="T40" s="95"/>
      <c r="U40" s="64"/>
      <c r="V40" s="64"/>
      <c r="W40" s="65"/>
      <c r="X40" s="64"/>
      <c r="Y40" s="64"/>
      <c r="Z40" s="64"/>
      <c r="AA40" s="64"/>
      <c r="AB40" s="64"/>
      <c r="AC40" s="64"/>
      <c r="AD40" s="64"/>
      <c r="AE40" s="64"/>
      <c r="AF40" s="64"/>
      <c r="AG40" s="64"/>
      <c r="AH40" s="64"/>
      <c r="AI40" s="64"/>
      <c r="AJ40" s="64"/>
      <c r="AK40" s="64"/>
      <c r="AL40" s="64"/>
      <c r="AM40" s="64"/>
    </row>
    <row r="41" spans="1:39" ht="12.75" customHeight="1">
      <c r="A41" s="95"/>
      <c r="B41" s="64"/>
      <c r="C41" s="64"/>
      <c r="D41" s="64"/>
      <c r="E41" s="64"/>
      <c r="F41" s="64"/>
      <c r="G41" s="64"/>
      <c r="H41" s="64"/>
      <c r="I41" s="64"/>
      <c r="J41" s="64"/>
      <c r="K41" s="64"/>
      <c r="L41" s="64"/>
      <c r="M41" s="64"/>
      <c r="N41" s="64"/>
      <c r="O41" s="64"/>
      <c r="P41" s="64"/>
      <c r="Q41" s="64"/>
      <c r="R41" s="64"/>
      <c r="S41" s="64"/>
      <c r="T41" s="95"/>
      <c r="U41" s="64"/>
      <c r="V41" s="64"/>
      <c r="W41" s="65"/>
      <c r="X41" s="64"/>
      <c r="Y41" s="64"/>
      <c r="Z41" s="64"/>
      <c r="AA41" s="64"/>
      <c r="AB41" s="64"/>
      <c r="AC41" s="64"/>
      <c r="AD41" s="64"/>
      <c r="AE41" s="64"/>
      <c r="AF41" s="64"/>
      <c r="AG41" s="64"/>
      <c r="AH41" s="64"/>
      <c r="AI41" s="64"/>
      <c r="AJ41" s="64"/>
      <c r="AK41" s="64"/>
      <c r="AL41" s="64"/>
      <c r="AM41" s="64"/>
    </row>
    <row r="42" spans="1:39" ht="12.75" customHeight="1">
      <c r="A42" s="95"/>
      <c r="B42" s="64"/>
      <c r="C42" s="64"/>
      <c r="D42" s="64"/>
      <c r="E42" s="64"/>
      <c r="F42" s="64"/>
      <c r="G42" s="64"/>
      <c r="H42" s="64"/>
      <c r="I42" s="64"/>
      <c r="J42" s="64"/>
      <c r="K42" s="64"/>
      <c r="L42" s="64"/>
      <c r="M42" s="64"/>
      <c r="N42" s="64"/>
      <c r="O42" s="64"/>
      <c r="P42" s="64"/>
      <c r="Q42" s="64"/>
      <c r="R42" s="64"/>
      <c r="S42" s="64"/>
      <c r="T42" s="95"/>
      <c r="U42" s="64"/>
      <c r="V42" s="64"/>
      <c r="W42" s="65"/>
      <c r="X42" s="64"/>
      <c r="Y42" s="64"/>
      <c r="Z42" s="64"/>
      <c r="AA42" s="64"/>
      <c r="AB42" s="64"/>
      <c r="AC42" s="64"/>
      <c r="AD42" s="64"/>
      <c r="AE42" s="64"/>
      <c r="AF42" s="64"/>
      <c r="AG42" s="64"/>
      <c r="AH42" s="64"/>
      <c r="AI42" s="64"/>
      <c r="AJ42" s="64"/>
      <c r="AK42" s="64"/>
      <c r="AL42" s="64"/>
      <c r="AM42" s="64"/>
    </row>
    <row r="43" spans="1:39" ht="12.75" customHeight="1">
      <c r="A43" s="95"/>
      <c r="B43" s="64"/>
      <c r="C43" s="642" t="s">
        <v>188</v>
      </c>
      <c r="D43" s="582"/>
      <c r="E43" s="582"/>
      <c r="F43" s="582"/>
      <c r="G43" s="582"/>
      <c r="H43" s="582"/>
      <c r="I43" s="582"/>
      <c r="J43" s="582"/>
      <c r="K43" s="582"/>
      <c r="L43" s="582"/>
      <c r="M43" s="582"/>
      <c r="N43" s="582"/>
      <c r="O43" s="582"/>
      <c r="P43" s="583"/>
      <c r="Q43" s="64"/>
      <c r="R43" s="64"/>
      <c r="S43" s="64"/>
      <c r="T43" s="95"/>
      <c r="U43" s="64"/>
      <c r="V43" s="64"/>
      <c r="W43" s="65"/>
      <c r="X43" s="64"/>
      <c r="Y43" s="64"/>
      <c r="Z43" s="64"/>
      <c r="AA43" s="64"/>
      <c r="AB43" s="64"/>
      <c r="AC43" s="64"/>
      <c r="AD43" s="64"/>
      <c r="AE43" s="64"/>
      <c r="AF43" s="64"/>
      <c r="AG43" s="64"/>
      <c r="AH43" s="64"/>
      <c r="AI43" s="64"/>
      <c r="AJ43" s="64"/>
      <c r="AK43" s="64"/>
      <c r="AL43" s="64"/>
      <c r="AM43" s="64"/>
    </row>
    <row r="44" spans="1:39" ht="12.75" customHeight="1">
      <c r="A44" s="95"/>
      <c r="B44" s="64"/>
      <c r="C44" s="64"/>
      <c r="D44" s="64"/>
      <c r="E44" s="64"/>
      <c r="F44" s="64"/>
      <c r="G44" s="64"/>
      <c r="H44" s="64"/>
      <c r="I44" s="64"/>
      <c r="J44" s="64"/>
      <c r="K44" s="64"/>
      <c r="L44" s="64"/>
      <c r="M44" s="64"/>
      <c r="N44" s="64"/>
      <c r="O44" s="64"/>
      <c r="P44" s="64"/>
      <c r="Q44" s="64"/>
      <c r="R44" s="64"/>
      <c r="S44" s="64"/>
      <c r="T44" s="95"/>
      <c r="U44" s="64"/>
      <c r="V44" s="64"/>
      <c r="W44" s="65"/>
      <c r="X44" s="64"/>
      <c r="Y44" s="64"/>
      <c r="Z44" s="64"/>
      <c r="AA44" s="64"/>
      <c r="AB44" s="64"/>
      <c r="AC44" s="64"/>
      <c r="AD44" s="64"/>
      <c r="AE44" s="64"/>
      <c r="AF44" s="64"/>
      <c r="AG44" s="64"/>
      <c r="AH44" s="64"/>
      <c r="AI44" s="64"/>
      <c r="AJ44" s="64"/>
      <c r="AK44" s="64"/>
      <c r="AL44" s="64"/>
      <c r="AM44" s="64"/>
    </row>
    <row r="45" spans="1:39" ht="12.75" customHeight="1">
      <c r="A45" s="95"/>
      <c r="B45" s="64"/>
      <c r="C45" s="64"/>
      <c r="D45" s="64"/>
      <c r="E45" s="64"/>
      <c r="F45" s="64"/>
      <c r="G45" s="64"/>
      <c r="H45" s="64"/>
      <c r="I45" s="64"/>
      <c r="J45" s="64"/>
      <c r="K45" s="64"/>
      <c r="L45" s="64"/>
      <c r="M45" s="64"/>
      <c r="N45" s="64"/>
      <c r="O45" s="64"/>
      <c r="P45" s="64"/>
      <c r="Q45" s="64"/>
      <c r="R45" s="64"/>
      <c r="S45" s="64"/>
      <c r="T45" s="95"/>
      <c r="U45" s="64"/>
      <c r="V45" s="64"/>
      <c r="W45" s="65"/>
      <c r="X45" s="64"/>
      <c r="Y45" s="64"/>
      <c r="Z45" s="64"/>
      <c r="AA45" s="64"/>
      <c r="AB45" s="64"/>
      <c r="AC45" s="64"/>
      <c r="AD45" s="64"/>
      <c r="AE45" s="64"/>
      <c r="AF45" s="64"/>
      <c r="AG45" s="64"/>
      <c r="AH45" s="64"/>
      <c r="AI45" s="64"/>
      <c r="AJ45" s="64"/>
      <c r="AK45" s="64"/>
      <c r="AL45" s="64"/>
      <c r="AM45" s="64"/>
    </row>
    <row r="46" spans="1:39" ht="12.75" customHeight="1">
      <c r="A46" s="95"/>
      <c r="B46" s="64"/>
      <c r="C46" s="64"/>
      <c r="D46" s="64"/>
      <c r="E46" s="64"/>
      <c r="F46" s="64"/>
      <c r="G46" s="64"/>
      <c r="H46" s="64"/>
      <c r="I46" s="64"/>
      <c r="J46" s="64"/>
      <c r="K46" s="64"/>
      <c r="L46" s="64"/>
      <c r="M46" s="64"/>
      <c r="N46" s="64"/>
      <c r="O46" s="64"/>
      <c r="P46" s="64"/>
      <c r="Q46" s="64"/>
      <c r="R46" s="64"/>
      <c r="S46" s="64"/>
      <c r="T46" s="95"/>
      <c r="U46" s="64"/>
      <c r="V46" s="64"/>
      <c r="W46" s="65"/>
      <c r="X46" s="64"/>
      <c r="Y46" s="64"/>
      <c r="Z46" s="64"/>
      <c r="AA46" s="64"/>
      <c r="AB46" s="64"/>
      <c r="AC46" s="64"/>
      <c r="AD46" s="64"/>
      <c r="AE46" s="64"/>
      <c r="AF46" s="577"/>
      <c r="AG46" s="64"/>
      <c r="AH46" s="64"/>
      <c r="AI46" s="64"/>
      <c r="AJ46" s="64"/>
      <c r="AK46" s="64"/>
      <c r="AL46" s="64"/>
      <c r="AM46" s="64"/>
    </row>
    <row r="47" spans="1:39" ht="12.75" customHeight="1">
      <c r="A47" s="95"/>
      <c r="B47" s="64"/>
      <c r="C47" s="64"/>
      <c r="D47" s="64"/>
      <c r="E47" s="64"/>
      <c r="F47" s="64"/>
      <c r="G47" s="64"/>
      <c r="H47" s="64"/>
      <c r="I47" s="64"/>
      <c r="J47" s="64"/>
      <c r="K47" s="64"/>
      <c r="L47" s="64"/>
      <c r="M47" s="64"/>
      <c r="N47" s="64"/>
      <c r="O47" s="64"/>
      <c r="P47" s="64"/>
      <c r="Q47" s="64"/>
      <c r="R47" s="64"/>
      <c r="S47" s="64"/>
      <c r="T47" s="95"/>
      <c r="U47" s="64"/>
      <c r="V47" s="64"/>
      <c r="W47" s="65"/>
      <c r="X47" s="64"/>
      <c r="Y47" s="64"/>
      <c r="Z47" s="64"/>
      <c r="AA47" s="64"/>
      <c r="AB47" s="64"/>
      <c r="AC47" s="64"/>
      <c r="AD47" s="64"/>
      <c r="AE47" s="64"/>
      <c r="AF47" s="64"/>
      <c r="AG47" s="64"/>
      <c r="AH47" s="64"/>
      <c r="AI47" s="64"/>
      <c r="AJ47" s="64"/>
      <c r="AK47" s="64"/>
      <c r="AL47" s="64"/>
      <c r="AM47" s="64"/>
    </row>
    <row r="48" spans="1:39" ht="12.75" customHeight="1">
      <c r="A48" s="95"/>
      <c r="B48" s="64"/>
      <c r="C48" s="64"/>
      <c r="D48" s="64"/>
      <c r="E48" s="64"/>
      <c r="F48" s="64"/>
      <c r="G48" s="64"/>
      <c r="H48" s="64"/>
      <c r="I48" s="64"/>
      <c r="J48" s="64"/>
      <c r="K48" s="64"/>
      <c r="L48" s="64"/>
      <c r="M48" s="64"/>
      <c r="N48" s="64"/>
      <c r="O48" s="64"/>
      <c r="P48" s="64"/>
      <c r="Q48" s="64"/>
      <c r="R48" s="64"/>
      <c r="S48" s="64"/>
      <c r="T48" s="95"/>
      <c r="U48" s="64"/>
      <c r="V48" s="64"/>
      <c r="W48" s="65"/>
      <c r="X48" s="64"/>
      <c r="Y48" s="64"/>
      <c r="Z48" s="64"/>
      <c r="AA48" s="64"/>
      <c r="AB48" s="64"/>
      <c r="AC48" s="64"/>
      <c r="AD48" s="64"/>
      <c r="AE48" s="64"/>
      <c r="AF48" s="64"/>
      <c r="AG48" s="64"/>
      <c r="AH48" s="64"/>
      <c r="AI48" s="64"/>
      <c r="AJ48" s="64"/>
      <c r="AK48" s="64"/>
      <c r="AL48" s="64"/>
      <c r="AM48" s="64"/>
    </row>
    <row r="49" spans="1:39" ht="12.75" customHeight="1">
      <c r="A49" s="95"/>
      <c r="B49" s="64"/>
      <c r="C49" s="64"/>
      <c r="D49" s="64"/>
      <c r="E49" s="64"/>
      <c r="F49" s="64"/>
      <c r="G49" s="64"/>
      <c r="H49" s="64"/>
      <c r="I49" s="64"/>
      <c r="J49" s="64"/>
      <c r="K49" s="64"/>
      <c r="L49" s="64"/>
      <c r="M49" s="64"/>
      <c r="N49" s="64"/>
      <c r="O49" s="64"/>
      <c r="P49" s="64"/>
      <c r="Q49" s="64"/>
      <c r="R49" s="64"/>
      <c r="S49" s="64"/>
      <c r="T49" s="95"/>
      <c r="U49" s="64"/>
      <c r="V49" s="64"/>
      <c r="W49" s="65"/>
      <c r="X49" s="64"/>
      <c r="Y49" s="64"/>
      <c r="Z49" s="64"/>
      <c r="AA49" s="64"/>
      <c r="AB49" s="64"/>
      <c r="AC49" s="64"/>
      <c r="AD49" s="64"/>
      <c r="AE49" s="64"/>
      <c r="AF49" s="64"/>
      <c r="AG49" s="64"/>
      <c r="AH49" s="64"/>
      <c r="AI49" s="64"/>
      <c r="AJ49" s="64"/>
      <c r="AK49" s="64"/>
      <c r="AL49" s="64"/>
      <c r="AM49" s="64"/>
    </row>
    <row r="50" spans="1:39" ht="12.75" customHeight="1">
      <c r="A50" s="95"/>
      <c r="B50" s="64"/>
      <c r="C50" s="64"/>
      <c r="D50" s="64"/>
      <c r="E50" s="64"/>
      <c r="F50" s="64"/>
      <c r="G50" s="64"/>
      <c r="H50" s="64"/>
      <c r="I50" s="64"/>
      <c r="J50" s="64"/>
      <c r="K50" s="64"/>
      <c r="L50" s="64"/>
      <c r="M50" s="64"/>
      <c r="N50" s="64"/>
      <c r="O50" s="64"/>
      <c r="P50" s="64"/>
      <c r="Q50" s="64"/>
      <c r="R50" s="64"/>
      <c r="S50" s="64"/>
      <c r="T50" s="95"/>
      <c r="U50" s="64"/>
      <c r="V50" s="64"/>
      <c r="W50" s="65"/>
      <c r="X50" s="64"/>
      <c r="Y50" s="64"/>
      <c r="Z50" s="64"/>
      <c r="AA50" s="64"/>
      <c r="AB50" s="64"/>
      <c r="AC50" s="64"/>
      <c r="AD50" s="64"/>
      <c r="AE50" s="64"/>
      <c r="AF50" s="64"/>
      <c r="AG50" s="64"/>
      <c r="AH50" s="64"/>
      <c r="AI50" s="64"/>
      <c r="AJ50" s="64"/>
      <c r="AK50" s="64"/>
      <c r="AL50" s="64"/>
      <c r="AM50" s="64"/>
    </row>
    <row r="51" spans="1:39" ht="12.75" customHeight="1">
      <c r="A51" s="95"/>
      <c r="B51" s="64"/>
      <c r="C51" s="64"/>
      <c r="D51" s="64"/>
      <c r="E51" s="64"/>
      <c r="F51" s="64"/>
      <c r="G51" s="64"/>
      <c r="H51" s="64"/>
      <c r="I51" s="64"/>
      <c r="J51" s="64"/>
      <c r="K51" s="64"/>
      <c r="L51" s="64"/>
      <c r="M51" s="64"/>
      <c r="N51" s="64"/>
      <c r="O51" s="64"/>
      <c r="P51" s="64"/>
      <c r="Q51" s="64"/>
      <c r="R51" s="64"/>
      <c r="S51" s="64"/>
      <c r="T51" s="95"/>
      <c r="U51" s="64"/>
      <c r="V51" s="64"/>
      <c r="W51" s="65"/>
      <c r="X51" s="64"/>
      <c r="Y51" s="64"/>
      <c r="Z51" s="64"/>
      <c r="AA51" s="64"/>
      <c r="AB51" s="64"/>
      <c r="AC51" s="64"/>
      <c r="AD51" s="64"/>
      <c r="AE51" s="64"/>
      <c r="AF51" s="64"/>
      <c r="AG51" s="64"/>
      <c r="AH51" s="64"/>
      <c r="AI51" s="64"/>
      <c r="AJ51" s="64"/>
      <c r="AK51" s="64"/>
      <c r="AL51" s="64"/>
      <c r="AM51" s="64"/>
    </row>
    <row r="52" spans="1:39" ht="96.75" customHeight="1">
      <c r="A52" s="95"/>
      <c r="B52" s="64"/>
      <c r="C52" s="64"/>
      <c r="D52" s="64"/>
      <c r="E52" s="64"/>
      <c r="F52" s="64"/>
      <c r="G52" s="64"/>
      <c r="H52" s="64"/>
      <c r="I52" s="64"/>
      <c r="J52" s="64"/>
      <c r="K52" s="64"/>
      <c r="L52" s="64"/>
      <c r="M52" s="64"/>
      <c r="N52" s="64"/>
      <c r="O52" s="64"/>
      <c r="P52" s="64"/>
      <c r="Q52" s="64"/>
      <c r="R52" s="64"/>
      <c r="S52" s="64"/>
      <c r="T52" s="95"/>
      <c r="U52" s="64"/>
      <c r="V52" s="64"/>
      <c r="W52" s="65"/>
      <c r="X52" s="64"/>
      <c r="Y52" s="64"/>
      <c r="Z52" s="64"/>
      <c r="AA52" s="64"/>
      <c r="AB52" s="64"/>
      <c r="AC52" s="64"/>
      <c r="AD52" s="64"/>
      <c r="AE52" s="64"/>
      <c r="AF52" s="64"/>
      <c r="AG52" s="64"/>
      <c r="AH52" s="64"/>
      <c r="AI52" s="64"/>
      <c r="AJ52" s="64"/>
      <c r="AK52" s="64"/>
      <c r="AL52" s="64"/>
      <c r="AM52" s="64"/>
    </row>
    <row r="53" spans="1:39" ht="12.75" customHeight="1">
      <c r="A53" s="95"/>
      <c r="B53" s="64"/>
      <c r="C53" s="64"/>
      <c r="D53" s="64"/>
      <c r="E53" s="64"/>
      <c r="F53" s="64"/>
      <c r="G53" s="64"/>
      <c r="H53" s="64"/>
      <c r="I53" s="64"/>
      <c r="J53" s="64"/>
      <c r="K53" s="64"/>
      <c r="L53" s="64"/>
      <c r="M53" s="64"/>
      <c r="N53" s="64"/>
      <c r="O53" s="64"/>
      <c r="P53" s="64"/>
      <c r="Q53" s="64"/>
      <c r="R53" s="64"/>
      <c r="S53" s="64"/>
      <c r="T53" s="95"/>
      <c r="U53" s="64"/>
      <c r="V53" s="633"/>
      <c r="W53" s="634"/>
      <c r="X53" s="64"/>
      <c r="Y53" s="64"/>
      <c r="Z53" s="64"/>
      <c r="AA53" s="64"/>
      <c r="AB53" s="64"/>
      <c r="AC53" s="64"/>
      <c r="AD53" s="64"/>
      <c r="AE53" s="64"/>
      <c r="AF53" s="64"/>
      <c r="AG53" s="64"/>
      <c r="AH53" s="64"/>
      <c r="AI53" s="64"/>
      <c r="AJ53" s="64"/>
      <c r="AK53" s="64"/>
      <c r="AL53" s="64"/>
      <c r="AM53" s="64"/>
    </row>
    <row r="54" spans="1:39" ht="12.75" customHeight="1">
      <c r="A54" s="95"/>
      <c r="B54" s="64"/>
      <c r="C54" s="64"/>
      <c r="D54" s="64"/>
      <c r="E54" s="64"/>
      <c r="F54" s="64"/>
      <c r="G54" s="64"/>
      <c r="H54" s="64"/>
      <c r="I54" s="64"/>
      <c r="J54" s="64"/>
      <c r="K54" s="64"/>
      <c r="L54" s="64"/>
      <c r="M54" s="64"/>
      <c r="N54" s="64"/>
      <c r="O54" s="64"/>
      <c r="P54" s="64"/>
      <c r="Q54" s="64"/>
      <c r="R54" s="64"/>
      <c r="S54" s="64"/>
      <c r="T54" s="95"/>
      <c r="U54" s="64"/>
      <c r="V54" s="64"/>
      <c r="W54" s="65"/>
      <c r="X54" s="64"/>
      <c r="Y54" s="64"/>
      <c r="Z54" s="64"/>
      <c r="AA54" s="64"/>
      <c r="AB54" s="64"/>
      <c r="AC54" s="64"/>
      <c r="AD54" s="64"/>
      <c r="AE54" s="64"/>
      <c r="AF54" s="64"/>
      <c r="AG54" s="64"/>
      <c r="AH54" s="64"/>
      <c r="AI54" s="64"/>
      <c r="AJ54" s="64"/>
      <c r="AK54" s="64"/>
      <c r="AL54" s="64"/>
      <c r="AM54" s="64"/>
    </row>
    <row r="55" spans="1:39" ht="12.75" customHeight="1">
      <c r="A55" s="95"/>
      <c r="B55" s="64"/>
      <c r="C55" s="64"/>
      <c r="D55" s="64"/>
      <c r="E55" s="64"/>
      <c r="F55" s="64"/>
      <c r="G55" s="64"/>
      <c r="H55" s="64"/>
      <c r="I55" s="64"/>
      <c r="J55" s="64"/>
      <c r="K55" s="64"/>
      <c r="L55" s="64"/>
      <c r="M55" s="64"/>
      <c r="N55" s="64"/>
      <c r="O55" s="64"/>
      <c r="P55" s="64"/>
      <c r="Q55" s="64"/>
      <c r="R55" s="64"/>
      <c r="S55" s="64"/>
      <c r="T55" s="95"/>
      <c r="U55" s="64"/>
      <c r="V55" s="64"/>
      <c r="W55" s="65"/>
      <c r="X55" s="64"/>
      <c r="Y55" s="64"/>
      <c r="Z55" s="64"/>
      <c r="AA55" s="64"/>
      <c r="AB55" s="64"/>
      <c r="AC55" s="64"/>
      <c r="AD55" s="64"/>
      <c r="AE55" s="64"/>
      <c r="AF55" s="64"/>
      <c r="AG55" s="64"/>
      <c r="AH55" s="64"/>
      <c r="AI55" s="64"/>
      <c r="AJ55" s="64"/>
      <c r="AK55" s="64"/>
      <c r="AL55" s="64"/>
      <c r="AM55" s="64"/>
    </row>
    <row r="56" spans="1:39" ht="12.75" customHeight="1">
      <c r="A56" s="95"/>
      <c r="B56" s="64"/>
      <c r="C56" s="64"/>
      <c r="D56" s="64"/>
      <c r="E56" s="64"/>
      <c r="F56" s="64"/>
      <c r="G56" s="64"/>
      <c r="H56" s="64"/>
      <c r="I56" s="64"/>
      <c r="J56" s="64"/>
      <c r="K56" s="64"/>
      <c r="L56" s="64"/>
      <c r="M56" s="64"/>
      <c r="N56" s="64"/>
      <c r="O56" s="64"/>
      <c r="P56" s="64"/>
      <c r="Q56" s="64"/>
      <c r="R56" s="64"/>
      <c r="S56" s="64"/>
      <c r="T56" s="95"/>
      <c r="U56" s="64"/>
      <c r="V56" s="64"/>
      <c r="W56" s="65"/>
      <c r="X56" s="64"/>
      <c r="Y56" s="64"/>
      <c r="Z56" s="64"/>
      <c r="AA56" s="64"/>
      <c r="AB56" s="64"/>
      <c r="AC56" s="64"/>
      <c r="AD56" s="64"/>
      <c r="AE56" s="64"/>
      <c r="AF56" s="64"/>
      <c r="AG56" s="64"/>
      <c r="AH56" s="64"/>
      <c r="AI56" s="64"/>
      <c r="AJ56" s="64"/>
      <c r="AK56" s="64"/>
      <c r="AL56" s="64"/>
      <c r="AM56" s="64"/>
    </row>
    <row r="57" spans="1:39" ht="12.75" customHeight="1">
      <c r="A57" s="95"/>
      <c r="B57" s="64"/>
      <c r="C57" s="64"/>
      <c r="D57" s="64"/>
      <c r="E57" s="64"/>
      <c r="F57" s="64"/>
      <c r="G57" s="64"/>
      <c r="H57" s="64"/>
      <c r="I57" s="64"/>
      <c r="J57" s="64"/>
      <c r="K57" s="64"/>
      <c r="L57" s="64"/>
      <c r="M57" s="64"/>
      <c r="N57" s="64"/>
      <c r="O57" s="64"/>
      <c r="P57" s="64"/>
      <c r="Q57" s="64"/>
      <c r="R57" s="64"/>
      <c r="S57" s="64"/>
      <c r="T57" s="95"/>
      <c r="U57" s="64"/>
      <c r="V57" s="64"/>
      <c r="W57" s="65"/>
      <c r="X57" s="64"/>
      <c r="Y57" s="64"/>
      <c r="Z57" s="64"/>
      <c r="AA57" s="64"/>
      <c r="AB57" s="64"/>
      <c r="AC57" s="64"/>
      <c r="AD57" s="64"/>
      <c r="AE57" s="64"/>
      <c r="AF57" s="64"/>
      <c r="AG57" s="64"/>
      <c r="AH57" s="64"/>
      <c r="AI57" s="64"/>
      <c r="AJ57" s="64"/>
      <c r="AK57" s="64"/>
      <c r="AL57" s="64"/>
      <c r="AM57" s="64"/>
    </row>
    <row r="58" spans="1:39" ht="12.75" customHeight="1">
      <c r="A58" s="95"/>
      <c r="B58" s="64"/>
      <c r="C58" s="64"/>
      <c r="D58" s="64"/>
      <c r="E58" s="64"/>
      <c r="F58" s="64"/>
      <c r="G58" s="64"/>
      <c r="H58" s="64"/>
      <c r="I58" s="64"/>
      <c r="J58" s="64"/>
      <c r="K58" s="64"/>
      <c r="L58" s="64"/>
      <c r="M58" s="64"/>
      <c r="N58" s="64"/>
      <c r="O58" s="64"/>
      <c r="P58" s="64"/>
      <c r="Q58" s="64"/>
      <c r="R58" s="64"/>
      <c r="S58" s="64"/>
      <c r="T58" s="95"/>
      <c r="U58" s="64"/>
      <c r="V58" s="64"/>
      <c r="W58" s="65"/>
      <c r="X58" s="64"/>
      <c r="Y58" s="64"/>
      <c r="Z58" s="64"/>
      <c r="AA58" s="64"/>
      <c r="AB58" s="64"/>
      <c r="AC58" s="64"/>
      <c r="AD58" s="64"/>
      <c r="AE58" s="64"/>
      <c r="AF58" s="64"/>
      <c r="AG58" s="64"/>
      <c r="AH58" s="64"/>
      <c r="AI58" s="64"/>
      <c r="AJ58" s="64"/>
      <c r="AK58" s="64"/>
      <c r="AL58" s="64"/>
      <c r="AM58" s="64"/>
    </row>
    <row r="59" spans="1:39" ht="12.75" customHeight="1">
      <c r="A59" s="95"/>
      <c r="B59" s="64"/>
      <c r="C59" s="64"/>
      <c r="D59" s="64"/>
      <c r="E59" s="64"/>
      <c r="F59" s="64"/>
      <c r="G59" s="64"/>
      <c r="H59" s="64"/>
      <c r="I59" s="64"/>
      <c r="J59" s="64"/>
      <c r="K59" s="64"/>
      <c r="L59" s="64"/>
      <c r="M59" s="64"/>
      <c r="N59" s="64"/>
      <c r="O59" s="64"/>
      <c r="P59" s="64"/>
      <c r="Q59" s="64"/>
      <c r="R59" s="64"/>
      <c r="S59" s="64"/>
      <c r="T59" s="95"/>
      <c r="U59" s="64"/>
      <c r="V59" s="64"/>
      <c r="W59" s="65"/>
      <c r="X59" s="64"/>
      <c r="Y59" s="64"/>
      <c r="Z59" s="64"/>
      <c r="AA59" s="64"/>
      <c r="AB59" s="64"/>
      <c r="AC59" s="64"/>
      <c r="AD59" s="64"/>
      <c r="AE59" s="64"/>
      <c r="AF59" s="64"/>
      <c r="AG59" s="64"/>
      <c r="AH59" s="64"/>
      <c r="AI59" s="64"/>
      <c r="AJ59" s="64"/>
      <c r="AK59" s="64"/>
      <c r="AL59" s="64"/>
      <c r="AM59" s="64"/>
    </row>
    <row r="60" spans="1:39" ht="12.75" customHeight="1">
      <c r="A60" s="95"/>
      <c r="B60" s="64"/>
      <c r="C60" s="64"/>
      <c r="D60" s="64"/>
      <c r="E60" s="64"/>
      <c r="F60" s="64"/>
      <c r="G60" s="64"/>
      <c r="H60" s="64"/>
      <c r="I60" s="64"/>
      <c r="J60" s="64"/>
      <c r="K60" s="64"/>
      <c r="L60" s="64"/>
      <c r="M60" s="64"/>
      <c r="N60" s="64"/>
      <c r="O60" s="64"/>
      <c r="P60" s="64"/>
      <c r="Q60" s="64"/>
      <c r="R60" s="64"/>
      <c r="S60" s="64"/>
      <c r="T60" s="95"/>
      <c r="U60" s="64"/>
      <c r="V60" s="64"/>
      <c r="W60" s="65"/>
      <c r="X60" s="64"/>
      <c r="Y60" s="64"/>
      <c r="Z60" s="64"/>
      <c r="AA60" s="64"/>
      <c r="AB60" s="64"/>
      <c r="AC60" s="64"/>
      <c r="AD60" s="64"/>
      <c r="AE60" s="64"/>
      <c r="AF60" s="64"/>
      <c r="AG60" s="64"/>
      <c r="AH60" s="64"/>
      <c r="AI60" s="64"/>
      <c r="AJ60" s="64"/>
      <c r="AK60" s="64"/>
      <c r="AL60" s="64"/>
      <c r="AM60" s="64"/>
    </row>
    <row r="61" spans="1:39" ht="12.75" customHeight="1">
      <c r="A61" s="95"/>
      <c r="B61" s="64"/>
      <c r="C61" s="64"/>
      <c r="D61" s="64"/>
      <c r="E61" s="64"/>
      <c r="F61" s="64"/>
      <c r="G61" s="64"/>
      <c r="H61" s="64"/>
      <c r="I61" s="64"/>
      <c r="J61" s="64"/>
      <c r="K61" s="64"/>
      <c r="L61" s="64"/>
      <c r="M61" s="64"/>
      <c r="N61" s="64"/>
      <c r="O61" s="64"/>
      <c r="P61" s="64"/>
      <c r="Q61" s="64"/>
      <c r="R61" s="64"/>
      <c r="S61" s="64"/>
      <c r="T61" s="95"/>
      <c r="U61" s="64"/>
      <c r="V61" s="64"/>
      <c r="W61" s="65"/>
      <c r="X61" s="64"/>
      <c r="Y61" s="64"/>
      <c r="Z61" s="64"/>
      <c r="AA61" s="64"/>
      <c r="AB61" s="64"/>
      <c r="AC61" s="64"/>
      <c r="AD61" s="64"/>
      <c r="AE61" s="64"/>
      <c r="AF61" s="64"/>
      <c r="AG61" s="64"/>
      <c r="AH61" s="64"/>
      <c r="AI61" s="64"/>
      <c r="AJ61" s="64"/>
      <c r="AK61" s="64"/>
      <c r="AL61" s="64"/>
      <c r="AM61" s="64"/>
    </row>
    <row r="62" spans="1:39" ht="12.75" customHeight="1">
      <c r="A62" s="95"/>
      <c r="B62" s="64"/>
      <c r="C62" s="64"/>
      <c r="D62" s="64"/>
      <c r="E62" s="64"/>
      <c r="F62" s="64"/>
      <c r="G62" s="64"/>
      <c r="H62" s="64"/>
      <c r="I62" s="64"/>
      <c r="J62" s="64"/>
      <c r="K62" s="64"/>
      <c r="L62" s="64"/>
      <c r="M62" s="64"/>
      <c r="N62" s="64"/>
      <c r="O62" s="64"/>
      <c r="P62" s="64"/>
      <c r="Q62" s="64"/>
      <c r="R62" s="64"/>
      <c r="S62" s="64"/>
      <c r="T62" s="95"/>
      <c r="U62" s="64"/>
      <c r="V62" s="64"/>
      <c r="W62" s="65"/>
      <c r="X62" s="64"/>
      <c r="Y62" s="64"/>
      <c r="Z62" s="64"/>
      <c r="AA62" s="64"/>
      <c r="AB62" s="64"/>
      <c r="AC62" s="64"/>
      <c r="AD62" s="64"/>
      <c r="AE62" s="64"/>
      <c r="AF62" s="64"/>
      <c r="AG62" s="64"/>
      <c r="AH62" s="64"/>
      <c r="AI62" s="64"/>
      <c r="AJ62" s="64"/>
      <c r="AK62" s="64"/>
      <c r="AL62" s="64"/>
      <c r="AM62" s="64"/>
    </row>
    <row r="63" spans="1:39" ht="12.75" customHeight="1">
      <c r="A63" s="95"/>
      <c r="B63" s="64"/>
      <c r="C63" s="64"/>
      <c r="D63" s="64"/>
      <c r="E63" s="64"/>
      <c r="F63" s="64"/>
      <c r="G63" s="64"/>
      <c r="H63" s="64"/>
      <c r="I63" s="64"/>
      <c r="J63" s="64"/>
      <c r="K63" s="64"/>
      <c r="L63" s="64"/>
      <c r="M63" s="64"/>
      <c r="N63" s="64"/>
      <c r="O63" s="64"/>
      <c r="P63" s="64"/>
      <c r="Q63" s="64"/>
      <c r="R63" s="64"/>
      <c r="S63" s="64"/>
      <c r="T63" s="95"/>
      <c r="U63" s="64"/>
      <c r="V63" s="64"/>
      <c r="W63" s="65"/>
      <c r="X63" s="64"/>
      <c r="Y63" s="64"/>
      <c r="Z63" s="64"/>
      <c r="AA63" s="64"/>
      <c r="AB63" s="64"/>
      <c r="AC63" s="64"/>
      <c r="AD63" s="64"/>
      <c r="AE63" s="64"/>
      <c r="AF63" s="64"/>
      <c r="AG63" s="64"/>
      <c r="AH63" s="64"/>
      <c r="AI63" s="64"/>
      <c r="AJ63" s="64"/>
      <c r="AK63" s="64"/>
      <c r="AL63" s="64"/>
      <c r="AM63" s="64"/>
    </row>
    <row r="64" spans="1:39" ht="12.75" customHeight="1">
      <c r="A64" s="95"/>
      <c r="B64" s="64"/>
      <c r="C64" s="64"/>
      <c r="D64" s="64"/>
      <c r="E64" s="64"/>
      <c r="F64" s="64"/>
      <c r="G64" s="64"/>
      <c r="H64" s="64"/>
      <c r="I64" s="64"/>
      <c r="J64" s="64"/>
      <c r="K64" s="64"/>
      <c r="L64" s="64"/>
      <c r="M64" s="64"/>
      <c r="N64" s="64"/>
      <c r="O64" s="64"/>
      <c r="P64" s="64"/>
      <c r="Q64" s="64"/>
      <c r="R64" s="64"/>
      <c r="S64" s="64"/>
      <c r="T64" s="95"/>
      <c r="U64" s="64"/>
      <c r="V64" s="64"/>
      <c r="W64" s="65"/>
      <c r="X64" s="64"/>
      <c r="Y64" s="576" t="s">
        <v>1079</v>
      </c>
      <c r="Z64" s="576"/>
      <c r="AA64" s="576"/>
      <c r="AB64" s="576"/>
      <c r="AC64" s="576"/>
      <c r="AD64" s="576"/>
      <c r="AE64" s="576"/>
      <c r="AF64" s="576"/>
      <c r="AG64" s="64"/>
      <c r="AH64" s="64"/>
      <c r="AI64" s="64"/>
      <c r="AJ64" s="64"/>
      <c r="AK64" s="64"/>
      <c r="AL64" s="64"/>
      <c r="AM64" s="64"/>
    </row>
    <row r="65" spans="1:39" ht="12.75" customHeight="1">
      <c r="A65" s="95"/>
      <c r="B65" s="64"/>
      <c r="C65" s="64"/>
      <c r="D65" s="64"/>
      <c r="E65" s="64"/>
      <c r="F65" s="64"/>
      <c r="G65" s="64"/>
      <c r="H65" s="64"/>
      <c r="I65" s="64"/>
      <c r="J65" s="64"/>
      <c r="K65" s="64"/>
      <c r="L65" s="64"/>
      <c r="M65" s="64"/>
      <c r="N65" s="64"/>
      <c r="O65" s="64"/>
      <c r="P65" s="64"/>
      <c r="Q65" s="64"/>
      <c r="R65" s="64"/>
      <c r="S65" s="64"/>
      <c r="T65" s="95"/>
      <c r="U65" s="64"/>
      <c r="V65" s="64"/>
      <c r="W65" s="65"/>
      <c r="X65" s="64"/>
      <c r="Y65" s="64"/>
      <c r="Z65" s="64"/>
      <c r="AA65" s="64"/>
      <c r="AB65" s="64"/>
      <c r="AC65" s="64"/>
      <c r="AD65" s="64"/>
      <c r="AE65" s="64"/>
      <c r="AF65" s="64"/>
      <c r="AG65" s="64"/>
      <c r="AH65" s="64"/>
      <c r="AI65" s="64"/>
      <c r="AJ65" s="64"/>
      <c r="AK65" s="64"/>
      <c r="AL65" s="64"/>
      <c r="AM65" s="64"/>
    </row>
    <row r="66" spans="1:39" ht="12.75" customHeight="1">
      <c r="A66" s="95"/>
      <c r="B66" s="64"/>
      <c r="C66" s="64"/>
      <c r="D66" s="64"/>
      <c r="E66" s="64"/>
      <c r="F66" s="64"/>
      <c r="G66" s="64"/>
      <c r="H66" s="64"/>
      <c r="I66" s="64"/>
      <c r="J66" s="64"/>
      <c r="K66" s="64"/>
      <c r="L66" s="64"/>
      <c r="M66" s="64"/>
      <c r="N66" s="64"/>
      <c r="O66" s="64"/>
      <c r="P66" s="64"/>
      <c r="Q66" s="64"/>
      <c r="R66" s="64"/>
      <c r="S66" s="64"/>
      <c r="T66" s="95"/>
      <c r="U66" s="64"/>
      <c r="V66" s="64"/>
      <c r="W66" s="65"/>
      <c r="X66" s="64"/>
      <c r="Y66" s="64"/>
      <c r="Z66" s="64"/>
      <c r="AA66" s="64"/>
      <c r="AB66" s="64"/>
      <c r="AC66" s="64"/>
      <c r="AD66" s="64"/>
      <c r="AE66" s="64"/>
      <c r="AF66" s="64"/>
      <c r="AG66" s="64"/>
      <c r="AH66" s="64"/>
      <c r="AI66" s="64"/>
      <c r="AJ66" s="64"/>
      <c r="AK66" s="64"/>
      <c r="AL66" s="64"/>
      <c r="AM66" s="64"/>
    </row>
    <row r="67" spans="1:39" ht="12.75" customHeight="1">
      <c r="A67" s="95"/>
      <c r="B67" s="64"/>
      <c r="C67" s="64"/>
      <c r="D67" s="64"/>
      <c r="E67" s="64"/>
      <c r="F67" s="64"/>
      <c r="G67" s="64"/>
      <c r="H67" s="64"/>
      <c r="I67" s="64"/>
      <c r="J67" s="64"/>
      <c r="K67" s="64"/>
      <c r="L67" s="64"/>
      <c r="M67" s="64"/>
      <c r="N67" s="64"/>
      <c r="O67" s="64"/>
      <c r="P67" s="64"/>
      <c r="Q67" s="64"/>
      <c r="R67" s="64"/>
      <c r="S67" s="64"/>
      <c r="T67" s="95"/>
      <c r="U67" s="64"/>
      <c r="V67" s="64"/>
      <c r="W67" s="65"/>
      <c r="X67" s="64"/>
      <c r="Y67" s="64"/>
      <c r="Z67" s="64"/>
      <c r="AA67" s="64"/>
      <c r="AB67" s="64"/>
      <c r="AC67" s="64"/>
      <c r="AD67" s="64"/>
      <c r="AE67" s="64"/>
      <c r="AF67" s="64"/>
      <c r="AG67" s="64"/>
      <c r="AH67" s="64"/>
      <c r="AI67" s="64"/>
      <c r="AJ67" s="64"/>
      <c r="AK67" s="64"/>
      <c r="AL67" s="64"/>
      <c r="AM67" s="64"/>
    </row>
    <row r="68" spans="1:39" ht="12.75" customHeight="1">
      <c r="A68" s="100"/>
      <c r="B68" s="101"/>
      <c r="C68" s="101"/>
      <c r="D68" s="101"/>
      <c r="E68" s="101"/>
      <c r="F68" s="101"/>
      <c r="G68" s="101"/>
      <c r="H68" s="101"/>
      <c r="I68" s="101"/>
      <c r="J68" s="101"/>
      <c r="K68" s="101"/>
      <c r="L68" s="101"/>
      <c r="M68" s="101"/>
      <c r="N68" s="101"/>
      <c r="O68" s="101"/>
      <c r="P68" s="101"/>
      <c r="Q68" s="101"/>
      <c r="R68" s="101"/>
      <c r="S68" s="101"/>
      <c r="T68" s="100"/>
      <c r="U68" s="101"/>
      <c r="V68" s="101"/>
      <c r="W68" s="102"/>
      <c r="X68" s="101"/>
      <c r="Y68" s="101"/>
      <c r="Z68" s="101"/>
      <c r="AA68" s="101"/>
      <c r="AB68" s="101"/>
      <c r="AC68" s="101"/>
      <c r="AD68" s="101"/>
      <c r="AE68" s="101"/>
      <c r="AF68" s="101"/>
      <c r="AG68" s="101"/>
      <c r="AH68" s="101"/>
      <c r="AI68" s="101"/>
      <c r="AJ68" s="101"/>
      <c r="AK68" s="101"/>
      <c r="AL68" s="101"/>
      <c r="AM68" s="101"/>
    </row>
    <row r="69" spans="1:39" ht="12.75" customHeight="1">
      <c r="W69" s="77"/>
    </row>
    <row r="70" spans="1:39" ht="12.75" customHeight="1">
      <c r="W70" s="77"/>
    </row>
    <row r="71" spans="1:39" ht="12.75" customHeight="1">
      <c r="W71" s="77"/>
    </row>
    <row r="72" spans="1:39" ht="12.75" customHeight="1">
      <c r="W72" s="77"/>
    </row>
    <row r="73" spans="1:39" ht="12.75" customHeight="1">
      <c r="W73" s="77"/>
    </row>
    <row r="74" spans="1:39" ht="12.75" customHeight="1">
      <c r="W74" s="77"/>
    </row>
    <row r="75" spans="1:39" ht="12.75" customHeight="1">
      <c r="W75" s="77"/>
    </row>
    <row r="76" spans="1:39" ht="12.75" customHeight="1">
      <c r="W76" s="77"/>
    </row>
    <row r="77" spans="1:39" ht="12.75" customHeight="1">
      <c r="W77" s="77"/>
    </row>
    <row r="78" spans="1:39" ht="12.75" customHeight="1">
      <c r="W78" s="77"/>
    </row>
    <row r="79" spans="1:39" ht="12.75" customHeight="1">
      <c r="W79" s="77"/>
    </row>
    <row r="80" spans="1:39" ht="12.75" customHeight="1">
      <c r="W80" s="77"/>
    </row>
    <row r="81" spans="23:23" ht="12.75" customHeight="1">
      <c r="W81" s="77"/>
    </row>
    <row r="82" spans="23:23" ht="12.75" customHeight="1">
      <c r="W82" s="77"/>
    </row>
    <row r="83" spans="23:23" ht="12.75" customHeight="1">
      <c r="W83" s="77"/>
    </row>
    <row r="84" spans="23:23" ht="12.75" customHeight="1">
      <c r="W84" s="77"/>
    </row>
    <row r="85" spans="23:23" ht="12.75" customHeight="1">
      <c r="W85" s="77"/>
    </row>
    <row r="86" spans="23:23" ht="12.75" customHeight="1">
      <c r="W86" s="77"/>
    </row>
    <row r="87" spans="23:23" ht="12.75" customHeight="1">
      <c r="W87" s="77"/>
    </row>
    <row r="88" spans="23:23" ht="12.75" customHeight="1">
      <c r="W88" s="77"/>
    </row>
    <row r="89" spans="23:23" ht="12.75" customHeight="1">
      <c r="W89" s="77"/>
    </row>
    <row r="90" spans="23:23" ht="12.75" customHeight="1">
      <c r="W90" s="77"/>
    </row>
    <row r="91" spans="23:23" ht="12.75" customHeight="1">
      <c r="W91" s="77"/>
    </row>
    <row r="92" spans="23:23" ht="12.75" customHeight="1">
      <c r="W92" s="77"/>
    </row>
    <row r="93" spans="23:23" ht="12.75" customHeight="1">
      <c r="W93" s="77"/>
    </row>
    <row r="94" spans="23:23" ht="12.75" customHeight="1">
      <c r="W94" s="77"/>
    </row>
    <row r="95" spans="23:23" ht="12.75" customHeight="1">
      <c r="W95" s="77"/>
    </row>
    <row r="96" spans="23:23" ht="12.75" customHeight="1">
      <c r="W96" s="77"/>
    </row>
    <row r="97" spans="23:23" ht="12.75" customHeight="1">
      <c r="W97" s="77"/>
    </row>
    <row r="98" spans="23:23" ht="12.75" customHeight="1">
      <c r="W98" s="77"/>
    </row>
    <row r="99" spans="23:23" ht="12.75" customHeight="1">
      <c r="W99" s="77"/>
    </row>
    <row r="100" spans="23:23" ht="12.75" customHeight="1">
      <c r="W100" s="77"/>
    </row>
    <row r="101" spans="23:23" ht="12.75" customHeight="1">
      <c r="W101" s="77"/>
    </row>
    <row r="102" spans="23:23" ht="12.75" customHeight="1">
      <c r="W102" s="77"/>
    </row>
    <row r="103" spans="23:23" ht="12.75" customHeight="1">
      <c r="W103" s="77"/>
    </row>
    <row r="104" spans="23:23" ht="12.75" customHeight="1">
      <c r="W104" s="77"/>
    </row>
    <row r="105" spans="23:23" ht="12.75" customHeight="1">
      <c r="W105" s="77"/>
    </row>
    <row r="106" spans="23:23" ht="12.75" customHeight="1">
      <c r="W106" s="77"/>
    </row>
    <row r="107" spans="23:23" ht="12.75" customHeight="1">
      <c r="W107" s="77"/>
    </row>
    <row r="108" spans="23:23" ht="12.75" customHeight="1">
      <c r="W108" s="77"/>
    </row>
    <row r="109" spans="23:23" ht="12.75" customHeight="1">
      <c r="W109" s="77"/>
    </row>
    <row r="110" spans="23:23" ht="12.75" customHeight="1">
      <c r="W110" s="77"/>
    </row>
    <row r="111" spans="23:23" ht="12.75" customHeight="1">
      <c r="W111" s="77"/>
    </row>
    <row r="112" spans="23:23" ht="12.75" customHeight="1">
      <c r="W112" s="77"/>
    </row>
    <row r="113" spans="23:23" ht="12.75" customHeight="1">
      <c r="W113" s="77"/>
    </row>
    <row r="114" spans="23:23" ht="12.75" customHeight="1">
      <c r="W114" s="77"/>
    </row>
    <row r="115" spans="23:23" ht="12.75" customHeight="1">
      <c r="W115" s="77"/>
    </row>
    <row r="116" spans="23:23" ht="12.75" customHeight="1">
      <c r="W116" s="77"/>
    </row>
    <row r="117" spans="23:23" ht="12.75" customHeight="1">
      <c r="W117" s="77"/>
    </row>
    <row r="118" spans="23:23" ht="12.75" customHeight="1">
      <c r="W118" s="77"/>
    </row>
    <row r="119" spans="23:23" ht="12.75" customHeight="1">
      <c r="W119" s="77"/>
    </row>
    <row r="120" spans="23:23" ht="12.75" customHeight="1">
      <c r="W120" s="77"/>
    </row>
    <row r="121" spans="23:23" ht="12.75" customHeight="1">
      <c r="W121" s="77"/>
    </row>
    <row r="122" spans="23:23" ht="12.75" customHeight="1">
      <c r="W122" s="77"/>
    </row>
    <row r="123" spans="23:23" ht="12.75" customHeight="1">
      <c r="W123" s="77"/>
    </row>
    <row r="124" spans="23:23" ht="12.75" customHeight="1">
      <c r="W124" s="77"/>
    </row>
    <row r="125" spans="23:23" ht="12.75" customHeight="1">
      <c r="W125" s="77"/>
    </row>
    <row r="126" spans="23:23" ht="12.75" customHeight="1">
      <c r="W126" s="77"/>
    </row>
    <row r="127" spans="23:23" ht="12.75" customHeight="1">
      <c r="W127" s="77"/>
    </row>
    <row r="128" spans="23:23" ht="12.75" customHeight="1">
      <c r="W128" s="77"/>
    </row>
    <row r="129" spans="23:23" ht="12.75" customHeight="1">
      <c r="W129" s="77"/>
    </row>
    <row r="130" spans="23:23" ht="12.75" customHeight="1">
      <c r="W130" s="77"/>
    </row>
    <row r="131" spans="23:23" ht="12.75" customHeight="1">
      <c r="W131" s="77"/>
    </row>
    <row r="132" spans="23:23" ht="12.75" customHeight="1">
      <c r="W132" s="77"/>
    </row>
    <row r="133" spans="23:23" ht="12.75" customHeight="1">
      <c r="W133" s="77"/>
    </row>
    <row r="134" spans="23:23" ht="12.75" customHeight="1">
      <c r="W134" s="77"/>
    </row>
    <row r="135" spans="23:23" ht="12.75" customHeight="1">
      <c r="W135" s="77"/>
    </row>
    <row r="136" spans="23:23" ht="12.75" customHeight="1">
      <c r="W136" s="77"/>
    </row>
    <row r="137" spans="23:23" ht="12.75" customHeight="1">
      <c r="W137" s="77"/>
    </row>
    <row r="138" spans="23:23" ht="12.75" customHeight="1">
      <c r="W138" s="77"/>
    </row>
    <row r="139" spans="23:23" ht="12.75" customHeight="1">
      <c r="W139" s="77"/>
    </row>
    <row r="140" spans="23:23" ht="12.75" customHeight="1">
      <c r="W140" s="77"/>
    </row>
    <row r="141" spans="23:23" ht="12.75" customHeight="1">
      <c r="W141" s="77"/>
    </row>
    <row r="142" spans="23:23" ht="12.75" customHeight="1">
      <c r="W142" s="77"/>
    </row>
    <row r="143" spans="23:23" ht="12.75" customHeight="1">
      <c r="W143" s="77"/>
    </row>
    <row r="144" spans="23:23" ht="12.75" customHeight="1">
      <c r="W144" s="77"/>
    </row>
    <row r="145" spans="23:23" ht="12.75" customHeight="1">
      <c r="W145" s="77"/>
    </row>
    <row r="146" spans="23:23" ht="12.75" customHeight="1">
      <c r="W146" s="77"/>
    </row>
    <row r="147" spans="23:23" ht="12.75" customHeight="1">
      <c r="W147" s="77"/>
    </row>
    <row r="148" spans="23:23" ht="12.75" customHeight="1">
      <c r="W148" s="77"/>
    </row>
    <row r="149" spans="23:23" ht="12.75" customHeight="1">
      <c r="W149" s="77"/>
    </row>
    <row r="150" spans="23:23" ht="12.75" customHeight="1">
      <c r="W150" s="77"/>
    </row>
    <row r="151" spans="23:23" ht="12.75" customHeight="1">
      <c r="W151" s="77"/>
    </row>
    <row r="152" spans="23:23" ht="12.75" customHeight="1">
      <c r="W152" s="77"/>
    </row>
    <row r="153" spans="23:23" ht="12.75" customHeight="1">
      <c r="W153" s="77"/>
    </row>
    <row r="154" spans="23:23" ht="12.75" customHeight="1">
      <c r="W154" s="77"/>
    </row>
    <row r="155" spans="23:23" ht="12.75" customHeight="1">
      <c r="W155" s="77"/>
    </row>
    <row r="156" spans="23:23" ht="12.75" customHeight="1">
      <c r="W156" s="77"/>
    </row>
    <row r="157" spans="23:23" ht="12.75" customHeight="1">
      <c r="W157" s="77"/>
    </row>
    <row r="158" spans="23:23" ht="12.75" customHeight="1">
      <c r="W158" s="77"/>
    </row>
    <row r="159" spans="23:23" ht="12.75" customHeight="1">
      <c r="W159" s="77"/>
    </row>
    <row r="160" spans="23:23" ht="12.75" customHeight="1">
      <c r="W160" s="77"/>
    </row>
    <row r="161" spans="23:23" ht="12.75" customHeight="1">
      <c r="W161" s="77"/>
    </row>
    <row r="162" spans="23:23" ht="12.75" customHeight="1">
      <c r="W162" s="77"/>
    </row>
    <row r="163" spans="23:23" ht="12.75" customHeight="1">
      <c r="W163" s="77"/>
    </row>
    <row r="164" spans="23:23" ht="12.75" customHeight="1">
      <c r="W164" s="77"/>
    </row>
    <row r="165" spans="23:23" ht="12.75" customHeight="1">
      <c r="W165" s="77"/>
    </row>
    <row r="166" spans="23:23" ht="12.75" customHeight="1">
      <c r="W166" s="77"/>
    </row>
    <row r="167" spans="23:23" ht="12.75" customHeight="1">
      <c r="W167" s="77"/>
    </row>
    <row r="168" spans="23:23" ht="12.75" customHeight="1">
      <c r="W168" s="77"/>
    </row>
    <row r="169" spans="23:23" ht="12.75" customHeight="1">
      <c r="W169" s="77"/>
    </row>
    <row r="170" spans="23:23" ht="12.75" customHeight="1">
      <c r="W170" s="77"/>
    </row>
    <row r="171" spans="23:23" ht="12.75" customHeight="1">
      <c r="W171" s="77"/>
    </row>
    <row r="172" spans="23:23" ht="12.75" customHeight="1">
      <c r="W172" s="77"/>
    </row>
    <row r="173" spans="23:23" ht="12.75" customHeight="1">
      <c r="W173" s="77"/>
    </row>
    <row r="174" spans="23:23" ht="12.75" customHeight="1">
      <c r="W174" s="77"/>
    </row>
    <row r="175" spans="23:23" ht="12.75" customHeight="1">
      <c r="W175" s="77"/>
    </row>
    <row r="176" spans="23:23" ht="12.75" customHeight="1">
      <c r="W176" s="77"/>
    </row>
    <row r="177" spans="23:23" ht="12.75" customHeight="1">
      <c r="W177" s="77"/>
    </row>
    <row r="178" spans="23:23" ht="12.75" customHeight="1">
      <c r="W178" s="77"/>
    </row>
    <row r="179" spans="23:23" ht="12.75" customHeight="1">
      <c r="W179" s="77"/>
    </row>
    <row r="180" spans="23:23" ht="12.75" customHeight="1">
      <c r="W180" s="77"/>
    </row>
    <row r="181" spans="23:23" ht="12.75" customHeight="1">
      <c r="W181" s="77"/>
    </row>
    <row r="182" spans="23:23" ht="12.75" customHeight="1">
      <c r="W182" s="77"/>
    </row>
    <row r="183" spans="23:23" ht="12.75" customHeight="1">
      <c r="W183" s="77"/>
    </row>
    <row r="184" spans="23:23" ht="12.75" customHeight="1">
      <c r="W184" s="77"/>
    </row>
    <row r="185" spans="23:23" ht="12.75" customHeight="1">
      <c r="W185" s="77"/>
    </row>
    <row r="186" spans="23:23" ht="12.75" customHeight="1">
      <c r="W186" s="77"/>
    </row>
    <row r="187" spans="23:23" ht="12.75" customHeight="1">
      <c r="W187" s="77"/>
    </row>
    <row r="188" spans="23:23" ht="12.75" customHeight="1">
      <c r="W188" s="77"/>
    </row>
    <row r="189" spans="23:23" ht="12.75" customHeight="1">
      <c r="W189" s="77"/>
    </row>
    <row r="190" spans="23:23" ht="12.75" customHeight="1">
      <c r="W190" s="77"/>
    </row>
    <row r="191" spans="23:23" ht="12.75" customHeight="1">
      <c r="W191" s="77"/>
    </row>
    <row r="192" spans="23:23" ht="12.75" customHeight="1">
      <c r="W192" s="77"/>
    </row>
    <row r="193" spans="23:23" ht="12.75" customHeight="1">
      <c r="W193" s="77"/>
    </row>
    <row r="194" spans="23:23" ht="12.75" customHeight="1">
      <c r="W194" s="77"/>
    </row>
    <row r="195" spans="23:23" ht="12.75" customHeight="1">
      <c r="W195" s="77"/>
    </row>
    <row r="196" spans="23:23" ht="12.75" customHeight="1">
      <c r="W196" s="77"/>
    </row>
    <row r="197" spans="23:23" ht="12.75" customHeight="1">
      <c r="W197" s="77"/>
    </row>
    <row r="198" spans="23:23" ht="12.75" customHeight="1">
      <c r="W198" s="77"/>
    </row>
    <row r="199" spans="23:23" ht="12.75" customHeight="1">
      <c r="W199" s="77"/>
    </row>
    <row r="200" spans="23:23" ht="12.75" customHeight="1">
      <c r="W200" s="77"/>
    </row>
    <row r="201" spans="23:23" ht="12.75" customHeight="1">
      <c r="W201" s="77"/>
    </row>
    <row r="202" spans="23:23" ht="12.75" customHeight="1">
      <c r="W202" s="77"/>
    </row>
    <row r="203" spans="23:23" ht="12.75" customHeight="1">
      <c r="W203" s="77"/>
    </row>
    <row r="204" spans="23:23" ht="12.75" customHeight="1">
      <c r="W204" s="77"/>
    </row>
    <row r="205" spans="23:23" ht="12.75" customHeight="1">
      <c r="W205" s="77"/>
    </row>
    <row r="206" spans="23:23" ht="12.75" customHeight="1">
      <c r="W206" s="77"/>
    </row>
    <row r="207" spans="23:23" ht="12.75" customHeight="1">
      <c r="W207" s="77"/>
    </row>
    <row r="208" spans="23:23" ht="12.75" customHeight="1">
      <c r="W208" s="77"/>
    </row>
    <row r="209" spans="23:23" ht="12.75" customHeight="1">
      <c r="W209" s="77"/>
    </row>
    <row r="210" spans="23:23" ht="12.75" customHeight="1">
      <c r="W210" s="77"/>
    </row>
    <row r="211" spans="23:23" ht="12.75" customHeight="1">
      <c r="W211" s="77"/>
    </row>
    <row r="212" spans="23:23" ht="12.75" customHeight="1">
      <c r="W212" s="77"/>
    </row>
    <row r="213" spans="23:23" ht="12.75" customHeight="1">
      <c r="W213" s="77"/>
    </row>
    <row r="214" spans="23:23" ht="12.75" customHeight="1">
      <c r="W214" s="77"/>
    </row>
    <row r="215" spans="23:23" ht="12.75" customHeight="1">
      <c r="W215" s="77"/>
    </row>
    <row r="216" spans="23:23" ht="12.75" customHeight="1">
      <c r="W216" s="77"/>
    </row>
    <row r="217" spans="23:23" ht="12.75" customHeight="1">
      <c r="W217" s="77"/>
    </row>
    <row r="218" spans="23:23" ht="12.75" customHeight="1">
      <c r="W218" s="77"/>
    </row>
    <row r="219" spans="23:23" ht="12.75" customHeight="1">
      <c r="W219" s="77"/>
    </row>
    <row r="220" spans="23:23" ht="12.75" customHeight="1">
      <c r="W220" s="77"/>
    </row>
    <row r="221" spans="23:23" ht="12.75" customHeight="1">
      <c r="W221" s="77"/>
    </row>
    <row r="222" spans="23:23" ht="12.75" customHeight="1">
      <c r="W222" s="77"/>
    </row>
    <row r="223" spans="23:23" ht="12.75" customHeight="1">
      <c r="W223" s="77"/>
    </row>
    <row r="224" spans="23:23" ht="12.75" customHeight="1">
      <c r="W224" s="77"/>
    </row>
    <row r="225" spans="23:23" ht="12.75" customHeight="1">
      <c r="W225" s="77"/>
    </row>
    <row r="226" spans="23:23" ht="12.75" customHeight="1">
      <c r="W226" s="77"/>
    </row>
    <row r="227" spans="23:23" ht="12.75" customHeight="1">
      <c r="W227" s="77"/>
    </row>
    <row r="228" spans="23:23" ht="12.75" customHeight="1">
      <c r="W228" s="77"/>
    </row>
    <row r="229" spans="23:23" ht="12.75" customHeight="1">
      <c r="W229" s="77"/>
    </row>
    <row r="230" spans="23:23" ht="12.75" customHeight="1">
      <c r="W230" s="77"/>
    </row>
    <row r="231" spans="23:23" ht="12.75" customHeight="1">
      <c r="W231" s="77"/>
    </row>
    <row r="232" spans="23:23" ht="12.75" customHeight="1">
      <c r="W232" s="77"/>
    </row>
    <row r="233" spans="23:23" ht="12.75" customHeight="1">
      <c r="W233" s="77"/>
    </row>
    <row r="234" spans="23:23" ht="12.75" customHeight="1">
      <c r="W234" s="77"/>
    </row>
    <row r="235" spans="23:23" ht="12.75" customHeight="1">
      <c r="W235" s="77"/>
    </row>
    <row r="236" spans="23:23" ht="12.75" customHeight="1">
      <c r="W236" s="77"/>
    </row>
    <row r="237" spans="23:23" ht="12.75" customHeight="1">
      <c r="W237" s="77"/>
    </row>
    <row r="238" spans="23:23" ht="12.75" customHeight="1">
      <c r="W238" s="77"/>
    </row>
    <row r="239" spans="23:23" ht="12.75" customHeight="1">
      <c r="W239" s="77"/>
    </row>
    <row r="240" spans="23:23" ht="12.75" customHeight="1">
      <c r="W240" s="77"/>
    </row>
    <row r="241" spans="23:23" ht="12.75" customHeight="1">
      <c r="W241" s="77"/>
    </row>
    <row r="242" spans="23:23" ht="12.75" customHeight="1">
      <c r="W242" s="77"/>
    </row>
    <row r="243" spans="23:23" ht="12.75" customHeight="1">
      <c r="W243" s="77"/>
    </row>
    <row r="244" spans="23:23" ht="12.75" customHeight="1">
      <c r="W244" s="77"/>
    </row>
    <row r="245" spans="23:23" ht="12.75" customHeight="1">
      <c r="W245" s="77"/>
    </row>
    <row r="246" spans="23:23" ht="12.75" customHeight="1">
      <c r="W246" s="77"/>
    </row>
    <row r="247" spans="23:23" ht="12.75" customHeight="1">
      <c r="W247" s="77"/>
    </row>
    <row r="248" spans="23:23" ht="12.75" customHeight="1">
      <c r="W248" s="77"/>
    </row>
    <row r="249" spans="23:23" ht="12.75" customHeight="1">
      <c r="W249" s="77"/>
    </row>
    <row r="250" spans="23:23" ht="12.75" customHeight="1">
      <c r="W250" s="77"/>
    </row>
    <row r="251" spans="23:23" ht="12.75" customHeight="1">
      <c r="W251" s="77"/>
    </row>
    <row r="252" spans="23:23" ht="12.75" customHeight="1">
      <c r="W252" s="77"/>
    </row>
    <row r="253" spans="23:23" ht="12.75" customHeight="1">
      <c r="W253" s="77"/>
    </row>
    <row r="254" spans="23:23" ht="12.75" customHeight="1">
      <c r="W254" s="77"/>
    </row>
    <row r="255" spans="23:23" ht="12.75" customHeight="1">
      <c r="W255" s="77"/>
    </row>
    <row r="256" spans="23:23" ht="12.75" customHeight="1">
      <c r="W256" s="77"/>
    </row>
    <row r="257" spans="23:23" ht="12.75" customHeight="1">
      <c r="W257" s="77"/>
    </row>
    <row r="258" spans="23:23" ht="12.75" customHeight="1">
      <c r="W258" s="77"/>
    </row>
    <row r="259" spans="23:23" ht="12.75" customHeight="1">
      <c r="W259" s="77"/>
    </row>
    <row r="260" spans="23:23" ht="12.75" customHeight="1">
      <c r="W260" s="77"/>
    </row>
    <row r="261" spans="23:23" ht="12.75" customHeight="1">
      <c r="W261" s="77"/>
    </row>
    <row r="262" spans="23:23" ht="12.75" customHeight="1">
      <c r="W262" s="77"/>
    </row>
    <row r="263" spans="23:23" ht="12.75" customHeight="1">
      <c r="W263" s="77"/>
    </row>
    <row r="264" spans="23:23" ht="12.75" customHeight="1">
      <c r="W264" s="77"/>
    </row>
    <row r="265" spans="23:23" ht="12.75" customHeight="1">
      <c r="W265" s="77"/>
    </row>
    <row r="266" spans="23:23" ht="12.75" customHeight="1">
      <c r="W266" s="77"/>
    </row>
    <row r="267" spans="23:23" ht="12.75" customHeight="1">
      <c r="W267" s="77"/>
    </row>
    <row r="268" spans="23:23" ht="12.75" customHeight="1">
      <c r="W268" s="77"/>
    </row>
    <row r="269" spans="23:23" ht="12.75" customHeight="1">
      <c r="W269" s="77"/>
    </row>
    <row r="270" spans="23:23" ht="12.75" customHeight="1">
      <c r="W270" s="77"/>
    </row>
    <row r="271" spans="23:23" ht="12.75" customHeight="1">
      <c r="W271" s="77"/>
    </row>
    <row r="272" spans="23:23" ht="12.75" customHeight="1">
      <c r="W272" s="77"/>
    </row>
    <row r="273" spans="23:23" ht="12.75" customHeight="1">
      <c r="W273" s="77"/>
    </row>
    <row r="274" spans="23:23" ht="12.75" customHeight="1">
      <c r="W274" s="77"/>
    </row>
    <row r="275" spans="23:23" ht="12.75" customHeight="1">
      <c r="W275" s="77"/>
    </row>
    <row r="276" spans="23:23" ht="12.75" customHeight="1">
      <c r="W276" s="77"/>
    </row>
    <row r="277" spans="23:23" ht="12.75" customHeight="1">
      <c r="W277" s="77"/>
    </row>
    <row r="278" spans="23:23" ht="12.75" customHeight="1">
      <c r="W278" s="77"/>
    </row>
    <row r="279" spans="23:23" ht="12.75" customHeight="1">
      <c r="W279" s="77"/>
    </row>
    <row r="280" spans="23:23" ht="12.75" customHeight="1">
      <c r="W280" s="77"/>
    </row>
    <row r="281" spans="23:23" ht="12.75" customHeight="1">
      <c r="W281" s="77"/>
    </row>
    <row r="282" spans="23:23" ht="12.75" customHeight="1">
      <c r="W282" s="77"/>
    </row>
    <row r="283" spans="23:23" ht="12.75" customHeight="1">
      <c r="W283" s="77"/>
    </row>
    <row r="284" spans="23:23" ht="12.75" customHeight="1">
      <c r="W284" s="77"/>
    </row>
    <row r="285" spans="23:23" ht="12.75" customHeight="1">
      <c r="W285" s="77"/>
    </row>
    <row r="286" spans="23:23" ht="12.75" customHeight="1">
      <c r="W286" s="77"/>
    </row>
    <row r="287" spans="23:23" ht="12.75" customHeight="1">
      <c r="W287" s="77"/>
    </row>
    <row r="288" spans="23:23" ht="12.75" customHeight="1">
      <c r="W288" s="77"/>
    </row>
    <row r="289" spans="23:23" ht="12.75" customHeight="1">
      <c r="W289" s="77"/>
    </row>
    <row r="290" spans="23:23" ht="12.75" customHeight="1">
      <c r="W290" s="77"/>
    </row>
    <row r="291" spans="23:23" ht="12.75" customHeight="1">
      <c r="W291" s="77"/>
    </row>
    <row r="292" spans="23:23" ht="12.75" customHeight="1">
      <c r="W292" s="77"/>
    </row>
    <row r="293" spans="23:23" ht="12.75" customHeight="1">
      <c r="W293" s="77"/>
    </row>
    <row r="294" spans="23:23" ht="12.75" customHeight="1">
      <c r="W294" s="77"/>
    </row>
    <row r="295" spans="23:23" ht="12.75" customHeight="1">
      <c r="W295" s="77"/>
    </row>
    <row r="296" spans="23:23" ht="12.75" customHeight="1">
      <c r="W296" s="77"/>
    </row>
    <row r="297" spans="23:23" ht="12.75" customHeight="1">
      <c r="W297" s="77"/>
    </row>
    <row r="298" spans="23:23" ht="12.75" customHeight="1">
      <c r="W298" s="77"/>
    </row>
    <row r="299" spans="23:23" ht="12.75" customHeight="1">
      <c r="W299" s="77"/>
    </row>
    <row r="300" spans="23:23" ht="12.75" customHeight="1">
      <c r="W300" s="77"/>
    </row>
    <row r="301" spans="23:23" ht="12.75" customHeight="1">
      <c r="W301" s="77"/>
    </row>
    <row r="302" spans="23:23" ht="12.75" customHeight="1">
      <c r="W302" s="77"/>
    </row>
    <row r="303" spans="23:23" ht="12.75" customHeight="1">
      <c r="W303" s="77"/>
    </row>
    <row r="304" spans="23:23" ht="12.75" customHeight="1">
      <c r="W304" s="77"/>
    </row>
    <row r="305" spans="23:23" ht="12.75" customHeight="1">
      <c r="W305" s="77"/>
    </row>
    <row r="306" spans="23:23" ht="12.75" customHeight="1">
      <c r="W306" s="77"/>
    </row>
    <row r="307" spans="23:23" ht="12.75" customHeight="1">
      <c r="W307" s="77"/>
    </row>
    <row r="308" spans="23:23" ht="12.75" customHeight="1">
      <c r="W308" s="77"/>
    </row>
    <row r="309" spans="23:23" ht="12.75" customHeight="1">
      <c r="W309" s="77"/>
    </row>
    <row r="310" spans="23:23" ht="12.75" customHeight="1">
      <c r="W310" s="77"/>
    </row>
    <row r="311" spans="23:23" ht="12.75" customHeight="1">
      <c r="W311" s="77"/>
    </row>
    <row r="312" spans="23:23" ht="12.75" customHeight="1">
      <c r="W312" s="77"/>
    </row>
    <row r="313" spans="23:23" ht="12.75" customHeight="1">
      <c r="W313" s="77"/>
    </row>
    <row r="314" spans="23:23" ht="12.75" customHeight="1">
      <c r="W314" s="77"/>
    </row>
    <row r="315" spans="23:23" ht="12.75" customHeight="1">
      <c r="W315" s="77"/>
    </row>
    <row r="316" spans="23:23" ht="12.75" customHeight="1">
      <c r="W316" s="77"/>
    </row>
    <row r="317" spans="23:23" ht="12.75" customHeight="1">
      <c r="W317" s="77"/>
    </row>
    <row r="318" spans="23:23" ht="12.75" customHeight="1">
      <c r="W318" s="77"/>
    </row>
    <row r="319" spans="23:23" ht="12.75" customHeight="1">
      <c r="W319" s="77"/>
    </row>
    <row r="320" spans="23:23" ht="12.75" customHeight="1">
      <c r="W320" s="77"/>
    </row>
    <row r="321" spans="23:23" ht="12.75" customHeight="1">
      <c r="W321" s="77"/>
    </row>
    <row r="322" spans="23:23" ht="12.75" customHeight="1">
      <c r="W322" s="77"/>
    </row>
    <row r="323" spans="23:23" ht="12.75" customHeight="1">
      <c r="W323" s="77"/>
    </row>
    <row r="324" spans="23:23" ht="12.75" customHeight="1">
      <c r="W324" s="77"/>
    </row>
    <row r="325" spans="23:23" ht="12.75" customHeight="1">
      <c r="W325" s="77"/>
    </row>
    <row r="326" spans="23:23" ht="12.75" customHeight="1">
      <c r="W326" s="77"/>
    </row>
    <row r="327" spans="23:23" ht="12.75" customHeight="1">
      <c r="W327" s="77"/>
    </row>
    <row r="328" spans="23:23" ht="12.75" customHeight="1">
      <c r="W328" s="77"/>
    </row>
    <row r="329" spans="23:23" ht="12.75" customHeight="1">
      <c r="W329" s="77"/>
    </row>
    <row r="330" spans="23:23" ht="12.75" customHeight="1">
      <c r="W330" s="77"/>
    </row>
    <row r="331" spans="23:23" ht="12.75" customHeight="1">
      <c r="W331" s="77"/>
    </row>
    <row r="332" spans="23:23" ht="12.75" customHeight="1">
      <c r="W332" s="77"/>
    </row>
    <row r="333" spans="23:23" ht="12.75" customHeight="1">
      <c r="W333" s="77"/>
    </row>
    <row r="334" spans="23:23" ht="12.75" customHeight="1">
      <c r="W334" s="77"/>
    </row>
    <row r="335" spans="23:23" ht="12.75" customHeight="1">
      <c r="W335" s="77"/>
    </row>
    <row r="336" spans="23:23" ht="12.75" customHeight="1">
      <c r="W336" s="77"/>
    </row>
    <row r="337" spans="23:23" ht="12.75" customHeight="1">
      <c r="W337" s="77"/>
    </row>
    <row r="338" spans="23:23" ht="12.75" customHeight="1">
      <c r="W338" s="77"/>
    </row>
    <row r="339" spans="23:23" ht="12.75" customHeight="1">
      <c r="W339" s="77"/>
    </row>
    <row r="340" spans="23:23" ht="12.75" customHeight="1">
      <c r="W340" s="77"/>
    </row>
    <row r="341" spans="23:23" ht="12.75" customHeight="1">
      <c r="W341" s="77"/>
    </row>
    <row r="342" spans="23:23" ht="12.75" customHeight="1">
      <c r="W342" s="77"/>
    </row>
    <row r="343" spans="23:23" ht="12.75" customHeight="1">
      <c r="W343" s="77"/>
    </row>
    <row r="344" spans="23:23" ht="12.75" customHeight="1">
      <c r="W344" s="77"/>
    </row>
    <row r="345" spans="23:23" ht="12.75" customHeight="1">
      <c r="W345" s="77"/>
    </row>
    <row r="346" spans="23:23" ht="12.75" customHeight="1">
      <c r="W346" s="77"/>
    </row>
    <row r="347" spans="23:23" ht="12.75" customHeight="1">
      <c r="W347" s="77"/>
    </row>
    <row r="348" spans="23:23" ht="12.75" customHeight="1">
      <c r="W348" s="77"/>
    </row>
    <row r="349" spans="23:23" ht="12.75" customHeight="1">
      <c r="W349" s="77"/>
    </row>
    <row r="350" spans="23:23" ht="12.75" customHeight="1">
      <c r="W350" s="77"/>
    </row>
    <row r="351" spans="23:23" ht="12.75" customHeight="1">
      <c r="W351" s="77"/>
    </row>
    <row r="352" spans="23:23" ht="12.75" customHeight="1">
      <c r="W352" s="77"/>
    </row>
    <row r="353" spans="23:23" ht="12.75" customHeight="1">
      <c r="W353" s="77"/>
    </row>
    <row r="354" spans="23:23" ht="12.75" customHeight="1">
      <c r="W354" s="77"/>
    </row>
    <row r="355" spans="23:23" ht="12.75" customHeight="1">
      <c r="W355" s="77"/>
    </row>
    <row r="356" spans="23:23" ht="12.75" customHeight="1">
      <c r="W356" s="77"/>
    </row>
    <row r="357" spans="23:23" ht="12.75" customHeight="1">
      <c r="W357" s="77"/>
    </row>
    <row r="358" spans="23:23" ht="12.75" customHeight="1">
      <c r="W358" s="77"/>
    </row>
    <row r="359" spans="23:23" ht="12.75" customHeight="1">
      <c r="W359" s="77"/>
    </row>
    <row r="360" spans="23:23" ht="12.75" customHeight="1">
      <c r="W360" s="77"/>
    </row>
    <row r="361" spans="23:23" ht="12.75" customHeight="1">
      <c r="W361" s="77"/>
    </row>
    <row r="362" spans="23:23" ht="12.75" customHeight="1">
      <c r="W362" s="77"/>
    </row>
    <row r="363" spans="23:23" ht="12.75" customHeight="1">
      <c r="W363" s="77"/>
    </row>
    <row r="364" spans="23:23" ht="12.75" customHeight="1">
      <c r="W364" s="77"/>
    </row>
    <row r="365" spans="23:23" ht="12.75" customHeight="1">
      <c r="W365" s="77"/>
    </row>
    <row r="366" spans="23:23" ht="12.75" customHeight="1">
      <c r="W366" s="77"/>
    </row>
    <row r="367" spans="23:23" ht="12.75" customHeight="1">
      <c r="W367" s="77"/>
    </row>
    <row r="368" spans="23:23" ht="12.75" customHeight="1">
      <c r="W368" s="77"/>
    </row>
    <row r="369" spans="23:23" ht="12.75" customHeight="1">
      <c r="W369" s="77"/>
    </row>
    <row r="370" spans="23:23" ht="12.75" customHeight="1">
      <c r="W370" s="77"/>
    </row>
    <row r="371" spans="23:23" ht="12.75" customHeight="1">
      <c r="W371" s="77"/>
    </row>
    <row r="372" spans="23:23" ht="12.75" customHeight="1">
      <c r="W372" s="77"/>
    </row>
    <row r="373" spans="23:23" ht="12.75" customHeight="1">
      <c r="W373" s="77"/>
    </row>
    <row r="374" spans="23:23" ht="12.75" customHeight="1">
      <c r="W374" s="77"/>
    </row>
    <row r="375" spans="23:23" ht="12.75" customHeight="1">
      <c r="W375" s="77"/>
    </row>
    <row r="376" spans="23:23" ht="12.75" customHeight="1">
      <c r="W376" s="77"/>
    </row>
    <row r="377" spans="23:23" ht="12.75" customHeight="1">
      <c r="W377" s="77"/>
    </row>
    <row r="378" spans="23:23" ht="12.75" customHeight="1">
      <c r="W378" s="77"/>
    </row>
    <row r="379" spans="23:23" ht="12.75" customHeight="1">
      <c r="W379" s="77"/>
    </row>
    <row r="380" spans="23:23" ht="12.75" customHeight="1">
      <c r="W380" s="77"/>
    </row>
    <row r="381" spans="23:23" ht="12.75" customHeight="1">
      <c r="W381" s="77"/>
    </row>
    <row r="382" spans="23:23" ht="12.75" customHeight="1">
      <c r="W382" s="77"/>
    </row>
    <row r="383" spans="23:23" ht="12.75" customHeight="1">
      <c r="W383" s="77"/>
    </row>
    <row r="384" spans="23:23" ht="12.75" customHeight="1">
      <c r="W384" s="77"/>
    </row>
    <row r="385" spans="23:23" ht="12.75" customHeight="1">
      <c r="W385" s="77"/>
    </row>
    <row r="386" spans="23:23" ht="12.75" customHeight="1">
      <c r="W386" s="77"/>
    </row>
    <row r="387" spans="23:23" ht="12.75" customHeight="1">
      <c r="W387" s="77"/>
    </row>
    <row r="388" spans="23:23" ht="12.75" customHeight="1">
      <c r="W388" s="77"/>
    </row>
    <row r="389" spans="23:23" ht="12.75" customHeight="1">
      <c r="W389" s="77"/>
    </row>
    <row r="390" spans="23:23" ht="12.75" customHeight="1">
      <c r="W390" s="77"/>
    </row>
    <row r="391" spans="23:23" ht="12.75" customHeight="1">
      <c r="W391" s="77"/>
    </row>
    <row r="392" spans="23:23" ht="12.75" customHeight="1">
      <c r="W392" s="77"/>
    </row>
    <row r="393" spans="23:23" ht="12.75" customHeight="1">
      <c r="W393" s="77"/>
    </row>
    <row r="394" spans="23:23" ht="12.75" customHeight="1">
      <c r="W394" s="77"/>
    </row>
    <row r="395" spans="23:23" ht="12.75" customHeight="1">
      <c r="W395" s="77"/>
    </row>
    <row r="396" spans="23:23" ht="12.75" customHeight="1">
      <c r="W396" s="77"/>
    </row>
    <row r="397" spans="23:23" ht="12.75" customHeight="1">
      <c r="W397" s="77"/>
    </row>
    <row r="398" spans="23:23" ht="12.75" customHeight="1">
      <c r="W398" s="77"/>
    </row>
    <row r="399" spans="23:23" ht="12.75" customHeight="1">
      <c r="W399" s="77"/>
    </row>
    <row r="400" spans="23:23" ht="12.75" customHeight="1">
      <c r="W400" s="77"/>
    </row>
    <row r="401" spans="23:23" ht="12.75" customHeight="1">
      <c r="W401" s="77"/>
    </row>
    <row r="402" spans="23:23" ht="12.75" customHeight="1">
      <c r="W402" s="77"/>
    </row>
    <row r="403" spans="23:23" ht="12.75" customHeight="1">
      <c r="W403" s="77"/>
    </row>
    <row r="404" spans="23:23" ht="12.75" customHeight="1">
      <c r="W404" s="77"/>
    </row>
    <row r="405" spans="23:23" ht="12.75" customHeight="1">
      <c r="W405" s="77"/>
    </row>
    <row r="406" spans="23:23" ht="12.75" customHeight="1">
      <c r="W406" s="77"/>
    </row>
    <row r="407" spans="23:23" ht="12.75" customHeight="1">
      <c r="W407" s="77"/>
    </row>
    <row r="408" spans="23:23" ht="12.75" customHeight="1">
      <c r="W408" s="77"/>
    </row>
    <row r="409" spans="23:23" ht="12.75" customHeight="1">
      <c r="W409" s="77"/>
    </row>
    <row r="410" spans="23:23" ht="12.75" customHeight="1">
      <c r="W410" s="77"/>
    </row>
    <row r="411" spans="23:23" ht="12.75" customHeight="1">
      <c r="W411" s="77"/>
    </row>
    <row r="412" spans="23:23" ht="12.75" customHeight="1">
      <c r="W412" s="77"/>
    </row>
    <row r="413" spans="23:23" ht="12.75" customHeight="1">
      <c r="W413" s="77"/>
    </row>
    <row r="414" spans="23:23" ht="12.75" customHeight="1">
      <c r="W414" s="77"/>
    </row>
    <row r="415" spans="23:23" ht="12.75" customHeight="1">
      <c r="W415" s="77"/>
    </row>
    <row r="416" spans="23:23" ht="12.75" customHeight="1">
      <c r="W416" s="77"/>
    </row>
    <row r="417" spans="23:23" ht="12.75" customHeight="1">
      <c r="W417" s="77"/>
    </row>
    <row r="418" spans="23:23" ht="12.75" customHeight="1">
      <c r="W418" s="77"/>
    </row>
    <row r="419" spans="23:23" ht="12.75" customHeight="1">
      <c r="W419" s="77"/>
    </row>
    <row r="420" spans="23:23" ht="12.75" customHeight="1">
      <c r="W420" s="77"/>
    </row>
    <row r="421" spans="23:23" ht="12.75" customHeight="1">
      <c r="W421" s="77"/>
    </row>
    <row r="422" spans="23:23" ht="12.75" customHeight="1">
      <c r="W422" s="77"/>
    </row>
    <row r="423" spans="23:23" ht="12.75" customHeight="1">
      <c r="W423" s="77"/>
    </row>
    <row r="424" spans="23:23" ht="12.75" customHeight="1">
      <c r="W424" s="77"/>
    </row>
    <row r="425" spans="23:23" ht="12.75" customHeight="1">
      <c r="W425" s="77"/>
    </row>
    <row r="426" spans="23:23" ht="12.75" customHeight="1">
      <c r="W426" s="77"/>
    </row>
    <row r="427" spans="23:23" ht="12.75" customHeight="1">
      <c r="W427" s="77"/>
    </row>
    <row r="428" spans="23:23" ht="12.75" customHeight="1">
      <c r="W428" s="77"/>
    </row>
    <row r="429" spans="23:23" ht="12.75" customHeight="1">
      <c r="W429" s="77"/>
    </row>
    <row r="430" spans="23:23" ht="12.75" customHeight="1">
      <c r="W430" s="77"/>
    </row>
    <row r="431" spans="23:23" ht="12.75" customHeight="1">
      <c r="W431" s="77"/>
    </row>
    <row r="432" spans="23:23" ht="12.75" customHeight="1">
      <c r="W432" s="77"/>
    </row>
    <row r="433" spans="23:23" ht="12.75" customHeight="1">
      <c r="W433" s="77"/>
    </row>
    <row r="434" spans="23:23" ht="12.75" customHeight="1">
      <c r="W434" s="77"/>
    </row>
    <row r="435" spans="23:23" ht="12.75" customHeight="1">
      <c r="W435" s="77"/>
    </row>
    <row r="436" spans="23:23" ht="12.75" customHeight="1">
      <c r="W436" s="77"/>
    </row>
    <row r="437" spans="23:23" ht="12.75" customHeight="1">
      <c r="W437" s="77"/>
    </row>
    <row r="438" spans="23:23" ht="12.75" customHeight="1">
      <c r="W438" s="77"/>
    </row>
    <row r="439" spans="23:23" ht="12.75" customHeight="1">
      <c r="W439" s="77"/>
    </row>
    <row r="440" spans="23:23" ht="12.75" customHeight="1">
      <c r="W440" s="77"/>
    </row>
    <row r="441" spans="23:23" ht="12.75" customHeight="1">
      <c r="W441" s="77"/>
    </row>
    <row r="442" spans="23:23" ht="12.75" customHeight="1">
      <c r="W442" s="77"/>
    </row>
    <row r="443" spans="23:23" ht="12.75" customHeight="1">
      <c r="W443" s="77"/>
    </row>
    <row r="444" spans="23:23" ht="12.75" customHeight="1">
      <c r="W444" s="77"/>
    </row>
    <row r="445" spans="23:23" ht="12.75" customHeight="1">
      <c r="W445" s="77"/>
    </row>
    <row r="446" spans="23:23" ht="12.75" customHeight="1">
      <c r="W446" s="77"/>
    </row>
    <row r="447" spans="23:23" ht="12.75" customHeight="1">
      <c r="W447" s="77"/>
    </row>
    <row r="448" spans="23:23" ht="12.75" customHeight="1">
      <c r="W448" s="77"/>
    </row>
    <row r="449" spans="23:23" ht="12.75" customHeight="1">
      <c r="W449" s="77"/>
    </row>
    <row r="450" spans="23:23" ht="12.75" customHeight="1">
      <c r="W450" s="77"/>
    </row>
    <row r="451" spans="23:23" ht="12.75" customHeight="1">
      <c r="W451" s="77"/>
    </row>
    <row r="452" spans="23:23" ht="12.75" customHeight="1">
      <c r="W452" s="77"/>
    </row>
    <row r="453" spans="23:23" ht="12.75" customHeight="1">
      <c r="W453" s="77"/>
    </row>
    <row r="454" spans="23:23" ht="12.75" customHeight="1">
      <c r="W454" s="77"/>
    </row>
    <row r="455" spans="23:23" ht="12.75" customHeight="1">
      <c r="W455" s="77"/>
    </row>
    <row r="456" spans="23:23" ht="12.75" customHeight="1">
      <c r="W456" s="77"/>
    </row>
    <row r="457" spans="23:23" ht="12.75" customHeight="1">
      <c r="W457" s="77"/>
    </row>
    <row r="458" spans="23:23" ht="12.75" customHeight="1">
      <c r="W458" s="77"/>
    </row>
    <row r="459" spans="23:23" ht="12.75" customHeight="1">
      <c r="W459" s="77"/>
    </row>
    <row r="460" spans="23:23" ht="12.75" customHeight="1">
      <c r="W460" s="77"/>
    </row>
    <row r="461" spans="23:23" ht="12.75" customHeight="1">
      <c r="W461" s="77"/>
    </row>
    <row r="462" spans="23:23" ht="12.75" customHeight="1">
      <c r="W462" s="77"/>
    </row>
    <row r="463" spans="23:23" ht="12.75" customHeight="1">
      <c r="W463" s="77"/>
    </row>
    <row r="464" spans="23:23" ht="12.75" customHeight="1">
      <c r="W464" s="77"/>
    </row>
    <row r="465" spans="23:23" ht="12.75" customHeight="1">
      <c r="W465" s="77"/>
    </row>
    <row r="466" spans="23:23" ht="12.75" customHeight="1">
      <c r="W466" s="77"/>
    </row>
    <row r="467" spans="23:23" ht="12.75" customHeight="1">
      <c r="W467" s="77"/>
    </row>
    <row r="468" spans="23:23" ht="12.75" customHeight="1">
      <c r="W468" s="77"/>
    </row>
    <row r="469" spans="23:23" ht="12.75" customHeight="1">
      <c r="W469" s="77"/>
    </row>
    <row r="470" spans="23:23" ht="12.75" customHeight="1">
      <c r="W470" s="77"/>
    </row>
    <row r="471" spans="23:23" ht="12.75" customHeight="1">
      <c r="W471" s="77"/>
    </row>
    <row r="472" spans="23:23" ht="12.75" customHeight="1">
      <c r="W472" s="77"/>
    </row>
    <row r="473" spans="23:23" ht="12.75" customHeight="1">
      <c r="W473" s="77"/>
    </row>
    <row r="474" spans="23:23" ht="12.75" customHeight="1">
      <c r="W474" s="77"/>
    </row>
    <row r="475" spans="23:23" ht="12.75" customHeight="1">
      <c r="W475" s="77"/>
    </row>
    <row r="476" spans="23:23" ht="12.75" customHeight="1">
      <c r="W476" s="77"/>
    </row>
    <row r="477" spans="23:23" ht="12.75" customHeight="1">
      <c r="W477" s="77"/>
    </row>
    <row r="478" spans="23:23" ht="12.75" customHeight="1">
      <c r="W478" s="77"/>
    </row>
    <row r="479" spans="23:23" ht="12.75" customHeight="1">
      <c r="W479" s="77"/>
    </row>
    <row r="480" spans="23:23" ht="12.75" customHeight="1">
      <c r="W480" s="77"/>
    </row>
    <row r="481" spans="23:23" ht="12.75" customHeight="1">
      <c r="W481" s="77"/>
    </row>
    <row r="482" spans="23:23" ht="12.75" customHeight="1">
      <c r="W482" s="77"/>
    </row>
    <row r="483" spans="23:23" ht="12.75" customHeight="1">
      <c r="W483" s="77"/>
    </row>
    <row r="484" spans="23:23" ht="12.75" customHeight="1">
      <c r="W484" s="77"/>
    </row>
    <row r="485" spans="23:23" ht="12.75" customHeight="1">
      <c r="W485" s="77"/>
    </row>
    <row r="486" spans="23:23" ht="12.75" customHeight="1">
      <c r="W486" s="77"/>
    </row>
    <row r="487" spans="23:23" ht="12.75" customHeight="1">
      <c r="W487" s="77"/>
    </row>
    <row r="488" spans="23:23" ht="12.75" customHeight="1">
      <c r="W488" s="77"/>
    </row>
    <row r="489" spans="23:23" ht="12.75" customHeight="1">
      <c r="W489" s="77"/>
    </row>
    <row r="490" spans="23:23" ht="12.75" customHeight="1">
      <c r="W490" s="77"/>
    </row>
    <row r="491" spans="23:23" ht="12.75" customHeight="1">
      <c r="W491" s="77"/>
    </row>
    <row r="492" spans="23:23" ht="12.75" customHeight="1">
      <c r="W492" s="77"/>
    </row>
    <row r="493" spans="23:23" ht="12.75" customHeight="1">
      <c r="W493" s="77"/>
    </row>
    <row r="494" spans="23:23" ht="12.75" customHeight="1">
      <c r="W494" s="77"/>
    </row>
    <row r="495" spans="23:23" ht="12.75" customHeight="1">
      <c r="W495" s="77"/>
    </row>
    <row r="496" spans="23:23" ht="12.75" customHeight="1">
      <c r="W496" s="77"/>
    </row>
    <row r="497" spans="23:23" ht="12.75" customHeight="1">
      <c r="W497" s="77"/>
    </row>
    <row r="498" spans="23:23" ht="12.75" customHeight="1">
      <c r="W498" s="77"/>
    </row>
    <row r="499" spans="23:23" ht="12.75" customHeight="1">
      <c r="W499" s="77"/>
    </row>
    <row r="500" spans="23:23" ht="12.75" customHeight="1">
      <c r="W500" s="77"/>
    </row>
    <row r="501" spans="23:23" ht="12.75" customHeight="1">
      <c r="W501" s="77"/>
    </row>
    <row r="502" spans="23:23" ht="12.75" customHeight="1">
      <c r="W502" s="77"/>
    </row>
    <row r="503" spans="23:23" ht="12.75" customHeight="1">
      <c r="W503" s="77"/>
    </row>
    <row r="504" spans="23:23" ht="12.75" customHeight="1">
      <c r="W504" s="77"/>
    </row>
    <row r="505" spans="23:23" ht="12.75" customHeight="1">
      <c r="W505" s="77"/>
    </row>
    <row r="506" spans="23:23" ht="12.75" customHeight="1">
      <c r="W506" s="77"/>
    </row>
    <row r="507" spans="23:23" ht="12.75" customHeight="1">
      <c r="W507" s="77"/>
    </row>
    <row r="508" spans="23:23" ht="12.75" customHeight="1">
      <c r="W508" s="77"/>
    </row>
    <row r="509" spans="23:23" ht="12.75" customHeight="1">
      <c r="W509" s="77"/>
    </row>
    <row r="510" spans="23:23" ht="12.75" customHeight="1">
      <c r="W510" s="77"/>
    </row>
    <row r="511" spans="23:23" ht="12.75" customHeight="1">
      <c r="W511" s="77"/>
    </row>
    <row r="512" spans="23:23" ht="12.75" customHeight="1">
      <c r="W512" s="77"/>
    </row>
    <row r="513" spans="23:23" ht="12.75" customHeight="1">
      <c r="W513" s="77"/>
    </row>
    <row r="514" spans="23:23" ht="12.75" customHeight="1">
      <c r="W514" s="77"/>
    </row>
    <row r="515" spans="23:23" ht="12.75" customHeight="1">
      <c r="W515" s="77"/>
    </row>
    <row r="516" spans="23:23" ht="12.75" customHeight="1">
      <c r="W516" s="77"/>
    </row>
    <row r="517" spans="23:23" ht="12.75" customHeight="1">
      <c r="W517" s="77"/>
    </row>
    <row r="518" spans="23:23" ht="12.75" customHeight="1">
      <c r="W518" s="77"/>
    </row>
    <row r="519" spans="23:23" ht="12.75" customHeight="1">
      <c r="W519" s="77"/>
    </row>
    <row r="520" spans="23:23" ht="12.75" customHeight="1">
      <c r="W520" s="77"/>
    </row>
    <row r="521" spans="23:23" ht="12.75" customHeight="1">
      <c r="W521" s="77"/>
    </row>
    <row r="522" spans="23:23" ht="12.75" customHeight="1">
      <c r="W522" s="77"/>
    </row>
    <row r="523" spans="23:23" ht="12.75" customHeight="1">
      <c r="W523" s="77"/>
    </row>
    <row r="524" spans="23:23" ht="12.75" customHeight="1">
      <c r="W524" s="77"/>
    </row>
    <row r="525" spans="23:23" ht="12.75" customHeight="1">
      <c r="W525" s="77"/>
    </row>
    <row r="526" spans="23:23" ht="12.75" customHeight="1">
      <c r="W526" s="77"/>
    </row>
    <row r="527" spans="23:23" ht="12.75" customHeight="1">
      <c r="W527" s="77"/>
    </row>
    <row r="528" spans="23:23" ht="12.75" customHeight="1">
      <c r="W528" s="77"/>
    </row>
    <row r="529" spans="23:23" ht="12.75" customHeight="1">
      <c r="W529" s="77"/>
    </row>
    <row r="530" spans="23:23" ht="12.75" customHeight="1">
      <c r="W530" s="77"/>
    </row>
    <row r="531" spans="23:23" ht="12.75" customHeight="1">
      <c r="W531" s="77"/>
    </row>
    <row r="532" spans="23:23" ht="12.75" customHeight="1">
      <c r="W532" s="77"/>
    </row>
    <row r="533" spans="23:23" ht="12.75" customHeight="1">
      <c r="W533" s="77"/>
    </row>
    <row r="534" spans="23:23" ht="12.75" customHeight="1">
      <c r="W534" s="77"/>
    </row>
    <row r="535" spans="23:23" ht="12.75" customHeight="1">
      <c r="W535" s="77"/>
    </row>
    <row r="536" spans="23:23" ht="12.75" customHeight="1">
      <c r="W536" s="77"/>
    </row>
    <row r="537" spans="23:23" ht="12.75" customHeight="1">
      <c r="W537" s="77"/>
    </row>
    <row r="538" spans="23:23" ht="12.75" customHeight="1">
      <c r="W538" s="77"/>
    </row>
    <row r="539" spans="23:23" ht="12.75" customHeight="1">
      <c r="W539" s="77"/>
    </row>
    <row r="540" spans="23:23" ht="12.75" customHeight="1">
      <c r="W540" s="77"/>
    </row>
    <row r="541" spans="23:23" ht="12.75" customHeight="1">
      <c r="W541" s="77"/>
    </row>
    <row r="542" spans="23:23" ht="12.75" customHeight="1">
      <c r="W542" s="77"/>
    </row>
    <row r="543" spans="23:23" ht="12.75" customHeight="1">
      <c r="W543" s="77"/>
    </row>
    <row r="544" spans="23:23" ht="12.75" customHeight="1">
      <c r="W544" s="77"/>
    </row>
    <row r="545" spans="23:23" ht="12.75" customHeight="1">
      <c r="W545" s="77"/>
    </row>
    <row r="546" spans="23:23" ht="12.75" customHeight="1">
      <c r="W546" s="77"/>
    </row>
    <row r="547" spans="23:23" ht="12.75" customHeight="1">
      <c r="W547" s="77"/>
    </row>
    <row r="548" spans="23:23" ht="12.75" customHeight="1">
      <c r="W548" s="77"/>
    </row>
    <row r="549" spans="23:23" ht="12.75" customHeight="1">
      <c r="W549" s="77"/>
    </row>
    <row r="550" spans="23:23" ht="12.75" customHeight="1">
      <c r="W550" s="77"/>
    </row>
    <row r="551" spans="23:23" ht="12.75" customHeight="1">
      <c r="W551" s="77"/>
    </row>
    <row r="552" spans="23:23" ht="12.75" customHeight="1">
      <c r="W552" s="77"/>
    </row>
    <row r="553" spans="23:23" ht="12.75" customHeight="1">
      <c r="W553" s="77"/>
    </row>
    <row r="554" spans="23:23" ht="12.75" customHeight="1">
      <c r="W554" s="77"/>
    </row>
    <row r="555" spans="23:23" ht="12.75" customHeight="1">
      <c r="W555" s="77"/>
    </row>
    <row r="556" spans="23:23" ht="12.75" customHeight="1">
      <c r="W556" s="77"/>
    </row>
    <row r="557" spans="23:23" ht="12.75" customHeight="1">
      <c r="W557" s="77"/>
    </row>
    <row r="558" spans="23:23" ht="12.75" customHeight="1">
      <c r="W558" s="77"/>
    </row>
    <row r="559" spans="23:23" ht="12.75" customHeight="1">
      <c r="W559" s="77"/>
    </row>
    <row r="560" spans="23:23" ht="12.75" customHeight="1">
      <c r="W560" s="77"/>
    </row>
    <row r="561" spans="23:23" ht="12.75" customHeight="1">
      <c r="W561" s="77"/>
    </row>
    <row r="562" spans="23:23" ht="12.75" customHeight="1">
      <c r="W562" s="77"/>
    </row>
    <row r="563" spans="23:23" ht="12.75" customHeight="1">
      <c r="W563" s="77"/>
    </row>
    <row r="564" spans="23:23" ht="12.75" customHeight="1">
      <c r="W564" s="77"/>
    </row>
    <row r="565" spans="23:23" ht="12.75" customHeight="1">
      <c r="W565" s="77"/>
    </row>
    <row r="566" spans="23:23" ht="12.75" customHeight="1">
      <c r="W566" s="77"/>
    </row>
    <row r="567" spans="23:23" ht="12.75" customHeight="1">
      <c r="W567" s="77"/>
    </row>
    <row r="568" spans="23:23" ht="12.75" customHeight="1">
      <c r="W568" s="77"/>
    </row>
    <row r="569" spans="23:23" ht="12.75" customHeight="1">
      <c r="W569" s="77"/>
    </row>
    <row r="570" spans="23:23" ht="12.75" customHeight="1">
      <c r="W570" s="77"/>
    </row>
    <row r="571" spans="23:23" ht="12.75" customHeight="1">
      <c r="W571" s="77"/>
    </row>
    <row r="572" spans="23:23" ht="12.75" customHeight="1">
      <c r="W572" s="77"/>
    </row>
    <row r="573" spans="23:23" ht="12.75" customHeight="1">
      <c r="W573" s="77"/>
    </row>
    <row r="574" spans="23:23" ht="12.75" customHeight="1">
      <c r="W574" s="77"/>
    </row>
    <row r="575" spans="23:23" ht="12.75" customHeight="1">
      <c r="W575" s="77"/>
    </row>
    <row r="576" spans="23:23" ht="12.75" customHeight="1">
      <c r="W576" s="77"/>
    </row>
    <row r="577" spans="23:23" ht="12.75" customHeight="1">
      <c r="W577" s="77"/>
    </row>
    <row r="578" spans="23:23" ht="12.75" customHeight="1">
      <c r="W578" s="77"/>
    </row>
    <row r="579" spans="23:23" ht="12.75" customHeight="1">
      <c r="W579" s="77"/>
    </row>
    <row r="580" spans="23:23" ht="12.75" customHeight="1">
      <c r="W580" s="77"/>
    </row>
    <row r="581" spans="23:23" ht="12.75" customHeight="1">
      <c r="W581" s="77"/>
    </row>
    <row r="582" spans="23:23" ht="12.75" customHeight="1">
      <c r="W582" s="77"/>
    </row>
    <row r="583" spans="23:23" ht="12.75" customHeight="1">
      <c r="W583" s="77"/>
    </row>
    <row r="584" spans="23:23" ht="12.75" customHeight="1">
      <c r="W584" s="77"/>
    </row>
    <row r="585" spans="23:23" ht="12.75" customHeight="1">
      <c r="W585" s="77"/>
    </row>
    <row r="586" spans="23:23" ht="12.75" customHeight="1">
      <c r="W586" s="77"/>
    </row>
    <row r="587" spans="23:23" ht="12.75" customHeight="1">
      <c r="W587" s="77"/>
    </row>
    <row r="588" spans="23:23" ht="12.75" customHeight="1">
      <c r="W588" s="77"/>
    </row>
    <row r="589" spans="23:23" ht="12.75" customHeight="1">
      <c r="W589" s="77"/>
    </row>
    <row r="590" spans="23:23" ht="12.75" customHeight="1">
      <c r="W590" s="77"/>
    </row>
    <row r="591" spans="23:23" ht="12.75" customHeight="1">
      <c r="W591" s="77"/>
    </row>
    <row r="592" spans="23:23" ht="12.75" customHeight="1">
      <c r="W592" s="77"/>
    </row>
    <row r="593" spans="23:23" ht="12.75" customHeight="1">
      <c r="W593" s="77"/>
    </row>
    <row r="594" spans="23:23" ht="12.75" customHeight="1">
      <c r="W594" s="77"/>
    </row>
    <row r="595" spans="23:23" ht="12.75" customHeight="1">
      <c r="W595" s="77"/>
    </row>
    <row r="596" spans="23:23" ht="12.75" customHeight="1">
      <c r="W596" s="77"/>
    </row>
    <row r="597" spans="23:23" ht="12.75" customHeight="1">
      <c r="W597" s="77"/>
    </row>
    <row r="598" spans="23:23" ht="12.75" customHeight="1">
      <c r="W598" s="77"/>
    </row>
    <row r="599" spans="23:23" ht="12.75" customHeight="1">
      <c r="W599" s="77"/>
    </row>
    <row r="600" spans="23:23" ht="12.75" customHeight="1">
      <c r="W600" s="77"/>
    </row>
    <row r="601" spans="23:23" ht="12.75" customHeight="1">
      <c r="W601" s="77"/>
    </row>
    <row r="602" spans="23:23" ht="12.75" customHeight="1">
      <c r="W602" s="77"/>
    </row>
    <row r="603" spans="23:23" ht="12.75" customHeight="1">
      <c r="W603" s="77"/>
    </row>
    <row r="604" spans="23:23" ht="12.75" customHeight="1">
      <c r="W604" s="77"/>
    </row>
    <row r="605" spans="23:23" ht="12.75" customHeight="1">
      <c r="W605" s="77"/>
    </row>
    <row r="606" spans="23:23" ht="12.75" customHeight="1">
      <c r="W606" s="77"/>
    </row>
    <row r="607" spans="23:23" ht="12.75" customHeight="1">
      <c r="W607" s="77"/>
    </row>
    <row r="608" spans="23:23" ht="12.75" customHeight="1">
      <c r="W608" s="77"/>
    </row>
    <row r="609" spans="23:23" ht="12.75" customHeight="1">
      <c r="W609" s="77"/>
    </row>
    <row r="610" spans="23:23" ht="12.75" customHeight="1">
      <c r="W610" s="77"/>
    </row>
    <row r="611" spans="23:23" ht="12.75" customHeight="1">
      <c r="W611" s="77"/>
    </row>
    <row r="612" spans="23:23" ht="12.75" customHeight="1">
      <c r="W612" s="77"/>
    </row>
    <row r="613" spans="23:23" ht="12.75" customHeight="1">
      <c r="W613" s="77"/>
    </row>
    <row r="614" spans="23:23" ht="12.75" customHeight="1">
      <c r="W614" s="77"/>
    </row>
    <row r="615" spans="23:23" ht="12.75" customHeight="1">
      <c r="W615" s="77"/>
    </row>
    <row r="616" spans="23:23" ht="12.75" customHeight="1">
      <c r="W616" s="77"/>
    </row>
    <row r="617" spans="23:23" ht="12.75" customHeight="1">
      <c r="W617" s="77"/>
    </row>
    <row r="618" spans="23:23" ht="12.75" customHeight="1">
      <c r="W618" s="77"/>
    </row>
    <row r="619" spans="23:23" ht="12.75" customHeight="1">
      <c r="W619" s="77"/>
    </row>
    <row r="620" spans="23:23" ht="12.75" customHeight="1">
      <c r="W620" s="77"/>
    </row>
    <row r="621" spans="23:23" ht="12.75" customHeight="1">
      <c r="W621" s="77"/>
    </row>
    <row r="622" spans="23:23" ht="12.75" customHeight="1">
      <c r="W622" s="77"/>
    </row>
    <row r="623" spans="23:23" ht="12.75" customHeight="1">
      <c r="W623" s="77"/>
    </row>
    <row r="624" spans="23:23" ht="12.75" customHeight="1">
      <c r="W624" s="77"/>
    </row>
    <row r="625" spans="23:23" ht="12.75" customHeight="1">
      <c r="W625" s="77"/>
    </row>
    <row r="626" spans="23:23" ht="12.75" customHeight="1">
      <c r="W626" s="77"/>
    </row>
    <row r="627" spans="23:23" ht="12.75" customHeight="1">
      <c r="W627" s="77"/>
    </row>
    <row r="628" spans="23:23" ht="12.75" customHeight="1">
      <c r="W628" s="77"/>
    </row>
    <row r="629" spans="23:23" ht="12.75" customHeight="1">
      <c r="W629" s="77"/>
    </row>
    <row r="630" spans="23:23" ht="12.75" customHeight="1">
      <c r="W630" s="77"/>
    </row>
    <row r="631" spans="23:23" ht="12.75" customHeight="1">
      <c r="W631" s="77"/>
    </row>
    <row r="632" spans="23:23" ht="12.75" customHeight="1">
      <c r="W632" s="77"/>
    </row>
    <row r="633" spans="23:23" ht="12.75" customHeight="1">
      <c r="W633" s="77"/>
    </row>
    <row r="634" spans="23:23" ht="12.75" customHeight="1">
      <c r="W634" s="77"/>
    </row>
    <row r="635" spans="23:23" ht="12.75" customHeight="1">
      <c r="W635" s="77"/>
    </row>
    <row r="636" spans="23:23" ht="12.75" customHeight="1">
      <c r="W636" s="77"/>
    </row>
    <row r="637" spans="23:23" ht="12.75" customHeight="1">
      <c r="W637" s="77"/>
    </row>
    <row r="638" spans="23:23" ht="12.75" customHeight="1">
      <c r="W638" s="77"/>
    </row>
    <row r="639" spans="23:23" ht="12.75" customHeight="1">
      <c r="W639" s="77"/>
    </row>
    <row r="640" spans="23:23" ht="12.75" customHeight="1">
      <c r="W640" s="77"/>
    </row>
    <row r="641" spans="23:23" ht="12.75" customHeight="1">
      <c r="W641" s="77"/>
    </row>
    <row r="642" spans="23:23" ht="12.75" customHeight="1">
      <c r="W642" s="77"/>
    </row>
    <row r="643" spans="23:23" ht="12.75" customHeight="1">
      <c r="W643" s="77"/>
    </row>
    <row r="644" spans="23:23" ht="12.75" customHeight="1">
      <c r="W644" s="77"/>
    </row>
    <row r="645" spans="23:23" ht="12.75" customHeight="1">
      <c r="W645" s="77"/>
    </row>
    <row r="646" spans="23:23" ht="12.75" customHeight="1">
      <c r="W646" s="77"/>
    </row>
    <row r="647" spans="23:23" ht="12.75" customHeight="1">
      <c r="W647" s="77"/>
    </row>
    <row r="648" spans="23:23" ht="12.75" customHeight="1">
      <c r="W648" s="77"/>
    </row>
    <row r="649" spans="23:23" ht="12.75" customHeight="1">
      <c r="W649" s="77"/>
    </row>
    <row r="650" spans="23:23" ht="12.75" customHeight="1">
      <c r="W650" s="77"/>
    </row>
    <row r="651" spans="23:23" ht="12.75" customHeight="1">
      <c r="W651" s="77"/>
    </row>
    <row r="652" spans="23:23" ht="12.75" customHeight="1">
      <c r="W652" s="77"/>
    </row>
    <row r="653" spans="23:23" ht="12.75" customHeight="1">
      <c r="W653" s="77"/>
    </row>
    <row r="654" spans="23:23" ht="12.75" customHeight="1">
      <c r="W654" s="77"/>
    </row>
    <row r="655" spans="23:23" ht="12.75" customHeight="1">
      <c r="W655" s="77"/>
    </row>
    <row r="656" spans="23:23" ht="12.75" customHeight="1">
      <c r="W656" s="77"/>
    </row>
    <row r="657" spans="23:23" ht="12.75" customHeight="1">
      <c r="W657" s="77"/>
    </row>
    <row r="658" spans="23:23" ht="12.75" customHeight="1">
      <c r="W658" s="77"/>
    </row>
    <row r="659" spans="23:23" ht="12.75" customHeight="1">
      <c r="W659" s="77"/>
    </row>
    <row r="660" spans="23:23" ht="12.75" customHeight="1">
      <c r="W660" s="77"/>
    </row>
    <row r="661" spans="23:23" ht="12.75" customHeight="1">
      <c r="W661" s="77"/>
    </row>
    <row r="662" spans="23:23" ht="12.75" customHeight="1">
      <c r="W662" s="77"/>
    </row>
    <row r="663" spans="23:23" ht="12.75" customHeight="1">
      <c r="W663" s="77"/>
    </row>
    <row r="664" spans="23:23" ht="12.75" customHeight="1">
      <c r="W664" s="77"/>
    </row>
    <row r="665" spans="23:23" ht="12.75" customHeight="1">
      <c r="W665" s="77"/>
    </row>
    <row r="666" spans="23:23" ht="12.75" customHeight="1">
      <c r="W666" s="77"/>
    </row>
    <row r="667" spans="23:23" ht="12.75" customHeight="1">
      <c r="W667" s="77"/>
    </row>
    <row r="668" spans="23:23" ht="12.75" customHeight="1">
      <c r="W668" s="77"/>
    </row>
    <row r="669" spans="23:23" ht="12.75" customHeight="1">
      <c r="W669" s="77"/>
    </row>
    <row r="670" spans="23:23" ht="12.75" customHeight="1">
      <c r="W670" s="77"/>
    </row>
    <row r="671" spans="23:23" ht="12.75" customHeight="1">
      <c r="W671" s="77"/>
    </row>
    <row r="672" spans="23:23" ht="12.75" customHeight="1">
      <c r="W672" s="77"/>
    </row>
    <row r="673" spans="23:23" ht="12.75" customHeight="1">
      <c r="W673" s="77"/>
    </row>
    <row r="674" spans="23:23" ht="12.75" customHeight="1">
      <c r="W674" s="77"/>
    </row>
    <row r="675" spans="23:23" ht="12.75" customHeight="1">
      <c r="W675" s="77"/>
    </row>
    <row r="676" spans="23:23" ht="12.75" customHeight="1">
      <c r="W676" s="77"/>
    </row>
    <row r="677" spans="23:23" ht="12.75" customHeight="1">
      <c r="W677" s="77"/>
    </row>
    <row r="678" spans="23:23" ht="12.75" customHeight="1">
      <c r="W678" s="77"/>
    </row>
    <row r="679" spans="23:23" ht="12.75" customHeight="1">
      <c r="W679" s="77"/>
    </row>
    <row r="680" spans="23:23" ht="12.75" customHeight="1">
      <c r="W680" s="77"/>
    </row>
    <row r="681" spans="23:23" ht="12.75" customHeight="1">
      <c r="W681" s="77"/>
    </row>
    <row r="682" spans="23:23" ht="12.75" customHeight="1">
      <c r="W682" s="77"/>
    </row>
    <row r="683" spans="23:23" ht="12.75" customHeight="1">
      <c r="W683" s="77"/>
    </row>
    <row r="684" spans="23:23" ht="12.75" customHeight="1">
      <c r="W684" s="77"/>
    </row>
    <row r="685" spans="23:23" ht="12.75" customHeight="1">
      <c r="W685" s="77"/>
    </row>
    <row r="686" spans="23:23" ht="12.75" customHeight="1">
      <c r="W686" s="77"/>
    </row>
    <row r="687" spans="23:23" ht="12.75" customHeight="1">
      <c r="W687" s="77"/>
    </row>
    <row r="688" spans="23:23" ht="12.75" customHeight="1">
      <c r="W688" s="77"/>
    </row>
    <row r="689" spans="23:23" ht="12.75" customHeight="1">
      <c r="W689" s="77"/>
    </row>
    <row r="690" spans="23:23" ht="12.75" customHeight="1">
      <c r="W690" s="77"/>
    </row>
    <row r="691" spans="23:23" ht="12.75" customHeight="1">
      <c r="W691" s="77"/>
    </row>
    <row r="692" spans="23:23" ht="12.75" customHeight="1">
      <c r="W692" s="77"/>
    </row>
    <row r="693" spans="23:23" ht="12.75" customHeight="1">
      <c r="W693" s="77"/>
    </row>
    <row r="694" spans="23:23" ht="12.75" customHeight="1">
      <c r="W694" s="77"/>
    </row>
    <row r="695" spans="23:23" ht="12.75" customHeight="1">
      <c r="W695" s="77"/>
    </row>
    <row r="696" spans="23:23" ht="12.75" customHeight="1">
      <c r="W696" s="77"/>
    </row>
    <row r="697" spans="23:23" ht="12.75" customHeight="1">
      <c r="W697" s="77"/>
    </row>
    <row r="698" spans="23:23" ht="12.75" customHeight="1">
      <c r="W698" s="77"/>
    </row>
    <row r="699" spans="23:23" ht="12.75" customHeight="1">
      <c r="W699" s="77"/>
    </row>
    <row r="700" spans="23:23" ht="12.75" customHeight="1">
      <c r="W700" s="77"/>
    </row>
    <row r="701" spans="23:23" ht="12.75" customHeight="1">
      <c r="W701" s="77"/>
    </row>
    <row r="702" spans="23:23" ht="12.75" customHeight="1">
      <c r="W702" s="77"/>
    </row>
    <row r="703" spans="23:23" ht="12.75" customHeight="1">
      <c r="W703" s="77"/>
    </row>
    <row r="704" spans="23:23" ht="12.75" customHeight="1">
      <c r="W704" s="77"/>
    </row>
    <row r="705" spans="23:23" ht="12.75" customHeight="1">
      <c r="W705" s="77"/>
    </row>
    <row r="706" spans="23:23" ht="12.75" customHeight="1">
      <c r="W706" s="77"/>
    </row>
    <row r="707" spans="23:23" ht="12.75" customHeight="1">
      <c r="W707" s="77"/>
    </row>
    <row r="708" spans="23:23" ht="12.75" customHeight="1">
      <c r="W708" s="77"/>
    </row>
    <row r="709" spans="23:23" ht="12.75" customHeight="1">
      <c r="W709" s="77"/>
    </row>
    <row r="710" spans="23:23" ht="12.75" customHeight="1">
      <c r="W710" s="77"/>
    </row>
    <row r="711" spans="23:23" ht="12.75" customHeight="1">
      <c r="W711" s="77"/>
    </row>
    <row r="712" spans="23:23" ht="12.75" customHeight="1">
      <c r="W712" s="77"/>
    </row>
    <row r="713" spans="23:23" ht="12.75" customHeight="1">
      <c r="W713" s="77"/>
    </row>
    <row r="714" spans="23:23" ht="12.75" customHeight="1">
      <c r="W714" s="77"/>
    </row>
    <row r="715" spans="23:23" ht="12.75" customHeight="1">
      <c r="W715" s="77"/>
    </row>
    <row r="716" spans="23:23" ht="12.75" customHeight="1">
      <c r="W716" s="77"/>
    </row>
    <row r="717" spans="23:23" ht="12.75" customHeight="1">
      <c r="W717" s="77"/>
    </row>
    <row r="718" spans="23:23" ht="12.75" customHeight="1">
      <c r="W718" s="77"/>
    </row>
    <row r="719" spans="23:23" ht="12.75" customHeight="1">
      <c r="W719" s="77"/>
    </row>
    <row r="720" spans="23:23" ht="12.75" customHeight="1">
      <c r="W720" s="77"/>
    </row>
    <row r="721" spans="23:23" ht="12.75" customHeight="1">
      <c r="W721" s="77"/>
    </row>
    <row r="722" spans="23:23" ht="12.75" customHeight="1">
      <c r="W722" s="77"/>
    </row>
    <row r="723" spans="23:23" ht="12.75" customHeight="1">
      <c r="W723" s="77"/>
    </row>
    <row r="724" spans="23:23" ht="12.75" customHeight="1">
      <c r="W724" s="77"/>
    </row>
    <row r="725" spans="23:23" ht="12.75" customHeight="1">
      <c r="W725" s="77"/>
    </row>
    <row r="726" spans="23:23" ht="12.75" customHeight="1">
      <c r="W726" s="77"/>
    </row>
    <row r="727" spans="23:23" ht="12.75" customHeight="1">
      <c r="W727" s="77"/>
    </row>
    <row r="728" spans="23:23" ht="12.75" customHeight="1">
      <c r="W728" s="77"/>
    </row>
    <row r="729" spans="23:23" ht="12.75" customHeight="1">
      <c r="W729" s="77"/>
    </row>
    <row r="730" spans="23:23" ht="12.75" customHeight="1">
      <c r="W730" s="77"/>
    </row>
    <row r="731" spans="23:23" ht="12.75" customHeight="1">
      <c r="W731" s="77"/>
    </row>
    <row r="732" spans="23:23" ht="12.75" customHeight="1">
      <c r="W732" s="77"/>
    </row>
    <row r="733" spans="23:23" ht="12.75" customHeight="1">
      <c r="W733" s="77"/>
    </row>
    <row r="734" spans="23:23" ht="12.75" customHeight="1">
      <c r="W734" s="77"/>
    </row>
    <row r="735" spans="23:23" ht="12.75" customHeight="1">
      <c r="W735" s="77"/>
    </row>
    <row r="736" spans="23:23" ht="12.75" customHeight="1">
      <c r="W736" s="77"/>
    </row>
    <row r="737" spans="23:23" ht="12.75" customHeight="1">
      <c r="W737" s="77"/>
    </row>
    <row r="738" spans="23:23" ht="12.75" customHeight="1">
      <c r="W738" s="77"/>
    </row>
    <row r="739" spans="23:23" ht="12.75" customHeight="1">
      <c r="W739" s="77"/>
    </row>
    <row r="740" spans="23:23" ht="12.75" customHeight="1">
      <c r="W740" s="77"/>
    </row>
    <row r="741" spans="23:23" ht="12.75" customHeight="1">
      <c r="W741" s="77"/>
    </row>
    <row r="742" spans="23:23" ht="12.75" customHeight="1">
      <c r="W742" s="77"/>
    </row>
    <row r="743" spans="23:23" ht="12.75" customHeight="1">
      <c r="W743" s="77"/>
    </row>
    <row r="744" spans="23:23" ht="12.75" customHeight="1">
      <c r="W744" s="77"/>
    </row>
    <row r="745" spans="23:23" ht="12.75" customHeight="1">
      <c r="W745" s="77"/>
    </row>
    <row r="746" spans="23:23" ht="12.75" customHeight="1">
      <c r="W746" s="77"/>
    </row>
    <row r="747" spans="23:23" ht="12.75" customHeight="1">
      <c r="W747" s="77"/>
    </row>
    <row r="748" spans="23:23" ht="12.75" customHeight="1">
      <c r="W748" s="77"/>
    </row>
    <row r="749" spans="23:23" ht="12.75" customHeight="1">
      <c r="W749" s="77"/>
    </row>
    <row r="750" spans="23:23" ht="12.75" customHeight="1">
      <c r="W750" s="77"/>
    </row>
    <row r="751" spans="23:23" ht="12.75" customHeight="1">
      <c r="W751" s="77"/>
    </row>
    <row r="752" spans="23:23" ht="12.75" customHeight="1">
      <c r="W752" s="77"/>
    </row>
    <row r="753" spans="23:23" ht="12.75" customHeight="1">
      <c r="W753" s="77"/>
    </row>
    <row r="754" spans="23:23" ht="12.75" customHeight="1">
      <c r="W754" s="77"/>
    </row>
    <row r="755" spans="23:23" ht="12.75" customHeight="1">
      <c r="W755" s="77"/>
    </row>
    <row r="756" spans="23:23" ht="12.75" customHeight="1">
      <c r="W756" s="77"/>
    </row>
    <row r="757" spans="23:23" ht="12.75" customHeight="1">
      <c r="W757" s="77"/>
    </row>
    <row r="758" spans="23:23" ht="12.75" customHeight="1">
      <c r="W758" s="77"/>
    </row>
    <row r="759" spans="23:23" ht="12.75" customHeight="1">
      <c r="W759" s="77"/>
    </row>
    <row r="760" spans="23:23" ht="12.75" customHeight="1">
      <c r="W760" s="77"/>
    </row>
    <row r="761" spans="23:23" ht="12.75" customHeight="1">
      <c r="W761" s="77"/>
    </row>
    <row r="762" spans="23:23" ht="12.75" customHeight="1">
      <c r="W762" s="77"/>
    </row>
    <row r="763" spans="23:23" ht="12.75" customHeight="1">
      <c r="W763" s="77"/>
    </row>
    <row r="764" spans="23:23" ht="12.75" customHeight="1">
      <c r="W764" s="77"/>
    </row>
    <row r="765" spans="23:23" ht="12.75" customHeight="1">
      <c r="W765" s="77"/>
    </row>
    <row r="766" spans="23:23" ht="12.75" customHeight="1">
      <c r="W766" s="77"/>
    </row>
    <row r="767" spans="23:23" ht="12.75" customHeight="1">
      <c r="W767" s="77"/>
    </row>
    <row r="768" spans="23:23" ht="12.75" customHeight="1">
      <c r="W768" s="77"/>
    </row>
    <row r="769" spans="23:23" ht="12.75" customHeight="1">
      <c r="W769" s="77"/>
    </row>
    <row r="770" spans="23:23" ht="12.75" customHeight="1">
      <c r="W770" s="77"/>
    </row>
    <row r="771" spans="23:23" ht="12.75" customHeight="1">
      <c r="W771" s="77"/>
    </row>
    <row r="772" spans="23:23" ht="12.75" customHeight="1">
      <c r="W772" s="77"/>
    </row>
    <row r="773" spans="23:23" ht="12.75" customHeight="1">
      <c r="W773" s="77"/>
    </row>
    <row r="774" spans="23:23" ht="12.75" customHeight="1">
      <c r="W774" s="77"/>
    </row>
    <row r="775" spans="23:23" ht="12.75" customHeight="1">
      <c r="W775" s="77"/>
    </row>
    <row r="776" spans="23:23" ht="12.75" customHeight="1">
      <c r="W776" s="77"/>
    </row>
    <row r="777" spans="23:23" ht="12.75" customHeight="1">
      <c r="W777" s="77"/>
    </row>
    <row r="778" spans="23:23" ht="12.75" customHeight="1">
      <c r="W778" s="77"/>
    </row>
    <row r="779" spans="23:23" ht="12.75" customHeight="1">
      <c r="W779" s="77"/>
    </row>
    <row r="780" spans="23:23" ht="12.75" customHeight="1">
      <c r="W780" s="77"/>
    </row>
    <row r="781" spans="23:23" ht="12.75" customHeight="1">
      <c r="W781" s="77"/>
    </row>
    <row r="782" spans="23:23" ht="12.75" customHeight="1">
      <c r="W782" s="77"/>
    </row>
    <row r="783" spans="23:23" ht="12.75" customHeight="1">
      <c r="W783" s="77"/>
    </row>
    <row r="784" spans="23:23" ht="12.75" customHeight="1">
      <c r="W784" s="77"/>
    </row>
    <row r="785" spans="23:23" ht="12.75" customHeight="1">
      <c r="W785" s="77"/>
    </row>
    <row r="786" spans="23:23" ht="12.75" customHeight="1">
      <c r="W786" s="77"/>
    </row>
    <row r="787" spans="23:23" ht="12.75" customHeight="1">
      <c r="W787" s="77"/>
    </row>
    <row r="788" spans="23:23" ht="12.75" customHeight="1">
      <c r="W788" s="77"/>
    </row>
    <row r="789" spans="23:23" ht="12.75" customHeight="1">
      <c r="W789" s="77"/>
    </row>
    <row r="790" spans="23:23" ht="12.75" customHeight="1">
      <c r="W790" s="77"/>
    </row>
    <row r="791" spans="23:23" ht="12.75" customHeight="1">
      <c r="W791" s="77"/>
    </row>
    <row r="792" spans="23:23" ht="12.75" customHeight="1">
      <c r="W792" s="77"/>
    </row>
    <row r="793" spans="23:23" ht="12.75" customHeight="1">
      <c r="W793" s="77"/>
    </row>
    <row r="794" spans="23:23" ht="12.75" customHeight="1">
      <c r="W794" s="77"/>
    </row>
    <row r="795" spans="23:23" ht="12.75" customHeight="1">
      <c r="W795" s="77"/>
    </row>
    <row r="796" spans="23:23" ht="12.75" customHeight="1">
      <c r="W796" s="77"/>
    </row>
    <row r="797" spans="23:23" ht="12.75" customHeight="1">
      <c r="W797" s="77"/>
    </row>
    <row r="798" spans="23:23" ht="12.75" customHeight="1">
      <c r="W798" s="77"/>
    </row>
    <row r="799" spans="23:23" ht="12.75" customHeight="1">
      <c r="W799" s="77"/>
    </row>
    <row r="800" spans="23:23" ht="12.75" customHeight="1">
      <c r="W800" s="77"/>
    </row>
    <row r="801" spans="23:23" ht="12.75" customHeight="1">
      <c r="W801" s="77"/>
    </row>
    <row r="802" spans="23:23" ht="12.75" customHeight="1">
      <c r="W802" s="77"/>
    </row>
    <row r="803" spans="23:23" ht="12.75" customHeight="1">
      <c r="W803" s="77"/>
    </row>
    <row r="804" spans="23:23" ht="12.75" customHeight="1">
      <c r="W804" s="77"/>
    </row>
    <row r="805" spans="23:23" ht="12.75" customHeight="1">
      <c r="W805" s="77"/>
    </row>
    <row r="806" spans="23:23" ht="12.75" customHeight="1">
      <c r="W806" s="77"/>
    </row>
    <row r="807" spans="23:23" ht="12.75" customHeight="1">
      <c r="W807" s="77"/>
    </row>
    <row r="808" spans="23:23" ht="12.75" customHeight="1">
      <c r="W808" s="77"/>
    </row>
    <row r="809" spans="23:23" ht="12.75" customHeight="1">
      <c r="W809" s="77"/>
    </row>
    <row r="810" spans="23:23" ht="12.75" customHeight="1">
      <c r="W810" s="77"/>
    </row>
    <row r="811" spans="23:23" ht="12.75" customHeight="1">
      <c r="W811" s="77"/>
    </row>
    <row r="812" spans="23:23" ht="12.75" customHeight="1">
      <c r="W812" s="77"/>
    </row>
    <row r="813" spans="23:23" ht="12.75" customHeight="1">
      <c r="W813" s="77"/>
    </row>
    <row r="814" spans="23:23" ht="12.75" customHeight="1">
      <c r="W814" s="77"/>
    </row>
    <row r="815" spans="23:23" ht="12.75" customHeight="1">
      <c r="W815" s="77"/>
    </row>
    <row r="816" spans="23:23" ht="12.75" customHeight="1">
      <c r="W816" s="77"/>
    </row>
    <row r="817" spans="23:23" ht="12.75" customHeight="1">
      <c r="W817" s="77"/>
    </row>
    <row r="818" spans="23:23" ht="12.75" customHeight="1">
      <c r="W818" s="77"/>
    </row>
    <row r="819" spans="23:23" ht="12.75" customHeight="1">
      <c r="W819" s="77"/>
    </row>
    <row r="820" spans="23:23" ht="12.75" customHeight="1">
      <c r="W820" s="77"/>
    </row>
    <row r="821" spans="23:23" ht="12.75" customHeight="1">
      <c r="W821" s="77"/>
    </row>
    <row r="822" spans="23:23" ht="12.75" customHeight="1">
      <c r="W822" s="77"/>
    </row>
    <row r="823" spans="23:23" ht="12.75" customHeight="1">
      <c r="W823" s="77"/>
    </row>
    <row r="824" spans="23:23" ht="12.75" customHeight="1">
      <c r="W824" s="77"/>
    </row>
    <row r="825" spans="23:23" ht="12.75" customHeight="1">
      <c r="W825" s="77"/>
    </row>
    <row r="826" spans="23:23" ht="12.75" customHeight="1">
      <c r="W826" s="77"/>
    </row>
    <row r="827" spans="23:23" ht="12.75" customHeight="1">
      <c r="W827" s="77"/>
    </row>
    <row r="828" spans="23:23" ht="12.75" customHeight="1">
      <c r="W828" s="77"/>
    </row>
    <row r="829" spans="23:23" ht="12.75" customHeight="1">
      <c r="W829" s="77"/>
    </row>
    <row r="830" spans="23:23" ht="12.75" customHeight="1">
      <c r="W830" s="77"/>
    </row>
    <row r="831" spans="23:23" ht="12.75" customHeight="1">
      <c r="W831" s="77"/>
    </row>
    <row r="832" spans="23:23" ht="12.75" customHeight="1">
      <c r="W832" s="77"/>
    </row>
    <row r="833" spans="23:23" ht="12.75" customHeight="1">
      <c r="W833" s="77"/>
    </row>
    <row r="834" spans="23:23" ht="12.75" customHeight="1">
      <c r="W834" s="77"/>
    </row>
    <row r="835" spans="23:23" ht="12.75" customHeight="1">
      <c r="W835" s="77"/>
    </row>
    <row r="836" spans="23:23" ht="12.75" customHeight="1">
      <c r="W836" s="77"/>
    </row>
    <row r="837" spans="23:23" ht="12.75" customHeight="1">
      <c r="W837" s="77"/>
    </row>
    <row r="838" spans="23:23" ht="12.75" customHeight="1">
      <c r="W838" s="77"/>
    </row>
    <row r="839" spans="23:23" ht="12.75" customHeight="1">
      <c r="W839" s="77"/>
    </row>
    <row r="840" spans="23:23" ht="12.75" customHeight="1">
      <c r="W840" s="77"/>
    </row>
    <row r="841" spans="23:23" ht="12.75" customHeight="1">
      <c r="W841" s="77"/>
    </row>
    <row r="842" spans="23:23" ht="12.75" customHeight="1">
      <c r="W842" s="77"/>
    </row>
    <row r="843" spans="23:23" ht="12.75" customHeight="1">
      <c r="W843" s="77"/>
    </row>
    <row r="844" spans="23:23" ht="12.75" customHeight="1">
      <c r="W844" s="77"/>
    </row>
    <row r="845" spans="23:23" ht="12.75" customHeight="1">
      <c r="W845" s="77"/>
    </row>
    <row r="846" spans="23:23" ht="12.75" customHeight="1">
      <c r="W846" s="77"/>
    </row>
    <row r="847" spans="23:23" ht="12.75" customHeight="1">
      <c r="W847" s="77"/>
    </row>
    <row r="848" spans="23:23" ht="12.75" customHeight="1">
      <c r="W848" s="77"/>
    </row>
    <row r="849" spans="23:23" ht="12.75" customHeight="1">
      <c r="W849" s="77"/>
    </row>
    <row r="850" spans="23:23" ht="12.75" customHeight="1">
      <c r="W850" s="77"/>
    </row>
    <row r="851" spans="23:23" ht="12.75" customHeight="1">
      <c r="W851" s="77"/>
    </row>
    <row r="852" spans="23:23" ht="12.75" customHeight="1">
      <c r="W852" s="77"/>
    </row>
    <row r="853" spans="23:23" ht="12.75" customHeight="1">
      <c r="W853" s="77"/>
    </row>
    <row r="854" spans="23:23" ht="12.75" customHeight="1">
      <c r="W854" s="77"/>
    </row>
    <row r="855" spans="23:23" ht="12.75" customHeight="1">
      <c r="W855" s="77"/>
    </row>
    <row r="856" spans="23:23" ht="12.75" customHeight="1">
      <c r="W856" s="77"/>
    </row>
    <row r="857" spans="23:23" ht="12.75" customHeight="1">
      <c r="W857" s="77"/>
    </row>
    <row r="858" spans="23:23" ht="12.75" customHeight="1">
      <c r="W858" s="77"/>
    </row>
    <row r="859" spans="23:23" ht="12.75" customHeight="1">
      <c r="W859" s="77"/>
    </row>
    <row r="860" spans="23:23" ht="12.75" customHeight="1">
      <c r="W860" s="77"/>
    </row>
    <row r="861" spans="23:23" ht="12.75" customHeight="1">
      <c r="W861" s="77"/>
    </row>
    <row r="862" spans="23:23" ht="12.75" customHeight="1">
      <c r="W862" s="77"/>
    </row>
    <row r="863" spans="23:23" ht="12.75" customHeight="1">
      <c r="W863" s="77"/>
    </row>
    <row r="864" spans="23:23" ht="12.75" customHeight="1">
      <c r="W864" s="77"/>
    </row>
    <row r="865" spans="23:23" ht="12.75" customHeight="1">
      <c r="W865" s="77"/>
    </row>
    <row r="866" spans="23:23" ht="12.75" customHeight="1">
      <c r="W866" s="77"/>
    </row>
    <row r="867" spans="23:23" ht="12.75" customHeight="1">
      <c r="W867" s="77"/>
    </row>
    <row r="868" spans="23:23" ht="12.75" customHeight="1">
      <c r="W868" s="77"/>
    </row>
    <row r="869" spans="23:23" ht="12.75" customHeight="1">
      <c r="W869" s="77"/>
    </row>
    <row r="870" spans="23:23" ht="12.75" customHeight="1">
      <c r="W870" s="77"/>
    </row>
    <row r="871" spans="23:23" ht="12.75" customHeight="1">
      <c r="W871" s="77"/>
    </row>
    <row r="872" spans="23:23" ht="12.75" customHeight="1">
      <c r="W872" s="77"/>
    </row>
    <row r="873" spans="23:23" ht="12.75" customHeight="1">
      <c r="W873" s="77"/>
    </row>
    <row r="874" spans="23:23" ht="12.75" customHeight="1">
      <c r="W874" s="77"/>
    </row>
    <row r="875" spans="23:23" ht="12.75" customHeight="1">
      <c r="W875" s="77"/>
    </row>
    <row r="876" spans="23:23" ht="12.75" customHeight="1">
      <c r="W876" s="77"/>
    </row>
    <row r="877" spans="23:23" ht="12.75" customHeight="1">
      <c r="W877" s="77"/>
    </row>
    <row r="878" spans="23:23" ht="12.75" customHeight="1">
      <c r="W878" s="77"/>
    </row>
    <row r="879" spans="23:23" ht="12.75" customHeight="1">
      <c r="W879" s="77"/>
    </row>
    <row r="880" spans="23:23" ht="12.75" customHeight="1">
      <c r="W880" s="77"/>
    </row>
    <row r="881" spans="23:23" ht="12.75" customHeight="1">
      <c r="W881" s="77"/>
    </row>
    <row r="882" spans="23:23" ht="12.75" customHeight="1">
      <c r="W882" s="77"/>
    </row>
    <row r="883" spans="23:23" ht="12.75" customHeight="1">
      <c r="W883" s="77"/>
    </row>
    <row r="884" spans="23:23" ht="12.75" customHeight="1">
      <c r="W884" s="77"/>
    </row>
    <row r="885" spans="23:23" ht="12.75" customHeight="1">
      <c r="W885" s="77"/>
    </row>
    <row r="886" spans="23:23" ht="12.75" customHeight="1">
      <c r="W886" s="77"/>
    </row>
    <row r="887" spans="23:23" ht="12.75" customHeight="1">
      <c r="W887" s="77"/>
    </row>
    <row r="888" spans="23:23" ht="12.75" customHeight="1">
      <c r="W888" s="77"/>
    </row>
    <row r="889" spans="23:23" ht="12.75" customHeight="1">
      <c r="W889" s="77"/>
    </row>
    <row r="890" spans="23:23" ht="12.75" customHeight="1">
      <c r="W890" s="77"/>
    </row>
    <row r="891" spans="23:23" ht="12.75" customHeight="1">
      <c r="W891" s="77"/>
    </row>
    <row r="892" spans="23:23" ht="12.75" customHeight="1">
      <c r="W892" s="77"/>
    </row>
    <row r="893" spans="23:23" ht="12.75" customHeight="1">
      <c r="W893" s="77"/>
    </row>
    <row r="894" spans="23:23" ht="12.75" customHeight="1">
      <c r="W894" s="77"/>
    </row>
    <row r="895" spans="23:23" ht="12.75" customHeight="1">
      <c r="W895" s="77"/>
    </row>
    <row r="896" spans="23:23" ht="12.75" customHeight="1">
      <c r="W896" s="77"/>
    </row>
    <row r="897" spans="23:23" ht="12.75" customHeight="1">
      <c r="W897" s="77"/>
    </row>
    <row r="898" spans="23:23" ht="12.75" customHeight="1">
      <c r="W898" s="77"/>
    </row>
    <row r="899" spans="23:23" ht="12.75" customHeight="1">
      <c r="W899" s="77"/>
    </row>
    <row r="900" spans="23:23" ht="12.75" customHeight="1">
      <c r="W900" s="77"/>
    </row>
    <row r="901" spans="23:23" ht="12.75" customHeight="1">
      <c r="W901" s="77"/>
    </row>
    <row r="902" spans="23:23" ht="12.75" customHeight="1">
      <c r="W902" s="77"/>
    </row>
    <row r="903" spans="23:23" ht="12.75" customHeight="1">
      <c r="W903" s="77"/>
    </row>
    <row r="904" spans="23:23" ht="12.75" customHeight="1">
      <c r="W904" s="77"/>
    </row>
    <row r="905" spans="23:23" ht="12.75" customHeight="1">
      <c r="W905" s="77"/>
    </row>
    <row r="906" spans="23:23" ht="12.75" customHeight="1">
      <c r="W906" s="77"/>
    </row>
    <row r="907" spans="23:23" ht="12.75" customHeight="1">
      <c r="W907" s="77"/>
    </row>
    <row r="908" spans="23:23" ht="12.75" customHeight="1">
      <c r="W908" s="77"/>
    </row>
    <row r="909" spans="23:23" ht="12.75" customHeight="1">
      <c r="W909" s="77"/>
    </row>
    <row r="910" spans="23:23" ht="12.75" customHeight="1">
      <c r="W910" s="77"/>
    </row>
    <row r="911" spans="23:23" ht="12.75" customHeight="1">
      <c r="W911" s="77"/>
    </row>
    <row r="912" spans="23:23" ht="12.75" customHeight="1">
      <c r="W912" s="77"/>
    </row>
    <row r="913" spans="23:23" ht="12.75" customHeight="1">
      <c r="W913" s="77"/>
    </row>
    <row r="914" spans="23:23" ht="12.75" customHeight="1">
      <c r="W914" s="77"/>
    </row>
    <row r="915" spans="23:23" ht="12.75" customHeight="1">
      <c r="W915" s="77"/>
    </row>
    <row r="916" spans="23:23" ht="12.75" customHeight="1">
      <c r="W916" s="77"/>
    </row>
    <row r="917" spans="23:23" ht="12.75" customHeight="1">
      <c r="W917" s="77"/>
    </row>
    <row r="918" spans="23:23" ht="12.75" customHeight="1">
      <c r="W918" s="77"/>
    </row>
    <row r="919" spans="23:23" ht="12.75" customHeight="1">
      <c r="W919" s="77"/>
    </row>
    <row r="920" spans="23:23" ht="12.75" customHeight="1">
      <c r="W920" s="77"/>
    </row>
    <row r="921" spans="23:23" ht="12.75" customHeight="1">
      <c r="W921" s="77"/>
    </row>
    <row r="922" spans="23:23" ht="12.75" customHeight="1">
      <c r="W922" s="77"/>
    </row>
    <row r="923" spans="23:23" ht="12.75" customHeight="1">
      <c r="W923" s="77"/>
    </row>
    <row r="924" spans="23:23" ht="12.75" customHeight="1">
      <c r="W924" s="77"/>
    </row>
    <row r="925" spans="23:23" ht="12.75" customHeight="1">
      <c r="W925" s="77"/>
    </row>
    <row r="926" spans="23:23" ht="12.75" customHeight="1">
      <c r="W926" s="77"/>
    </row>
    <row r="927" spans="23:23" ht="12.75" customHeight="1">
      <c r="W927" s="77"/>
    </row>
    <row r="928" spans="23:23" ht="12.75" customHeight="1">
      <c r="W928" s="77"/>
    </row>
    <row r="929" spans="23:23" ht="12.75" customHeight="1">
      <c r="W929" s="77"/>
    </row>
    <row r="930" spans="23:23" ht="12.75" customHeight="1">
      <c r="W930" s="77"/>
    </row>
    <row r="931" spans="23:23" ht="12.75" customHeight="1">
      <c r="W931" s="77"/>
    </row>
    <row r="932" spans="23:23" ht="12.75" customHeight="1">
      <c r="W932" s="77"/>
    </row>
    <row r="933" spans="23:23" ht="12.75" customHeight="1">
      <c r="W933" s="77"/>
    </row>
    <row r="934" spans="23:23" ht="12.75" customHeight="1">
      <c r="W934" s="77"/>
    </row>
    <row r="935" spans="23:23" ht="12.75" customHeight="1">
      <c r="W935" s="77"/>
    </row>
    <row r="936" spans="23:23" ht="12.75" customHeight="1">
      <c r="W936" s="77"/>
    </row>
    <row r="937" spans="23:23" ht="12.75" customHeight="1">
      <c r="W937" s="77"/>
    </row>
    <row r="938" spans="23:23" ht="12.75" customHeight="1">
      <c r="W938" s="77"/>
    </row>
    <row r="939" spans="23:23" ht="12.75" customHeight="1">
      <c r="W939" s="77"/>
    </row>
    <row r="940" spans="23:23" ht="12.75" customHeight="1">
      <c r="W940" s="77"/>
    </row>
    <row r="941" spans="23:23" ht="12.75" customHeight="1">
      <c r="W941" s="77"/>
    </row>
    <row r="942" spans="23:23" ht="12.75" customHeight="1">
      <c r="W942" s="77"/>
    </row>
    <row r="943" spans="23:23" ht="12.75" customHeight="1">
      <c r="W943" s="77"/>
    </row>
    <row r="944" spans="23:23" ht="12.75" customHeight="1">
      <c r="W944" s="77"/>
    </row>
    <row r="945" spans="23:23" ht="12.75" customHeight="1">
      <c r="W945" s="77"/>
    </row>
    <row r="946" spans="23:23" ht="12.75" customHeight="1">
      <c r="W946" s="77"/>
    </row>
    <row r="947" spans="23:23" ht="12.75" customHeight="1">
      <c r="W947" s="77"/>
    </row>
    <row r="948" spans="23:23" ht="12.75" customHeight="1">
      <c r="W948" s="77"/>
    </row>
    <row r="949" spans="23:23" ht="12.75" customHeight="1">
      <c r="W949" s="77"/>
    </row>
    <row r="950" spans="23:23" ht="12.75" customHeight="1">
      <c r="W950" s="77"/>
    </row>
    <row r="951" spans="23:23" ht="12.75" customHeight="1">
      <c r="W951" s="77"/>
    </row>
    <row r="952" spans="23:23" ht="12.75" customHeight="1">
      <c r="W952" s="77"/>
    </row>
    <row r="953" spans="23:23" ht="12.75" customHeight="1">
      <c r="W953" s="77"/>
    </row>
    <row r="954" spans="23:23" ht="12.75" customHeight="1">
      <c r="W954" s="77"/>
    </row>
    <row r="955" spans="23:23" ht="12.75" customHeight="1">
      <c r="W955" s="77"/>
    </row>
    <row r="956" spans="23:23" ht="12.75" customHeight="1">
      <c r="W956" s="77"/>
    </row>
    <row r="957" spans="23:23" ht="12.75" customHeight="1">
      <c r="W957" s="77"/>
    </row>
    <row r="958" spans="23:23" ht="12.75" customHeight="1">
      <c r="W958" s="77"/>
    </row>
    <row r="959" spans="23:23" ht="12.75" customHeight="1">
      <c r="W959" s="77"/>
    </row>
    <row r="960" spans="23:23" ht="12.75" customHeight="1">
      <c r="W960" s="77"/>
    </row>
    <row r="961" spans="23:23" ht="12.75" customHeight="1">
      <c r="W961" s="77"/>
    </row>
    <row r="962" spans="23:23" ht="12.75" customHeight="1">
      <c r="W962" s="77"/>
    </row>
    <row r="963" spans="23:23" ht="12.75" customHeight="1">
      <c r="W963" s="77"/>
    </row>
    <row r="964" spans="23:23" ht="12.75" customHeight="1">
      <c r="W964" s="77"/>
    </row>
    <row r="965" spans="23:23" ht="12.75" customHeight="1">
      <c r="W965" s="77"/>
    </row>
    <row r="966" spans="23:23" ht="12.75" customHeight="1">
      <c r="W966" s="77"/>
    </row>
    <row r="967" spans="23:23" ht="12.75" customHeight="1">
      <c r="W967" s="77"/>
    </row>
    <row r="968" spans="23:23" ht="12.75" customHeight="1">
      <c r="W968" s="77"/>
    </row>
    <row r="969" spans="23:23" ht="12.75" customHeight="1">
      <c r="W969" s="77"/>
    </row>
    <row r="970" spans="23:23" ht="12.75" customHeight="1">
      <c r="W970" s="77"/>
    </row>
    <row r="971" spans="23:23" ht="12.75" customHeight="1">
      <c r="W971" s="77"/>
    </row>
    <row r="972" spans="23:23" ht="12.75" customHeight="1">
      <c r="W972" s="77"/>
    </row>
    <row r="973" spans="23:23" ht="12.75" customHeight="1">
      <c r="W973" s="77"/>
    </row>
    <row r="974" spans="23:23" ht="12.75" customHeight="1">
      <c r="W974" s="77"/>
    </row>
    <row r="975" spans="23:23" ht="12.75" customHeight="1">
      <c r="W975" s="77"/>
    </row>
    <row r="976" spans="23:23" ht="12.75" customHeight="1">
      <c r="W976" s="77"/>
    </row>
    <row r="977" spans="23:23" ht="12.75" customHeight="1">
      <c r="W977" s="77"/>
    </row>
    <row r="978" spans="23:23" ht="12.75" customHeight="1">
      <c r="W978" s="77"/>
    </row>
    <row r="979" spans="23:23" ht="12.75" customHeight="1">
      <c r="W979" s="77"/>
    </row>
    <row r="980" spans="23:23" ht="12.75" customHeight="1">
      <c r="W980" s="77"/>
    </row>
    <row r="981" spans="23:23" ht="12.75" customHeight="1">
      <c r="W981" s="77"/>
    </row>
    <row r="982" spans="23:23" ht="12.75" customHeight="1">
      <c r="W982" s="77"/>
    </row>
    <row r="983" spans="23:23" ht="12.75" customHeight="1">
      <c r="W983" s="77"/>
    </row>
    <row r="984" spans="23:23" ht="12.75" customHeight="1">
      <c r="W984" s="77"/>
    </row>
    <row r="985" spans="23:23" ht="12.75" customHeight="1">
      <c r="W985" s="77"/>
    </row>
    <row r="986" spans="23:23" ht="12.75" customHeight="1">
      <c r="W986" s="77"/>
    </row>
    <row r="987" spans="23:23" ht="12.75" customHeight="1">
      <c r="W987" s="77"/>
    </row>
    <row r="988" spans="23:23" ht="12.75" customHeight="1">
      <c r="W988" s="77"/>
    </row>
    <row r="989" spans="23:23" ht="12.75" customHeight="1">
      <c r="W989" s="77"/>
    </row>
    <row r="990" spans="23:23" ht="12.75" customHeight="1">
      <c r="W990" s="77"/>
    </row>
    <row r="991" spans="23:23" ht="12.75" customHeight="1">
      <c r="W991" s="77"/>
    </row>
    <row r="992" spans="23:23" ht="12.75" customHeight="1">
      <c r="W992" s="77"/>
    </row>
    <row r="993" spans="23:23" ht="12.75" customHeight="1">
      <c r="W993" s="77"/>
    </row>
    <row r="994" spans="23:23" ht="12.75" customHeight="1">
      <c r="W994" s="77"/>
    </row>
    <row r="995" spans="23:23" ht="12.75" customHeight="1">
      <c r="W995" s="77"/>
    </row>
    <row r="996" spans="23:23" ht="12.75" customHeight="1">
      <c r="W996" s="77"/>
    </row>
    <row r="997" spans="23:23" ht="12.75" customHeight="1">
      <c r="W997" s="77"/>
    </row>
    <row r="998" spans="23:23" ht="12.75" customHeight="1">
      <c r="W998" s="77"/>
    </row>
    <row r="999" spans="23:23" ht="12.75" customHeight="1">
      <c r="W999" s="77"/>
    </row>
    <row r="1000" spans="23:23" ht="12.75" customHeight="1">
      <c r="W1000" s="77"/>
    </row>
  </sheetData>
  <mergeCells count="28">
    <mergeCell ref="R16:S16"/>
    <mergeCell ref="A21:Q21"/>
    <mergeCell ref="C43:P43"/>
    <mergeCell ref="R17:S17"/>
    <mergeCell ref="R18:S18"/>
    <mergeCell ref="A19:Q19"/>
    <mergeCell ref="R19:S19"/>
    <mergeCell ref="A20:Q20"/>
    <mergeCell ref="R20:S20"/>
    <mergeCell ref="R21:S21"/>
    <mergeCell ref="R10:S11"/>
    <mergeCell ref="R12:S12"/>
    <mergeCell ref="R13:S13"/>
    <mergeCell ref="R14:S14"/>
    <mergeCell ref="R15:S15"/>
    <mergeCell ref="A1:S1"/>
    <mergeCell ref="D3:J3"/>
    <mergeCell ref="O3:S3"/>
    <mergeCell ref="V3:V7"/>
    <mergeCell ref="W3:W7"/>
    <mergeCell ref="A5:S9"/>
    <mergeCell ref="Z3:Z7"/>
    <mergeCell ref="AA3:AA7"/>
    <mergeCell ref="AB3:AB7"/>
    <mergeCell ref="AC3:AC7"/>
    <mergeCell ref="V53:W53"/>
    <mergeCell ref="X3:X7"/>
    <mergeCell ref="Y3:Y7"/>
  </mergeCells>
  <conditionalFormatting sqref="R12:R21">
    <cfRule type="cellIs" dxfId="358" priority="1" operator="equal">
      <formula>"No"</formula>
    </cfRule>
    <cfRule type="cellIs" dxfId="357" priority="2" operator="equal">
      <formula>"yes"</formula>
    </cfRule>
  </conditionalFormatting>
  <conditionalFormatting sqref="R12:S21">
    <cfRule type="cellIs" dxfId="356" priority="3" operator="equal">
      <formula>"N/A"</formula>
    </cfRule>
  </conditionalFormatting>
  <dataValidations count="2">
    <dataValidation type="list" allowBlank="1" showErrorMessage="1" sqref="R12:R18" xr:uid="{00000000-0002-0000-0400-000000000000}">
      <formula1>"No,Yes"</formula1>
    </dataValidation>
    <dataValidation type="list" allowBlank="1" showErrorMessage="1" sqref="R19:R21" xr:uid="{00000000-0002-0000-0400-000001000000}">
      <formula1>"No,N/A,Yes"</formula1>
    </dataValidation>
  </dataValidation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C66"/>
  </sheetPr>
  <dimension ref="A1:B1000"/>
  <sheetViews>
    <sheetView workbookViewId="0"/>
  </sheetViews>
  <sheetFormatPr baseColWidth="10" defaultColWidth="12.5703125" defaultRowHeight="15" customHeight="1"/>
  <cols>
    <col min="1" max="1" width="23.85546875" customWidth="1"/>
    <col min="2" max="2" width="109.42578125" customWidth="1"/>
    <col min="3" max="26" width="11.42578125" customWidth="1"/>
  </cols>
  <sheetData>
    <row r="1" spans="1:2" ht="12.75" customHeight="1">
      <c r="A1" s="23" t="s">
        <v>189</v>
      </c>
      <c r="B1" s="43"/>
    </row>
    <row r="2" spans="1:2" ht="12.75" customHeight="1">
      <c r="A2" s="651" t="s">
        <v>190</v>
      </c>
      <c r="B2" s="652" t="s">
        <v>191</v>
      </c>
    </row>
    <row r="3" spans="1:2" ht="12.75" customHeight="1">
      <c r="A3" s="591"/>
      <c r="B3" s="653"/>
    </row>
    <row r="4" spans="1:2" ht="12.75" customHeight="1">
      <c r="A4" s="654" t="s">
        <v>192</v>
      </c>
      <c r="B4" s="655" t="s">
        <v>193</v>
      </c>
    </row>
    <row r="5" spans="1:2" ht="12.75" customHeight="1">
      <c r="A5" s="600"/>
      <c r="B5" s="592"/>
    </row>
    <row r="6" spans="1:2" ht="12.75" customHeight="1">
      <c r="A6" s="656" t="s">
        <v>194</v>
      </c>
      <c r="B6" s="657" t="s">
        <v>129</v>
      </c>
    </row>
    <row r="7" spans="1:2" ht="12.75" customHeight="1">
      <c r="A7" s="598"/>
      <c r="B7" s="658"/>
    </row>
    <row r="8" spans="1:2" ht="12.75" customHeight="1">
      <c r="A8" s="644" t="s">
        <v>195</v>
      </c>
      <c r="B8" s="103" t="s">
        <v>196</v>
      </c>
    </row>
    <row r="9" spans="1:2" ht="12.75" customHeight="1">
      <c r="A9" s="645"/>
      <c r="B9" s="29"/>
    </row>
    <row r="10" spans="1:2" ht="12.75" customHeight="1">
      <c r="A10" s="645"/>
      <c r="B10" s="29"/>
    </row>
    <row r="11" spans="1:2" ht="12.75" customHeight="1">
      <c r="A11" s="645"/>
      <c r="B11" s="29"/>
    </row>
    <row r="12" spans="1:2" ht="12.75" customHeight="1">
      <c r="A12" s="645"/>
      <c r="B12" s="29"/>
    </row>
    <row r="13" spans="1:2" ht="12.75" customHeight="1">
      <c r="A13" s="645"/>
      <c r="B13" s="29"/>
    </row>
    <row r="14" spans="1:2" ht="12.75" customHeight="1">
      <c r="A14" s="645"/>
      <c r="B14" s="29"/>
    </row>
    <row r="15" spans="1:2" ht="12.75" customHeight="1">
      <c r="A15" s="646"/>
      <c r="B15" s="104"/>
    </row>
    <row r="16" spans="1:2" ht="12.75" customHeight="1">
      <c r="A16" s="647" t="str">
        <f>IF($B$2="A2.2.2 - First year vehicle", "Provide proof of newly manufactured chassis, e.g. by explaining and providing images of considerable changes to your current chassis vs. its predecessor or providing pictures of old vs. newly manufactured chassis (side by side, physically).", "Show picture of existing chassis, provide clarity on, if applicable, required changes and current state of chassis")</f>
        <v>Provide proof of newly manufactured chassis, e.g. by explaining and providing images of considerable changes to your current chassis vs. its predecessor or providing pictures of old vs. newly manufactured chassis (side by side, physically).</v>
      </c>
      <c r="B16" s="648"/>
    </row>
    <row r="17" spans="1:2" ht="12.75" customHeight="1">
      <c r="A17" s="597"/>
      <c r="B17" s="599"/>
    </row>
    <row r="18" spans="1:2" ht="12.75" customHeight="1">
      <c r="A18" s="649"/>
      <c r="B18" s="650"/>
    </row>
    <row r="19" spans="1:2" ht="12.75" customHeight="1">
      <c r="A19" s="95"/>
      <c r="B19" s="96"/>
    </row>
    <row r="20" spans="1:2" ht="12.75" customHeight="1">
      <c r="A20" s="95" t="s">
        <v>197</v>
      </c>
      <c r="B20" s="96"/>
    </row>
    <row r="21" spans="1:2" ht="12.75" customHeight="1">
      <c r="A21" s="95"/>
      <c r="B21" s="96"/>
    </row>
    <row r="22" spans="1:2" ht="12.75" customHeight="1">
      <c r="A22" s="95"/>
      <c r="B22" s="96"/>
    </row>
    <row r="23" spans="1:2" ht="12.75" customHeight="1">
      <c r="A23" s="95"/>
      <c r="B23" s="96"/>
    </row>
    <row r="24" spans="1:2" ht="12.75" customHeight="1">
      <c r="A24" s="95"/>
      <c r="B24" s="96"/>
    </row>
    <row r="25" spans="1:2" ht="12.75" customHeight="1">
      <c r="A25" s="95"/>
      <c r="B25" s="96"/>
    </row>
    <row r="26" spans="1:2" ht="12.75" customHeight="1">
      <c r="A26" s="105"/>
      <c r="B26" s="96"/>
    </row>
    <row r="27" spans="1:2" ht="12.75" customHeight="1">
      <c r="A27" s="95"/>
      <c r="B27" s="96"/>
    </row>
    <row r="28" spans="1:2" ht="12.75" customHeight="1">
      <c r="A28" s="95"/>
      <c r="B28" s="96"/>
    </row>
    <row r="29" spans="1:2" ht="12.75" customHeight="1">
      <c r="A29" s="95"/>
      <c r="B29" s="96"/>
    </row>
    <row r="30" spans="1:2" ht="12.75" customHeight="1">
      <c r="A30" s="95"/>
      <c r="B30" s="96"/>
    </row>
    <row r="31" spans="1:2" ht="12.75" customHeight="1">
      <c r="A31" s="95"/>
      <c r="B31" s="96"/>
    </row>
    <row r="32" spans="1:2" ht="12.75" customHeight="1">
      <c r="A32" s="95"/>
      <c r="B32" s="96"/>
    </row>
    <row r="33" spans="1:2" ht="12.75" customHeight="1">
      <c r="A33" s="95"/>
      <c r="B33" s="96"/>
    </row>
    <row r="34" spans="1:2" ht="12.75" customHeight="1">
      <c r="A34" s="95"/>
      <c r="B34" s="96"/>
    </row>
    <row r="35" spans="1:2" ht="12.75" customHeight="1">
      <c r="A35" s="95"/>
      <c r="B35" s="96"/>
    </row>
    <row r="36" spans="1:2" ht="12.75" customHeight="1">
      <c r="A36" s="95" t="s">
        <v>198</v>
      </c>
      <c r="B36" s="96"/>
    </row>
    <row r="37" spans="1:2" ht="12.75" customHeight="1">
      <c r="A37" s="95"/>
      <c r="B37" s="96"/>
    </row>
    <row r="38" spans="1:2" ht="12.75" customHeight="1">
      <c r="A38" s="95"/>
      <c r="B38" s="96"/>
    </row>
    <row r="39" spans="1:2" ht="12.75" customHeight="1">
      <c r="A39" s="95"/>
      <c r="B39" s="96"/>
    </row>
    <row r="40" spans="1:2" ht="12.75" customHeight="1">
      <c r="A40" s="95"/>
      <c r="B40" s="96"/>
    </row>
    <row r="41" spans="1:2" ht="12.75" customHeight="1">
      <c r="A41" s="95"/>
      <c r="B41" s="96"/>
    </row>
    <row r="42" spans="1:2" ht="12.75" customHeight="1">
      <c r="A42" s="95"/>
      <c r="B42" s="96"/>
    </row>
    <row r="43" spans="1:2" ht="12.75" customHeight="1">
      <c r="A43" s="95"/>
      <c r="B43" s="96"/>
    </row>
    <row r="44" spans="1:2" ht="12.75" customHeight="1">
      <c r="A44" s="105"/>
      <c r="B44" s="96"/>
    </row>
    <row r="45" spans="1:2" ht="12.75" customHeight="1">
      <c r="A45" s="95"/>
      <c r="B45" s="96"/>
    </row>
    <row r="46" spans="1:2" ht="12.75" customHeight="1">
      <c r="A46" s="95"/>
      <c r="B46" s="96"/>
    </row>
    <row r="47" spans="1:2" ht="12.75" customHeight="1">
      <c r="A47" s="95"/>
      <c r="B47" s="96"/>
    </row>
    <row r="48" spans="1:2" ht="12.75" customHeight="1">
      <c r="A48" s="95"/>
      <c r="B48" s="96"/>
    </row>
    <row r="49" spans="1:2" ht="12.75" customHeight="1">
      <c r="A49" s="95"/>
      <c r="B49" s="96"/>
    </row>
    <row r="50" spans="1:2" ht="12.75" customHeight="1">
      <c r="A50" s="95"/>
      <c r="B50" s="96"/>
    </row>
    <row r="51" spans="1:2" ht="12.75" customHeight="1">
      <c r="A51" s="95"/>
      <c r="B51" s="96"/>
    </row>
    <row r="52" spans="1:2" ht="12.75" customHeight="1">
      <c r="A52" s="95" t="s">
        <v>199</v>
      </c>
      <c r="B52" s="96"/>
    </row>
    <row r="53" spans="1:2" ht="12.75" customHeight="1">
      <c r="A53" s="95"/>
      <c r="B53" s="96"/>
    </row>
    <row r="54" spans="1:2" ht="12.75" customHeight="1">
      <c r="A54" s="95"/>
      <c r="B54" s="96"/>
    </row>
    <row r="55" spans="1:2" ht="12.75" customHeight="1">
      <c r="A55" s="95"/>
      <c r="B55" s="96"/>
    </row>
    <row r="56" spans="1:2" ht="12.75" customHeight="1">
      <c r="A56" s="95"/>
      <c r="B56" s="96"/>
    </row>
    <row r="57" spans="1:2" ht="12.75" customHeight="1">
      <c r="A57" s="95"/>
      <c r="B57" s="96"/>
    </row>
    <row r="58" spans="1:2" ht="12.75" customHeight="1">
      <c r="A58" s="95"/>
      <c r="B58" s="96"/>
    </row>
    <row r="59" spans="1:2" ht="12.75" customHeight="1">
      <c r="A59" s="95"/>
      <c r="B59" s="96"/>
    </row>
    <row r="60" spans="1:2" ht="12.75" customHeight="1">
      <c r="A60" s="95"/>
      <c r="B60" s="96"/>
    </row>
    <row r="61" spans="1:2" ht="12.75" customHeight="1">
      <c r="A61" s="95"/>
      <c r="B61" s="96"/>
    </row>
    <row r="62" spans="1:2" ht="12.75" customHeight="1">
      <c r="A62" s="95"/>
      <c r="B62" s="96"/>
    </row>
    <row r="63" spans="1:2" ht="12.75" customHeight="1">
      <c r="A63" s="95"/>
      <c r="B63" s="96"/>
    </row>
    <row r="64" spans="1:2" ht="12.75" customHeight="1">
      <c r="A64" s="95"/>
      <c r="B64" s="96"/>
    </row>
    <row r="65" spans="1:2" ht="12.75" customHeight="1">
      <c r="A65" s="95"/>
      <c r="B65" s="96"/>
    </row>
    <row r="66" spans="1:2" ht="12.75" customHeight="1">
      <c r="A66" s="95"/>
      <c r="B66" s="96"/>
    </row>
    <row r="67" spans="1:2" ht="12.75" customHeight="1">
      <c r="A67" s="95"/>
      <c r="B67" s="96"/>
    </row>
    <row r="68" spans="1:2" ht="12.75" customHeight="1">
      <c r="A68" s="95"/>
      <c r="B68" s="96"/>
    </row>
    <row r="69" spans="1:2" ht="12.75" customHeight="1">
      <c r="A69" s="95"/>
      <c r="B69" s="96"/>
    </row>
    <row r="70" spans="1:2" ht="12.75" customHeight="1">
      <c r="A70" s="95"/>
      <c r="B70" s="96"/>
    </row>
    <row r="71" spans="1:2" ht="12.75" customHeight="1">
      <c r="A71" s="95"/>
      <c r="B71" s="96"/>
    </row>
    <row r="72" spans="1:2" ht="12.75" customHeight="1">
      <c r="A72" s="95"/>
      <c r="B72" s="96"/>
    </row>
    <row r="73" spans="1:2" ht="12.75" customHeight="1">
      <c r="A73" s="95"/>
      <c r="B73" s="96"/>
    </row>
    <row r="74" spans="1:2" ht="12.75" customHeight="1">
      <c r="A74" s="95"/>
      <c r="B74" s="96"/>
    </row>
    <row r="75" spans="1:2" ht="12.75" customHeight="1">
      <c r="A75" s="95"/>
      <c r="B75" s="96"/>
    </row>
    <row r="76" spans="1:2" ht="12.75" customHeight="1">
      <c r="A76" s="95"/>
      <c r="B76" s="96"/>
    </row>
    <row r="77" spans="1:2" ht="12.75" customHeight="1">
      <c r="A77" s="95"/>
      <c r="B77" s="96"/>
    </row>
    <row r="78" spans="1:2" ht="12.75" customHeight="1">
      <c r="A78" s="95"/>
      <c r="B78" s="96"/>
    </row>
    <row r="79" spans="1:2" ht="12.75" customHeight="1">
      <c r="A79" s="95"/>
      <c r="B79" s="96"/>
    </row>
    <row r="80" spans="1:2" ht="12.75" customHeight="1">
      <c r="A80" s="95"/>
      <c r="B80" s="96"/>
    </row>
    <row r="81" spans="1:2" ht="12.75" customHeight="1">
      <c r="A81" s="95"/>
      <c r="B81" s="96"/>
    </row>
    <row r="82" spans="1:2" ht="12.75" customHeight="1">
      <c r="A82" s="95"/>
      <c r="B82" s="96"/>
    </row>
    <row r="83" spans="1:2" ht="12.75" customHeight="1">
      <c r="A83" s="95"/>
      <c r="B83" s="96"/>
    </row>
    <row r="84" spans="1:2" ht="12.75" customHeight="1">
      <c r="A84" s="95"/>
      <c r="B84" s="96"/>
    </row>
    <row r="85" spans="1:2" ht="12.75" customHeight="1">
      <c r="A85" s="95"/>
      <c r="B85" s="96"/>
    </row>
    <row r="86" spans="1:2" ht="12.75" customHeight="1">
      <c r="A86" s="95"/>
      <c r="B86" s="96"/>
    </row>
    <row r="87" spans="1:2" ht="12.75" customHeight="1">
      <c r="A87" s="95"/>
      <c r="B87" s="96"/>
    </row>
    <row r="88" spans="1:2" ht="12.75" customHeight="1">
      <c r="A88" s="95"/>
      <c r="B88" s="96"/>
    </row>
    <row r="89" spans="1:2" ht="12.75" customHeight="1">
      <c r="A89" s="95"/>
      <c r="B89" s="96"/>
    </row>
    <row r="90" spans="1:2" ht="12.75" customHeight="1">
      <c r="A90" s="95"/>
      <c r="B90" s="96"/>
    </row>
    <row r="91" spans="1:2" ht="12.75" customHeight="1">
      <c r="A91" s="95"/>
      <c r="B91" s="96"/>
    </row>
    <row r="92" spans="1:2" ht="12.75" customHeight="1">
      <c r="A92" s="95"/>
      <c r="B92" s="96"/>
    </row>
    <row r="93" spans="1:2" ht="12.75" customHeight="1">
      <c r="A93" s="95"/>
      <c r="B93" s="96"/>
    </row>
    <row r="94" spans="1:2" ht="12.75" customHeight="1">
      <c r="A94" s="95"/>
      <c r="B94" s="96"/>
    </row>
    <row r="95" spans="1:2" ht="12.75" customHeight="1">
      <c r="A95" s="95"/>
      <c r="B95" s="96"/>
    </row>
    <row r="96" spans="1:2" ht="12.75" customHeight="1">
      <c r="A96" s="95"/>
      <c r="B96" s="96"/>
    </row>
    <row r="97" spans="1:2" ht="12.75" customHeight="1">
      <c r="A97" s="95"/>
      <c r="B97" s="96"/>
    </row>
    <row r="98" spans="1:2" ht="12.75" customHeight="1">
      <c r="A98" s="95"/>
      <c r="B98" s="96"/>
    </row>
    <row r="99" spans="1:2" ht="12.75" customHeight="1">
      <c r="A99" s="95"/>
      <c r="B99" s="96"/>
    </row>
    <row r="100" spans="1:2" ht="12.75" customHeight="1">
      <c r="A100" s="95"/>
      <c r="B100" s="96"/>
    </row>
    <row r="101" spans="1:2" ht="12.75" customHeight="1">
      <c r="A101" s="95"/>
      <c r="B101" s="96"/>
    </row>
    <row r="102" spans="1:2" ht="12.75" customHeight="1">
      <c r="A102" s="95"/>
      <c r="B102" s="96"/>
    </row>
    <row r="103" spans="1:2" ht="12.75" customHeight="1">
      <c r="A103" s="95"/>
      <c r="B103" s="96"/>
    </row>
    <row r="104" spans="1:2" ht="12.75" customHeight="1">
      <c r="A104" s="95"/>
      <c r="B104" s="96"/>
    </row>
    <row r="105" spans="1:2" ht="12.75" customHeight="1">
      <c r="A105" s="95"/>
      <c r="B105" s="96"/>
    </row>
    <row r="106" spans="1:2" ht="12.75" customHeight="1">
      <c r="A106" s="95"/>
      <c r="B106" s="96"/>
    </row>
    <row r="107" spans="1:2" ht="12.75" customHeight="1">
      <c r="A107" s="95"/>
      <c r="B107" s="96"/>
    </row>
    <row r="108" spans="1:2" ht="12.75" customHeight="1">
      <c r="A108" s="95"/>
      <c r="B108" s="96"/>
    </row>
    <row r="109" spans="1:2" ht="12.75" customHeight="1">
      <c r="A109" s="95"/>
      <c r="B109" s="96"/>
    </row>
    <row r="110" spans="1:2" ht="12.75" customHeight="1">
      <c r="A110" s="95"/>
      <c r="B110" s="96"/>
    </row>
    <row r="111" spans="1:2" ht="12.75" customHeight="1">
      <c r="A111" s="95"/>
      <c r="B111" s="96"/>
    </row>
    <row r="112" spans="1:2" ht="12.75" customHeight="1">
      <c r="A112" s="95"/>
      <c r="B112" s="96"/>
    </row>
    <row r="113" spans="1:2" ht="12.75" customHeight="1">
      <c r="A113" s="95"/>
      <c r="B113" s="96"/>
    </row>
    <row r="114" spans="1:2" ht="12.75" customHeight="1">
      <c r="A114" s="95"/>
      <c r="B114" s="96"/>
    </row>
    <row r="115" spans="1:2" ht="12.75" customHeight="1">
      <c r="A115" s="95"/>
      <c r="B115" s="96"/>
    </row>
    <row r="116" spans="1:2" ht="12.75" customHeight="1">
      <c r="A116" s="95"/>
      <c r="B116" s="96"/>
    </row>
    <row r="117" spans="1:2" ht="12.75" customHeight="1">
      <c r="A117" s="95"/>
      <c r="B117" s="96"/>
    </row>
    <row r="118" spans="1:2" ht="12.75" customHeight="1">
      <c r="A118" s="95"/>
      <c r="B118" s="96"/>
    </row>
    <row r="119" spans="1:2" ht="12.75" customHeight="1">
      <c r="A119" s="95"/>
      <c r="B119" s="96"/>
    </row>
    <row r="120" spans="1:2" ht="12.75" customHeight="1">
      <c r="A120" s="95"/>
      <c r="B120" s="96"/>
    </row>
    <row r="121" spans="1:2" ht="12.75" customHeight="1">
      <c r="A121" s="95"/>
      <c r="B121" s="96"/>
    </row>
    <row r="122" spans="1:2" ht="12.75" customHeight="1">
      <c r="A122" s="95"/>
      <c r="B122" s="96"/>
    </row>
    <row r="123" spans="1:2" ht="12.75" customHeight="1">
      <c r="A123" s="95"/>
      <c r="B123" s="96"/>
    </row>
    <row r="124" spans="1:2" ht="12.75" customHeight="1">
      <c r="A124" s="95"/>
      <c r="B124" s="96"/>
    </row>
    <row r="125" spans="1:2" ht="12.75" customHeight="1">
      <c r="A125" s="95"/>
      <c r="B125" s="96"/>
    </row>
    <row r="126" spans="1:2" ht="12.75" customHeight="1">
      <c r="A126" s="95"/>
      <c r="B126" s="96"/>
    </row>
    <row r="127" spans="1:2" ht="12.75" customHeight="1">
      <c r="A127" s="95"/>
      <c r="B127" s="96"/>
    </row>
    <row r="128" spans="1:2" ht="12.75" customHeight="1">
      <c r="A128" s="95"/>
      <c r="B128" s="96"/>
    </row>
    <row r="129" spans="1:2" ht="12.75" customHeight="1">
      <c r="A129" s="95"/>
      <c r="B129" s="96"/>
    </row>
    <row r="130" spans="1:2" ht="12.75" customHeight="1">
      <c r="A130" s="95"/>
      <c r="B130" s="96"/>
    </row>
    <row r="131" spans="1:2" ht="12.75" customHeight="1">
      <c r="A131" s="95"/>
      <c r="B131" s="96"/>
    </row>
    <row r="132" spans="1:2" ht="12.75" customHeight="1">
      <c r="A132" s="95"/>
      <c r="B132" s="96"/>
    </row>
    <row r="133" spans="1:2" ht="12.75" customHeight="1">
      <c r="A133" s="95"/>
      <c r="B133" s="96"/>
    </row>
    <row r="134" spans="1:2" ht="12.75" customHeight="1">
      <c r="A134" s="95"/>
      <c r="B134" s="96"/>
    </row>
    <row r="135" spans="1:2" ht="12.75" customHeight="1">
      <c r="A135" s="95"/>
      <c r="B135" s="96"/>
    </row>
    <row r="136" spans="1:2" ht="12.75" customHeight="1">
      <c r="A136" s="95"/>
      <c r="B136" s="96"/>
    </row>
    <row r="137" spans="1:2" ht="12.75" customHeight="1">
      <c r="A137" s="95"/>
      <c r="B137" s="96"/>
    </row>
    <row r="138" spans="1:2" ht="12.75" customHeight="1">
      <c r="A138" s="95"/>
      <c r="B138" s="96"/>
    </row>
    <row r="139" spans="1:2" ht="12.75" customHeight="1">
      <c r="A139" s="95"/>
      <c r="B139" s="96"/>
    </row>
    <row r="140" spans="1:2" ht="12.75" customHeight="1">
      <c r="A140" s="95"/>
      <c r="B140" s="96"/>
    </row>
    <row r="141" spans="1:2" ht="12.75" customHeight="1">
      <c r="A141" s="95"/>
      <c r="B141" s="96"/>
    </row>
    <row r="142" spans="1:2" ht="12.75" customHeight="1">
      <c r="A142" s="95"/>
      <c r="B142" s="96"/>
    </row>
    <row r="143" spans="1:2" ht="12.75" customHeight="1">
      <c r="A143" s="95"/>
      <c r="B143" s="96"/>
    </row>
    <row r="144" spans="1:2" ht="12.75" customHeight="1">
      <c r="A144" s="95"/>
      <c r="B144" s="96"/>
    </row>
    <row r="145" spans="1:2" ht="12.75" customHeight="1">
      <c r="A145" s="95"/>
      <c r="B145" s="96"/>
    </row>
    <row r="146" spans="1:2" ht="12.75" customHeight="1">
      <c r="A146" s="95"/>
      <c r="B146" s="96"/>
    </row>
    <row r="147" spans="1:2" ht="12.75" customHeight="1">
      <c r="A147" s="95"/>
      <c r="B147" s="96"/>
    </row>
    <row r="148" spans="1:2" ht="12.75" customHeight="1">
      <c r="A148" s="95"/>
      <c r="B148" s="96"/>
    </row>
    <row r="149" spans="1:2" ht="12.75" customHeight="1">
      <c r="A149" s="95"/>
      <c r="B149" s="96"/>
    </row>
    <row r="150" spans="1:2" ht="12.75" customHeight="1">
      <c r="A150" s="95"/>
      <c r="B150" s="96"/>
    </row>
    <row r="151" spans="1:2" ht="12.75" customHeight="1">
      <c r="A151" s="95"/>
      <c r="B151" s="96"/>
    </row>
    <row r="152" spans="1:2" ht="12.75" customHeight="1">
      <c r="A152" s="95"/>
      <c r="B152" s="96"/>
    </row>
    <row r="153" spans="1:2" ht="12.75" customHeight="1">
      <c r="A153" s="95"/>
      <c r="B153" s="96"/>
    </row>
    <row r="154" spans="1:2" ht="12.75" customHeight="1">
      <c r="A154" s="95"/>
      <c r="B154" s="96"/>
    </row>
    <row r="155" spans="1:2" ht="12.75" customHeight="1">
      <c r="A155" s="95"/>
      <c r="B155" s="96"/>
    </row>
    <row r="156" spans="1:2" ht="12.75" customHeight="1">
      <c r="A156" s="95"/>
      <c r="B156" s="96"/>
    </row>
    <row r="157" spans="1:2" ht="12.75" customHeight="1">
      <c r="A157" s="95"/>
      <c r="B157" s="96"/>
    </row>
    <row r="158" spans="1:2" ht="12.75" customHeight="1">
      <c r="A158" s="95"/>
      <c r="B158" s="96"/>
    </row>
    <row r="159" spans="1:2" ht="12.75" customHeight="1">
      <c r="A159" s="95"/>
      <c r="B159" s="96"/>
    </row>
    <row r="160" spans="1:2" ht="12.75" customHeight="1">
      <c r="A160" s="95"/>
      <c r="B160" s="96"/>
    </row>
    <row r="161" spans="1:2" ht="12.75" customHeight="1">
      <c r="A161" s="95"/>
      <c r="B161" s="96"/>
    </row>
    <row r="162" spans="1:2" ht="12.75" customHeight="1">
      <c r="A162" s="95"/>
      <c r="B162" s="96"/>
    </row>
    <row r="163" spans="1:2" ht="12.75" customHeight="1">
      <c r="A163" s="95"/>
      <c r="B163" s="96"/>
    </row>
    <row r="164" spans="1:2" ht="12.75" customHeight="1">
      <c r="A164" s="95"/>
      <c r="B164" s="96"/>
    </row>
    <row r="165" spans="1:2" ht="12.75" customHeight="1">
      <c r="A165" s="95"/>
      <c r="B165" s="96"/>
    </row>
    <row r="166" spans="1:2" ht="12.75" customHeight="1">
      <c r="A166" s="95"/>
      <c r="B166" s="96"/>
    </row>
    <row r="167" spans="1:2" ht="12.75" customHeight="1">
      <c r="A167" s="95"/>
      <c r="B167" s="96"/>
    </row>
    <row r="168" spans="1:2" ht="12.75" customHeight="1">
      <c r="A168" s="95"/>
      <c r="B168" s="96"/>
    </row>
    <row r="169" spans="1:2" ht="12.75" customHeight="1">
      <c r="A169" s="95"/>
      <c r="B169" s="96"/>
    </row>
    <row r="170" spans="1:2" ht="12.75" customHeight="1">
      <c r="A170" s="95"/>
      <c r="B170" s="96"/>
    </row>
    <row r="171" spans="1:2" ht="12.75" customHeight="1">
      <c r="A171" s="95"/>
      <c r="B171" s="96"/>
    </row>
    <row r="172" spans="1:2" ht="12.75" customHeight="1">
      <c r="A172" s="95"/>
      <c r="B172" s="96"/>
    </row>
    <row r="173" spans="1:2" ht="12.75" customHeight="1">
      <c r="A173" s="95"/>
      <c r="B173" s="96"/>
    </row>
    <row r="174" spans="1:2" ht="12.75" customHeight="1">
      <c r="A174" s="95"/>
      <c r="B174" s="96"/>
    </row>
    <row r="175" spans="1:2" ht="12.75" customHeight="1">
      <c r="A175" s="95"/>
      <c r="B175" s="96"/>
    </row>
    <row r="176" spans="1:2" ht="12.75" customHeight="1">
      <c r="A176" s="95"/>
      <c r="B176" s="96"/>
    </row>
    <row r="177" spans="1:2" ht="12.75" customHeight="1">
      <c r="A177" s="95"/>
      <c r="B177" s="96"/>
    </row>
    <row r="178" spans="1:2" ht="12.75" customHeight="1">
      <c r="A178" s="95"/>
      <c r="B178" s="96"/>
    </row>
    <row r="179" spans="1:2" ht="12.75" customHeight="1">
      <c r="A179" s="95"/>
      <c r="B179" s="96"/>
    </row>
    <row r="180" spans="1:2" ht="12.75" customHeight="1">
      <c r="A180" s="95"/>
      <c r="B180" s="96"/>
    </row>
    <row r="181" spans="1:2" ht="12.75" customHeight="1">
      <c r="A181" s="95"/>
      <c r="B181" s="96"/>
    </row>
    <row r="182" spans="1:2" ht="12.75" customHeight="1">
      <c r="A182" s="95"/>
      <c r="B182" s="96"/>
    </row>
    <row r="183" spans="1:2" ht="12.75" customHeight="1">
      <c r="A183" s="95"/>
      <c r="B183" s="96"/>
    </row>
    <row r="184" spans="1:2" ht="12.75" customHeight="1">
      <c r="A184" s="95"/>
      <c r="B184" s="96"/>
    </row>
    <row r="185" spans="1:2" ht="12.75" customHeight="1">
      <c r="A185" s="95"/>
      <c r="B185" s="96"/>
    </row>
    <row r="186" spans="1:2" ht="12.75" customHeight="1">
      <c r="A186" s="95"/>
      <c r="B186" s="96"/>
    </row>
    <row r="187" spans="1:2" ht="12.75" customHeight="1">
      <c r="A187" s="95"/>
      <c r="B187" s="96"/>
    </row>
    <row r="188" spans="1:2" ht="12.75" customHeight="1">
      <c r="A188" s="95"/>
      <c r="B188" s="96"/>
    </row>
    <row r="189" spans="1:2" ht="12.75" customHeight="1">
      <c r="A189" s="95"/>
      <c r="B189" s="96"/>
    </row>
    <row r="190" spans="1:2" ht="12.75" customHeight="1">
      <c r="A190" s="95"/>
      <c r="B190" s="96"/>
    </row>
    <row r="191" spans="1:2" ht="12.75" customHeight="1">
      <c r="A191" s="95"/>
      <c r="B191" s="96"/>
    </row>
    <row r="192" spans="1:2" ht="12.75" customHeight="1">
      <c r="A192" s="95"/>
      <c r="B192" s="96"/>
    </row>
    <row r="193" spans="1:2" ht="12.75" customHeight="1">
      <c r="A193" s="95"/>
      <c r="B193" s="96"/>
    </row>
    <row r="194" spans="1:2" ht="12.75" customHeight="1">
      <c r="A194" s="95"/>
      <c r="B194" s="96"/>
    </row>
    <row r="195" spans="1:2" ht="12.75" customHeight="1">
      <c r="A195" s="95"/>
      <c r="B195" s="96"/>
    </row>
    <row r="196" spans="1:2" ht="12.75" customHeight="1">
      <c r="A196" s="95"/>
      <c r="B196" s="96"/>
    </row>
    <row r="197" spans="1:2" ht="12.75" customHeight="1">
      <c r="A197" s="95"/>
      <c r="B197" s="96"/>
    </row>
    <row r="198" spans="1:2" ht="12.75" customHeight="1">
      <c r="A198" s="95"/>
      <c r="B198" s="96"/>
    </row>
    <row r="199" spans="1:2" ht="12.75" customHeight="1">
      <c r="A199" s="95"/>
      <c r="B199" s="96"/>
    </row>
    <row r="200" spans="1:2" ht="12.75" customHeight="1">
      <c r="A200" s="95"/>
      <c r="B200" s="96"/>
    </row>
    <row r="201" spans="1:2" ht="12.75" customHeight="1">
      <c r="A201" s="95"/>
      <c r="B201" s="96"/>
    </row>
    <row r="202" spans="1:2" ht="12.75" customHeight="1">
      <c r="A202" s="95"/>
      <c r="B202" s="96"/>
    </row>
    <row r="203" spans="1:2" ht="12.75" customHeight="1">
      <c r="A203" s="95"/>
      <c r="B203" s="96"/>
    </row>
    <row r="204" spans="1:2" ht="12.75" customHeight="1">
      <c r="A204" s="95"/>
      <c r="B204" s="96"/>
    </row>
    <row r="205" spans="1:2" ht="12.75" customHeight="1">
      <c r="A205" s="95"/>
      <c r="B205" s="96"/>
    </row>
    <row r="206" spans="1:2" ht="12.75" customHeight="1">
      <c r="A206" s="95"/>
      <c r="B206" s="96"/>
    </row>
    <row r="207" spans="1:2" ht="12.75" customHeight="1">
      <c r="A207" s="95"/>
      <c r="B207" s="96"/>
    </row>
    <row r="208" spans="1:2" ht="12.75" customHeight="1">
      <c r="A208" s="95"/>
      <c r="B208" s="96"/>
    </row>
    <row r="209" spans="1:2" ht="12.75" customHeight="1">
      <c r="A209" s="95"/>
      <c r="B209" s="96"/>
    </row>
    <row r="210" spans="1:2" ht="12.75" customHeight="1">
      <c r="A210" s="95"/>
      <c r="B210" s="96"/>
    </row>
    <row r="211" spans="1:2" ht="12.75" customHeight="1">
      <c r="A211" s="95"/>
      <c r="B211" s="96"/>
    </row>
    <row r="212" spans="1:2" ht="12.75" customHeight="1">
      <c r="A212" s="95"/>
      <c r="B212" s="96"/>
    </row>
    <row r="213" spans="1:2" ht="12.75" customHeight="1">
      <c r="A213" s="95"/>
      <c r="B213" s="96"/>
    </row>
    <row r="214" spans="1:2" ht="12.75" customHeight="1">
      <c r="A214" s="95"/>
      <c r="B214" s="96"/>
    </row>
    <row r="215" spans="1:2" ht="12.75" customHeight="1">
      <c r="A215" s="95"/>
      <c r="B215" s="96"/>
    </row>
    <row r="216" spans="1:2" ht="12.75" customHeight="1">
      <c r="A216" s="95"/>
      <c r="B216" s="96"/>
    </row>
    <row r="217" spans="1:2" ht="12.75" customHeight="1">
      <c r="A217" s="95"/>
      <c r="B217" s="96"/>
    </row>
    <row r="218" spans="1:2" ht="12.75" customHeight="1">
      <c r="A218" s="95"/>
      <c r="B218" s="96"/>
    </row>
    <row r="219" spans="1:2" ht="12.75" customHeight="1">
      <c r="A219" s="95"/>
      <c r="B219" s="96"/>
    </row>
    <row r="220" spans="1:2" ht="12.75" customHeight="1">
      <c r="A220" s="95"/>
      <c r="B220" s="96"/>
    </row>
    <row r="221" spans="1:2" ht="12.75" customHeight="1">
      <c r="A221" s="95"/>
      <c r="B221" s="96"/>
    </row>
    <row r="222" spans="1:2" ht="12.75" customHeight="1">
      <c r="A222" s="95"/>
      <c r="B222" s="96"/>
    </row>
    <row r="223" spans="1:2" ht="12.75" customHeight="1">
      <c r="A223" s="95"/>
      <c r="B223" s="96"/>
    </row>
    <row r="224" spans="1:2" ht="12.75" customHeight="1">
      <c r="A224" s="95"/>
      <c r="B224" s="96"/>
    </row>
    <row r="225" spans="1:2" ht="12.75" customHeight="1">
      <c r="A225" s="95"/>
      <c r="B225" s="96"/>
    </row>
    <row r="226" spans="1:2" ht="12.75" customHeight="1">
      <c r="A226" s="95"/>
      <c r="B226" s="96"/>
    </row>
    <row r="227" spans="1:2" ht="12.75" customHeight="1">
      <c r="A227" s="95"/>
      <c r="B227" s="96"/>
    </row>
    <row r="228" spans="1:2" ht="12.75" customHeight="1">
      <c r="A228" s="95"/>
      <c r="B228" s="96"/>
    </row>
    <row r="229" spans="1:2" ht="12.75" customHeight="1">
      <c r="A229" s="95"/>
      <c r="B229" s="96"/>
    </row>
    <row r="230" spans="1:2" ht="12.75" customHeight="1">
      <c r="A230" s="95"/>
      <c r="B230" s="96"/>
    </row>
    <row r="231" spans="1:2" ht="12.75" customHeight="1">
      <c r="A231" s="95"/>
      <c r="B231" s="96"/>
    </row>
    <row r="232" spans="1:2" ht="12.75" customHeight="1">
      <c r="A232" s="95"/>
      <c r="B232" s="96"/>
    </row>
    <row r="233" spans="1:2" ht="12.75" customHeight="1">
      <c r="A233" s="95"/>
      <c r="B233" s="96"/>
    </row>
    <row r="234" spans="1:2" ht="12.75" customHeight="1">
      <c r="A234" s="95"/>
      <c r="B234" s="96"/>
    </row>
    <row r="235" spans="1:2" ht="12.75" customHeight="1">
      <c r="A235" s="95"/>
      <c r="B235" s="96"/>
    </row>
    <row r="236" spans="1:2" ht="12.75" customHeight="1">
      <c r="A236" s="95"/>
      <c r="B236" s="96"/>
    </row>
    <row r="237" spans="1:2" ht="12.75" customHeight="1">
      <c r="A237" s="95"/>
      <c r="B237" s="96"/>
    </row>
    <row r="238" spans="1:2" ht="12.75" customHeight="1">
      <c r="A238" s="95"/>
      <c r="B238" s="96"/>
    </row>
    <row r="239" spans="1:2" ht="12.75" customHeight="1">
      <c r="A239" s="95"/>
      <c r="B239" s="96"/>
    </row>
    <row r="240" spans="1:2" ht="12.75" customHeight="1">
      <c r="A240" s="95"/>
      <c r="B240" s="96"/>
    </row>
    <row r="241" spans="1:2" ht="12.75" customHeight="1">
      <c r="A241" s="95"/>
      <c r="B241" s="96"/>
    </row>
    <row r="242" spans="1:2" ht="12.75" customHeight="1">
      <c r="A242" s="95"/>
      <c r="B242" s="96"/>
    </row>
    <row r="243" spans="1:2" ht="12.75" customHeight="1">
      <c r="A243" s="95"/>
      <c r="B243" s="96"/>
    </row>
    <row r="244" spans="1:2" ht="12.75" customHeight="1">
      <c r="A244" s="95"/>
      <c r="B244" s="96"/>
    </row>
    <row r="245" spans="1:2" ht="12.75" customHeight="1">
      <c r="A245" s="95"/>
      <c r="B245" s="96"/>
    </row>
    <row r="246" spans="1:2" ht="12.75" customHeight="1">
      <c r="A246" s="95"/>
      <c r="B246" s="96"/>
    </row>
    <row r="247" spans="1:2" ht="12.75" customHeight="1">
      <c r="A247" s="95"/>
      <c r="B247" s="96"/>
    </row>
    <row r="248" spans="1:2" ht="12.75" customHeight="1">
      <c r="A248" s="95"/>
      <c r="B248" s="96"/>
    </row>
    <row r="249" spans="1:2" ht="12.75" customHeight="1">
      <c r="A249" s="95"/>
      <c r="B249" s="96"/>
    </row>
    <row r="250" spans="1:2" ht="12.75" customHeight="1">
      <c r="A250" s="95"/>
      <c r="B250" s="96"/>
    </row>
    <row r="251" spans="1:2" ht="12.75" customHeight="1">
      <c r="A251" s="95"/>
      <c r="B251" s="96"/>
    </row>
    <row r="252" spans="1:2" ht="12.75" customHeight="1">
      <c r="A252" s="95"/>
      <c r="B252" s="96"/>
    </row>
    <row r="253" spans="1:2" ht="12.75" customHeight="1">
      <c r="A253" s="95"/>
      <c r="B253" s="96"/>
    </row>
    <row r="254" spans="1:2" ht="12.75" customHeight="1">
      <c r="A254" s="95"/>
      <c r="B254" s="96"/>
    </row>
    <row r="255" spans="1:2" ht="12.75" customHeight="1">
      <c r="A255" s="95"/>
      <c r="B255" s="96"/>
    </row>
    <row r="256" spans="1:2" ht="12.75" customHeight="1">
      <c r="A256" s="95"/>
      <c r="B256" s="96"/>
    </row>
    <row r="257" spans="1:2" ht="12.75" customHeight="1">
      <c r="A257" s="95"/>
      <c r="B257" s="96"/>
    </row>
    <row r="258" spans="1:2" ht="12.75" customHeight="1">
      <c r="A258" s="95"/>
      <c r="B258" s="96"/>
    </row>
    <row r="259" spans="1:2" ht="12.75" customHeight="1">
      <c r="A259" s="95"/>
      <c r="B259" s="96"/>
    </row>
    <row r="260" spans="1:2" ht="12.75" customHeight="1">
      <c r="A260" s="95"/>
      <c r="B260" s="96"/>
    </row>
    <row r="261" spans="1:2" ht="12.75" customHeight="1">
      <c r="A261" s="95"/>
      <c r="B261" s="96"/>
    </row>
    <row r="262" spans="1:2" ht="12.75" customHeight="1">
      <c r="A262" s="95"/>
      <c r="B262" s="96"/>
    </row>
    <row r="263" spans="1:2" ht="12.75" customHeight="1">
      <c r="A263" s="95"/>
      <c r="B263" s="96"/>
    </row>
    <row r="264" spans="1:2" ht="12.75" customHeight="1">
      <c r="A264" s="95"/>
      <c r="B264" s="96"/>
    </row>
    <row r="265" spans="1:2" ht="12.75" customHeight="1">
      <c r="A265" s="95"/>
      <c r="B265" s="96"/>
    </row>
    <row r="266" spans="1:2" ht="12.75" customHeight="1">
      <c r="A266" s="95"/>
      <c r="B266" s="96"/>
    </row>
    <row r="267" spans="1:2" ht="12.75" customHeight="1">
      <c r="A267" s="95"/>
      <c r="B267" s="96"/>
    </row>
    <row r="268" spans="1:2" ht="12.75" customHeight="1">
      <c r="A268" s="95"/>
      <c r="B268" s="96"/>
    </row>
    <row r="269" spans="1:2" ht="12.75" customHeight="1">
      <c r="A269" s="95"/>
      <c r="B269" s="96"/>
    </row>
    <row r="270" spans="1:2" ht="12.75" customHeight="1">
      <c r="A270" s="95"/>
      <c r="B270" s="96"/>
    </row>
    <row r="271" spans="1:2" ht="12.75" customHeight="1">
      <c r="A271" s="95"/>
      <c r="B271" s="96"/>
    </row>
    <row r="272" spans="1:2" ht="12.75" customHeight="1">
      <c r="A272" s="95"/>
      <c r="B272" s="96"/>
    </row>
    <row r="273" spans="1:2" ht="12.75" customHeight="1">
      <c r="A273" s="95"/>
      <c r="B273" s="96"/>
    </row>
    <row r="274" spans="1:2" ht="12.75" customHeight="1">
      <c r="A274" s="95"/>
      <c r="B274" s="96"/>
    </row>
    <row r="275" spans="1:2" ht="12.75" customHeight="1">
      <c r="A275" s="95"/>
      <c r="B275" s="96"/>
    </row>
    <row r="276" spans="1:2" ht="12.75" customHeight="1">
      <c r="A276" s="95"/>
      <c r="B276" s="96"/>
    </row>
    <row r="277" spans="1:2" ht="12.75" customHeight="1">
      <c r="A277" s="95"/>
      <c r="B277" s="96"/>
    </row>
    <row r="278" spans="1:2" ht="12.75" customHeight="1">
      <c r="A278" s="95"/>
      <c r="B278" s="96"/>
    </row>
    <row r="279" spans="1:2" ht="12.75" customHeight="1">
      <c r="A279" s="95"/>
      <c r="B279" s="96"/>
    </row>
    <row r="280" spans="1:2" ht="12.75" customHeight="1">
      <c r="A280" s="95"/>
      <c r="B280" s="96"/>
    </row>
    <row r="281" spans="1:2" ht="12.75" customHeight="1">
      <c r="A281" s="95"/>
      <c r="B281" s="96"/>
    </row>
    <row r="282" spans="1:2" ht="12.75" customHeight="1">
      <c r="A282" s="95"/>
      <c r="B282" s="96"/>
    </row>
    <row r="283" spans="1:2" ht="12.75" customHeight="1">
      <c r="A283" s="95"/>
      <c r="B283" s="96"/>
    </row>
    <row r="284" spans="1:2" ht="12.75" customHeight="1">
      <c r="A284" s="95"/>
      <c r="B284" s="96"/>
    </row>
    <row r="285" spans="1:2" ht="12.75" customHeight="1">
      <c r="A285" s="95"/>
      <c r="B285" s="96"/>
    </row>
    <row r="286" spans="1:2" ht="12.75" customHeight="1">
      <c r="A286" s="95"/>
      <c r="B286" s="96"/>
    </row>
    <row r="287" spans="1:2" ht="12.75" customHeight="1">
      <c r="A287" s="95"/>
      <c r="B287" s="96"/>
    </row>
    <row r="288" spans="1:2" ht="12.75" customHeight="1">
      <c r="A288" s="95"/>
      <c r="B288" s="96"/>
    </row>
    <row r="289" spans="1:2" ht="12.75" customHeight="1">
      <c r="A289" s="95"/>
      <c r="B289" s="96"/>
    </row>
    <row r="290" spans="1:2" ht="12.75" customHeight="1">
      <c r="A290" s="95"/>
      <c r="B290" s="96"/>
    </row>
    <row r="291" spans="1:2" ht="12.75" customHeight="1">
      <c r="A291" s="95"/>
      <c r="B291" s="96"/>
    </row>
    <row r="292" spans="1:2" ht="12.75" customHeight="1">
      <c r="A292" s="95"/>
      <c r="B292" s="96"/>
    </row>
    <row r="293" spans="1:2" ht="12.75" customHeight="1">
      <c r="A293" s="95"/>
      <c r="B293" s="96"/>
    </row>
    <row r="294" spans="1:2" ht="12.75" customHeight="1">
      <c r="A294" s="95"/>
      <c r="B294" s="96"/>
    </row>
    <row r="295" spans="1:2" ht="12.75" customHeight="1">
      <c r="A295" s="95"/>
      <c r="B295" s="96"/>
    </row>
    <row r="296" spans="1:2" ht="12.75" customHeight="1">
      <c r="A296" s="95"/>
      <c r="B296" s="96"/>
    </row>
    <row r="297" spans="1:2" ht="12.75" customHeight="1">
      <c r="A297" s="95"/>
      <c r="B297" s="96"/>
    </row>
    <row r="298" spans="1:2" ht="12.75" customHeight="1">
      <c r="A298" s="95"/>
      <c r="B298" s="96"/>
    </row>
    <row r="299" spans="1:2" ht="12.75" customHeight="1">
      <c r="A299" s="95"/>
      <c r="B299" s="96"/>
    </row>
    <row r="300" spans="1:2" ht="12.75" customHeight="1">
      <c r="A300" s="95"/>
      <c r="B300" s="96"/>
    </row>
    <row r="301" spans="1:2" ht="12.75" customHeight="1">
      <c r="A301" s="95"/>
      <c r="B301" s="96"/>
    </row>
    <row r="302" spans="1:2" ht="12.75" customHeight="1">
      <c r="A302" s="95"/>
      <c r="B302" s="96"/>
    </row>
    <row r="303" spans="1:2" ht="12.75" customHeight="1">
      <c r="A303" s="95"/>
      <c r="B303" s="96"/>
    </row>
    <row r="304" spans="1:2" ht="12.75" customHeight="1">
      <c r="A304" s="95"/>
      <c r="B304" s="96"/>
    </row>
    <row r="305" spans="1:2" ht="12.75" customHeight="1">
      <c r="A305" s="95"/>
      <c r="B305" s="96"/>
    </row>
    <row r="306" spans="1:2" ht="12.75" customHeight="1">
      <c r="A306" s="95"/>
      <c r="B306" s="96"/>
    </row>
    <row r="307" spans="1:2" ht="12.75" customHeight="1">
      <c r="A307" s="95"/>
      <c r="B307" s="96"/>
    </row>
    <row r="308" spans="1:2" ht="12.75" customHeight="1">
      <c r="A308" s="95"/>
      <c r="B308" s="96"/>
    </row>
    <row r="309" spans="1:2" ht="12.75" customHeight="1">
      <c r="A309" s="95"/>
      <c r="B309" s="96"/>
    </row>
    <row r="310" spans="1:2" ht="12.75" customHeight="1">
      <c r="A310" s="95"/>
      <c r="B310" s="96"/>
    </row>
    <row r="311" spans="1:2" ht="12.75" customHeight="1">
      <c r="A311" s="95"/>
      <c r="B311" s="96"/>
    </row>
    <row r="312" spans="1:2" ht="12.75" customHeight="1">
      <c r="A312" s="95"/>
      <c r="B312" s="96"/>
    </row>
    <row r="313" spans="1:2" ht="12.75" customHeight="1">
      <c r="A313" s="95"/>
      <c r="B313" s="96"/>
    </row>
    <row r="314" spans="1:2" ht="12.75" customHeight="1">
      <c r="A314" s="95"/>
      <c r="B314" s="96"/>
    </row>
    <row r="315" spans="1:2" ht="12.75" customHeight="1">
      <c r="A315" s="95"/>
      <c r="B315" s="96"/>
    </row>
    <row r="316" spans="1:2" ht="12.75" customHeight="1">
      <c r="A316" s="95"/>
      <c r="B316" s="96"/>
    </row>
    <row r="317" spans="1:2" ht="12.75" customHeight="1">
      <c r="A317" s="95"/>
      <c r="B317" s="96"/>
    </row>
    <row r="318" spans="1:2" ht="12.75" customHeight="1">
      <c r="A318" s="95"/>
      <c r="B318" s="96"/>
    </row>
    <row r="319" spans="1:2" ht="12.75" customHeight="1">
      <c r="A319" s="95"/>
      <c r="B319" s="96"/>
    </row>
    <row r="320" spans="1:2" ht="12.75" customHeight="1">
      <c r="A320" s="95"/>
      <c r="B320" s="96"/>
    </row>
    <row r="321" spans="1:2" ht="12.75" customHeight="1">
      <c r="A321" s="95"/>
      <c r="B321" s="96"/>
    </row>
    <row r="322" spans="1:2" ht="12.75" customHeight="1">
      <c r="A322" s="95"/>
      <c r="B322" s="96"/>
    </row>
    <row r="323" spans="1:2" ht="12.75" customHeight="1">
      <c r="A323" s="95"/>
      <c r="B323" s="96"/>
    </row>
    <row r="324" spans="1:2" ht="12.75" customHeight="1">
      <c r="A324" s="95"/>
      <c r="B324" s="96"/>
    </row>
    <row r="325" spans="1:2" ht="12.75" customHeight="1">
      <c r="A325" s="95"/>
      <c r="B325" s="96"/>
    </row>
    <row r="326" spans="1:2" ht="12.75" customHeight="1">
      <c r="A326" s="95"/>
      <c r="B326" s="96"/>
    </row>
    <row r="327" spans="1:2" ht="12.75" customHeight="1">
      <c r="A327" s="95"/>
      <c r="B327" s="96"/>
    </row>
    <row r="328" spans="1:2" ht="12.75" customHeight="1">
      <c r="A328" s="95"/>
      <c r="B328" s="96"/>
    </row>
    <row r="329" spans="1:2" ht="12.75" customHeight="1">
      <c r="A329" s="95"/>
      <c r="B329" s="96"/>
    </row>
    <row r="330" spans="1:2" ht="12.75" customHeight="1">
      <c r="A330" s="95"/>
      <c r="B330" s="96"/>
    </row>
    <row r="331" spans="1:2" ht="12.75" customHeight="1">
      <c r="A331" s="95"/>
      <c r="B331" s="96"/>
    </row>
    <row r="332" spans="1:2" ht="12.75" customHeight="1">
      <c r="A332" s="95"/>
      <c r="B332" s="96"/>
    </row>
    <row r="333" spans="1:2" ht="12.75" customHeight="1">
      <c r="A333" s="95"/>
      <c r="B333" s="96"/>
    </row>
    <row r="334" spans="1:2" ht="12.75" customHeight="1">
      <c r="A334" s="95"/>
      <c r="B334" s="96"/>
    </row>
    <row r="335" spans="1:2" ht="12.75" customHeight="1">
      <c r="A335" s="95"/>
      <c r="B335" s="96"/>
    </row>
    <row r="336" spans="1:2" ht="12.75" customHeight="1">
      <c r="A336" s="95"/>
      <c r="B336" s="96"/>
    </row>
    <row r="337" spans="1:2" ht="12.75" customHeight="1">
      <c r="A337" s="95"/>
      <c r="B337" s="96"/>
    </row>
    <row r="338" spans="1:2" ht="12.75" customHeight="1">
      <c r="A338" s="95"/>
      <c r="B338" s="96"/>
    </row>
    <row r="339" spans="1:2" ht="12.75" customHeight="1">
      <c r="A339" s="95"/>
      <c r="B339" s="96"/>
    </row>
    <row r="340" spans="1:2" ht="12.75" customHeight="1">
      <c r="A340" s="95"/>
      <c r="B340" s="96"/>
    </row>
    <row r="341" spans="1:2" ht="12.75" customHeight="1">
      <c r="A341" s="95"/>
      <c r="B341" s="96"/>
    </row>
    <row r="342" spans="1:2" ht="12.75" customHeight="1">
      <c r="A342" s="95"/>
      <c r="B342" s="96"/>
    </row>
    <row r="343" spans="1:2" ht="12.75" customHeight="1">
      <c r="A343" s="95"/>
      <c r="B343" s="96"/>
    </row>
    <row r="344" spans="1:2" ht="12.75" customHeight="1">
      <c r="A344" s="95"/>
      <c r="B344" s="96"/>
    </row>
    <row r="345" spans="1:2" ht="12.75" customHeight="1">
      <c r="A345" s="95"/>
      <c r="B345" s="96"/>
    </row>
    <row r="346" spans="1:2" ht="12.75" customHeight="1">
      <c r="A346" s="95"/>
      <c r="B346" s="96"/>
    </row>
    <row r="347" spans="1:2" ht="12.75" customHeight="1">
      <c r="A347" s="95"/>
      <c r="B347" s="96"/>
    </row>
    <row r="348" spans="1:2" ht="12.75" customHeight="1">
      <c r="A348" s="95"/>
      <c r="B348" s="96"/>
    </row>
    <row r="349" spans="1:2" ht="12.75" customHeight="1">
      <c r="A349" s="95"/>
      <c r="B349" s="96"/>
    </row>
    <row r="350" spans="1:2" ht="12.75" customHeight="1">
      <c r="A350" s="95"/>
      <c r="B350" s="96"/>
    </row>
    <row r="351" spans="1:2" ht="12.75" customHeight="1">
      <c r="A351" s="95"/>
      <c r="B351" s="96"/>
    </row>
    <row r="352" spans="1:2" ht="12.75" customHeight="1">
      <c r="A352" s="95"/>
      <c r="B352" s="96"/>
    </row>
    <row r="353" spans="1:2" ht="12.75" customHeight="1">
      <c r="A353" s="95"/>
      <c r="B353" s="96"/>
    </row>
    <row r="354" spans="1:2" ht="12.75" customHeight="1">
      <c r="A354" s="95"/>
      <c r="B354" s="96"/>
    </row>
    <row r="355" spans="1:2" ht="12.75" customHeight="1">
      <c r="A355" s="95"/>
      <c r="B355" s="96"/>
    </row>
    <row r="356" spans="1:2" ht="12.75" customHeight="1">
      <c r="A356" s="95"/>
      <c r="B356" s="96"/>
    </row>
    <row r="357" spans="1:2" ht="12.75" customHeight="1">
      <c r="A357" s="95"/>
      <c r="B357" s="96"/>
    </row>
    <row r="358" spans="1:2" ht="12.75" customHeight="1">
      <c r="A358" s="95"/>
      <c r="B358" s="96"/>
    </row>
    <row r="359" spans="1:2" ht="12.75" customHeight="1">
      <c r="A359" s="95"/>
      <c r="B359" s="96"/>
    </row>
    <row r="360" spans="1:2" ht="12.75" customHeight="1">
      <c r="A360" s="95"/>
      <c r="B360" s="96"/>
    </row>
    <row r="361" spans="1:2" ht="12.75" customHeight="1">
      <c r="A361" s="95"/>
      <c r="B361" s="96"/>
    </row>
    <row r="362" spans="1:2" ht="12.75" customHeight="1">
      <c r="A362" s="95"/>
      <c r="B362" s="96"/>
    </row>
    <row r="363" spans="1:2" ht="12.75" customHeight="1">
      <c r="A363" s="95"/>
      <c r="B363" s="96"/>
    </row>
    <row r="364" spans="1:2" ht="12.75" customHeight="1">
      <c r="A364" s="95"/>
      <c r="B364" s="96"/>
    </row>
    <row r="365" spans="1:2" ht="12.75" customHeight="1">
      <c r="A365" s="95"/>
      <c r="B365" s="96"/>
    </row>
    <row r="366" spans="1:2" ht="12.75" customHeight="1">
      <c r="A366" s="95"/>
      <c r="B366" s="96"/>
    </row>
    <row r="367" spans="1:2" ht="12.75" customHeight="1">
      <c r="A367" s="95"/>
      <c r="B367" s="96"/>
    </row>
    <row r="368" spans="1:2" ht="12.75" customHeight="1">
      <c r="A368" s="95"/>
      <c r="B368" s="96"/>
    </row>
    <row r="369" spans="1:2" ht="12.75" customHeight="1">
      <c r="A369" s="95"/>
      <c r="B369" s="96"/>
    </row>
    <row r="370" spans="1:2" ht="12.75" customHeight="1">
      <c r="A370" s="95"/>
      <c r="B370" s="96"/>
    </row>
    <row r="371" spans="1:2" ht="12.75" customHeight="1">
      <c r="A371" s="95"/>
      <c r="B371" s="96"/>
    </row>
    <row r="372" spans="1:2" ht="12.75" customHeight="1">
      <c r="A372" s="95"/>
      <c r="B372" s="96"/>
    </row>
    <row r="373" spans="1:2" ht="12.75" customHeight="1">
      <c r="A373" s="95"/>
      <c r="B373" s="96"/>
    </row>
    <row r="374" spans="1:2" ht="12.75" customHeight="1">
      <c r="A374" s="95"/>
      <c r="B374" s="96"/>
    </row>
    <row r="375" spans="1:2" ht="12.75" customHeight="1">
      <c r="A375" s="95"/>
      <c r="B375" s="96"/>
    </row>
    <row r="376" spans="1:2" ht="12.75" customHeight="1">
      <c r="A376" s="95"/>
      <c r="B376" s="96"/>
    </row>
    <row r="377" spans="1:2" ht="12.75" customHeight="1">
      <c r="A377" s="95"/>
      <c r="B377" s="96"/>
    </row>
    <row r="378" spans="1:2" ht="12.75" customHeight="1">
      <c r="A378" s="95"/>
      <c r="B378" s="96"/>
    </row>
    <row r="379" spans="1:2" ht="12.75" customHeight="1">
      <c r="A379" s="95"/>
      <c r="B379" s="96"/>
    </row>
    <row r="380" spans="1:2" ht="12.75" customHeight="1">
      <c r="A380" s="95"/>
      <c r="B380" s="96"/>
    </row>
    <row r="381" spans="1:2" ht="12.75" customHeight="1">
      <c r="A381" s="95"/>
      <c r="B381" s="96"/>
    </row>
    <row r="382" spans="1:2" ht="12.75" customHeight="1">
      <c r="A382" s="95"/>
      <c r="B382" s="96"/>
    </row>
    <row r="383" spans="1:2" ht="12.75" customHeight="1">
      <c r="A383" s="95"/>
      <c r="B383" s="96"/>
    </row>
    <row r="384" spans="1:2" ht="12.75" customHeight="1">
      <c r="A384" s="95"/>
      <c r="B384" s="96"/>
    </row>
    <row r="385" spans="1:2" ht="12.75" customHeight="1">
      <c r="A385" s="95"/>
      <c r="B385" s="96"/>
    </row>
    <row r="386" spans="1:2" ht="12.75" customHeight="1">
      <c r="A386" s="95"/>
      <c r="B386" s="96"/>
    </row>
    <row r="387" spans="1:2" ht="12.75" customHeight="1">
      <c r="A387" s="95"/>
      <c r="B387" s="96"/>
    </row>
    <row r="388" spans="1:2" ht="12.75" customHeight="1">
      <c r="A388" s="95"/>
      <c r="B388" s="96"/>
    </row>
    <row r="389" spans="1:2" ht="12.75" customHeight="1">
      <c r="A389" s="95"/>
      <c r="B389" s="96"/>
    </row>
    <row r="390" spans="1:2" ht="12.75" customHeight="1">
      <c r="A390" s="95"/>
      <c r="B390" s="96"/>
    </row>
    <row r="391" spans="1:2" ht="12.75" customHeight="1">
      <c r="A391" s="95"/>
      <c r="B391" s="96"/>
    </row>
    <row r="392" spans="1:2" ht="12.75" customHeight="1">
      <c r="A392" s="95"/>
      <c r="B392" s="96"/>
    </row>
    <row r="393" spans="1:2" ht="12.75" customHeight="1">
      <c r="A393" s="95"/>
      <c r="B393" s="96"/>
    </row>
    <row r="394" spans="1:2" ht="12.75" customHeight="1">
      <c r="A394" s="95"/>
      <c r="B394" s="96"/>
    </row>
    <row r="395" spans="1:2" ht="12.75" customHeight="1">
      <c r="A395" s="95"/>
      <c r="B395" s="96"/>
    </row>
    <row r="396" spans="1:2" ht="12.75" customHeight="1">
      <c r="A396" s="95"/>
      <c r="B396" s="96"/>
    </row>
    <row r="397" spans="1:2" ht="12.75" customHeight="1">
      <c r="A397" s="95"/>
      <c r="B397" s="96"/>
    </row>
    <row r="398" spans="1:2" ht="12.75" customHeight="1">
      <c r="A398" s="95"/>
      <c r="B398" s="96"/>
    </row>
    <row r="399" spans="1:2" ht="12.75" customHeight="1">
      <c r="A399" s="95"/>
      <c r="B399" s="96"/>
    </row>
    <row r="400" spans="1:2" ht="12.75" customHeight="1">
      <c r="A400" s="95"/>
      <c r="B400" s="96"/>
    </row>
    <row r="401" spans="1:2" ht="12.75" customHeight="1">
      <c r="A401" s="95"/>
      <c r="B401" s="96"/>
    </row>
    <row r="402" spans="1:2" ht="12.75" customHeight="1">
      <c r="A402" s="95"/>
      <c r="B402" s="96"/>
    </row>
    <row r="403" spans="1:2" ht="12.75" customHeight="1">
      <c r="A403" s="95"/>
      <c r="B403" s="96"/>
    </row>
    <row r="404" spans="1:2" ht="12.75" customHeight="1">
      <c r="A404" s="95"/>
      <c r="B404" s="96"/>
    </row>
    <row r="405" spans="1:2" ht="12.75" customHeight="1">
      <c r="A405" s="95"/>
      <c r="B405" s="96"/>
    </row>
    <row r="406" spans="1:2" ht="12.75" customHeight="1">
      <c r="A406" s="95"/>
      <c r="B406" s="96"/>
    </row>
    <row r="407" spans="1:2" ht="12.75" customHeight="1">
      <c r="A407" s="95"/>
      <c r="B407" s="96"/>
    </row>
    <row r="408" spans="1:2" ht="12.75" customHeight="1">
      <c r="A408" s="95"/>
      <c r="B408" s="96"/>
    </row>
    <row r="409" spans="1:2" ht="12.75" customHeight="1">
      <c r="A409" s="95"/>
      <c r="B409" s="96"/>
    </row>
    <row r="410" spans="1:2" ht="12.75" customHeight="1">
      <c r="A410" s="95"/>
      <c r="B410" s="96"/>
    </row>
    <row r="411" spans="1:2" ht="12.75" customHeight="1">
      <c r="A411" s="95"/>
      <c r="B411" s="96"/>
    </row>
    <row r="412" spans="1:2" ht="12.75" customHeight="1">
      <c r="A412" s="95"/>
      <c r="B412" s="96"/>
    </row>
    <row r="413" spans="1:2" ht="12.75" customHeight="1">
      <c r="A413" s="95"/>
      <c r="B413" s="96"/>
    </row>
    <row r="414" spans="1:2" ht="12.75" customHeight="1">
      <c r="A414" s="95"/>
      <c r="B414" s="96"/>
    </row>
    <row r="415" spans="1:2" ht="12.75" customHeight="1">
      <c r="A415" s="95"/>
      <c r="B415" s="96"/>
    </row>
    <row r="416" spans="1:2" ht="12.75" customHeight="1">
      <c r="A416" s="95"/>
      <c r="B416" s="96"/>
    </row>
    <row r="417" spans="1:2" ht="12.75" customHeight="1">
      <c r="A417" s="95"/>
      <c r="B417" s="96"/>
    </row>
    <row r="418" spans="1:2" ht="12.75" customHeight="1">
      <c r="A418" s="95"/>
      <c r="B418" s="96"/>
    </row>
    <row r="419" spans="1:2" ht="12.75" customHeight="1">
      <c r="A419" s="95"/>
      <c r="B419" s="96"/>
    </row>
    <row r="420" spans="1:2" ht="12.75" customHeight="1">
      <c r="A420" s="95"/>
      <c r="B420" s="96"/>
    </row>
    <row r="421" spans="1:2" ht="12.75" customHeight="1">
      <c r="A421" s="95"/>
      <c r="B421" s="96"/>
    </row>
    <row r="422" spans="1:2" ht="12.75" customHeight="1">
      <c r="A422" s="95"/>
      <c r="B422" s="96"/>
    </row>
    <row r="423" spans="1:2" ht="12.75" customHeight="1">
      <c r="A423" s="95"/>
      <c r="B423" s="96"/>
    </row>
    <row r="424" spans="1:2" ht="12.75" customHeight="1">
      <c r="A424" s="95"/>
      <c r="B424" s="96"/>
    </row>
    <row r="425" spans="1:2" ht="12.75" customHeight="1">
      <c r="A425" s="95"/>
      <c r="B425" s="96"/>
    </row>
    <row r="426" spans="1:2" ht="12.75" customHeight="1">
      <c r="A426" s="95"/>
      <c r="B426" s="96"/>
    </row>
    <row r="427" spans="1:2" ht="12.75" customHeight="1">
      <c r="A427" s="95"/>
      <c r="B427" s="96"/>
    </row>
    <row r="428" spans="1:2" ht="12.75" customHeight="1">
      <c r="A428" s="95"/>
      <c r="B428" s="96"/>
    </row>
    <row r="429" spans="1:2" ht="12.75" customHeight="1">
      <c r="A429" s="95"/>
      <c r="B429" s="96"/>
    </row>
    <row r="430" spans="1:2" ht="12.75" customHeight="1">
      <c r="A430" s="95"/>
      <c r="B430" s="96"/>
    </row>
    <row r="431" spans="1:2" ht="12.75" customHeight="1">
      <c r="A431" s="95"/>
      <c r="B431" s="96"/>
    </row>
    <row r="432" spans="1:2" ht="12.75" customHeight="1">
      <c r="A432" s="95"/>
      <c r="B432" s="96"/>
    </row>
    <row r="433" spans="1:2" ht="12.75" customHeight="1">
      <c r="A433" s="95"/>
      <c r="B433" s="96"/>
    </row>
    <row r="434" spans="1:2" ht="12.75" customHeight="1">
      <c r="A434" s="95"/>
      <c r="B434" s="96"/>
    </row>
    <row r="435" spans="1:2" ht="12.75" customHeight="1">
      <c r="A435" s="95"/>
      <c r="B435" s="96"/>
    </row>
    <row r="436" spans="1:2" ht="12.75" customHeight="1">
      <c r="A436" s="95"/>
      <c r="B436" s="96"/>
    </row>
    <row r="437" spans="1:2" ht="12.75" customHeight="1">
      <c r="A437" s="95"/>
      <c r="B437" s="96"/>
    </row>
    <row r="438" spans="1:2" ht="12.75" customHeight="1">
      <c r="A438" s="95"/>
      <c r="B438" s="96"/>
    </row>
    <row r="439" spans="1:2" ht="12.75" customHeight="1">
      <c r="A439" s="95"/>
      <c r="B439" s="96"/>
    </row>
    <row r="440" spans="1:2" ht="12.75" customHeight="1">
      <c r="A440" s="95"/>
      <c r="B440" s="96"/>
    </row>
    <row r="441" spans="1:2" ht="12.75" customHeight="1">
      <c r="A441" s="95"/>
      <c r="B441" s="96"/>
    </row>
    <row r="442" spans="1:2" ht="12.75" customHeight="1">
      <c r="A442" s="95"/>
      <c r="B442" s="96"/>
    </row>
    <row r="443" spans="1:2" ht="12.75" customHeight="1">
      <c r="A443" s="95"/>
      <c r="B443" s="96"/>
    </row>
    <row r="444" spans="1:2" ht="12.75" customHeight="1">
      <c r="A444" s="95"/>
      <c r="B444" s="96"/>
    </row>
    <row r="445" spans="1:2" ht="12.75" customHeight="1">
      <c r="A445" s="95"/>
      <c r="B445" s="96"/>
    </row>
    <row r="446" spans="1:2" ht="12.75" customHeight="1">
      <c r="A446" s="95"/>
      <c r="B446" s="96"/>
    </row>
    <row r="447" spans="1:2" ht="12.75" customHeight="1">
      <c r="A447" s="95"/>
      <c r="B447" s="96"/>
    </row>
    <row r="448" spans="1:2" ht="12.75" customHeight="1">
      <c r="A448" s="95"/>
      <c r="B448" s="96"/>
    </row>
    <row r="449" spans="1:2" ht="12.75" customHeight="1">
      <c r="A449" s="95"/>
      <c r="B449" s="96"/>
    </row>
    <row r="450" spans="1:2" ht="12.75" customHeight="1">
      <c r="A450" s="95"/>
      <c r="B450" s="96"/>
    </row>
    <row r="451" spans="1:2" ht="12.75" customHeight="1">
      <c r="A451" s="95"/>
      <c r="B451" s="96"/>
    </row>
    <row r="452" spans="1:2" ht="12.75" customHeight="1">
      <c r="A452" s="95"/>
      <c r="B452" s="96"/>
    </row>
    <row r="453" spans="1:2" ht="12.75" customHeight="1">
      <c r="A453" s="95"/>
      <c r="B453" s="96"/>
    </row>
    <row r="454" spans="1:2" ht="12.75" customHeight="1">
      <c r="A454" s="95"/>
      <c r="B454" s="96"/>
    </row>
    <row r="455" spans="1:2" ht="12.75" customHeight="1">
      <c r="A455" s="95"/>
      <c r="B455" s="96"/>
    </row>
    <row r="456" spans="1:2" ht="12.75" customHeight="1">
      <c r="A456" s="95"/>
      <c r="B456" s="96"/>
    </row>
    <row r="457" spans="1:2" ht="12.75" customHeight="1">
      <c r="A457" s="95"/>
      <c r="B457" s="96"/>
    </row>
    <row r="458" spans="1:2" ht="12.75" customHeight="1">
      <c r="A458" s="95"/>
      <c r="B458" s="96"/>
    </row>
    <row r="459" spans="1:2" ht="12.75" customHeight="1">
      <c r="A459" s="95"/>
      <c r="B459" s="96"/>
    </row>
    <row r="460" spans="1:2" ht="12.75" customHeight="1">
      <c r="A460" s="95"/>
      <c r="B460" s="96"/>
    </row>
    <row r="461" spans="1:2" ht="12.75" customHeight="1">
      <c r="A461" s="95"/>
      <c r="B461" s="96"/>
    </row>
    <row r="462" spans="1:2" ht="12.75" customHeight="1">
      <c r="A462" s="95"/>
      <c r="B462" s="96"/>
    </row>
    <row r="463" spans="1:2" ht="12.75" customHeight="1">
      <c r="A463" s="95"/>
      <c r="B463" s="96"/>
    </row>
    <row r="464" spans="1:2" ht="12.75" customHeight="1">
      <c r="A464" s="95"/>
      <c r="B464" s="96"/>
    </row>
    <row r="465" spans="1:2" ht="12.75" customHeight="1">
      <c r="A465" s="95"/>
      <c r="B465" s="96"/>
    </row>
    <row r="466" spans="1:2" ht="12.75" customHeight="1">
      <c r="A466" s="95"/>
      <c r="B466" s="96"/>
    </row>
    <row r="467" spans="1:2" ht="12.75" customHeight="1">
      <c r="A467" s="95"/>
      <c r="B467" s="96"/>
    </row>
    <row r="468" spans="1:2" ht="12.75" customHeight="1">
      <c r="A468" s="95"/>
      <c r="B468" s="96"/>
    </row>
    <row r="469" spans="1:2" ht="12.75" customHeight="1">
      <c r="A469" s="95"/>
      <c r="B469" s="96"/>
    </row>
    <row r="470" spans="1:2" ht="12.75" customHeight="1">
      <c r="A470" s="95"/>
      <c r="B470" s="96"/>
    </row>
    <row r="471" spans="1:2" ht="12.75" customHeight="1">
      <c r="A471" s="95"/>
      <c r="B471" s="96"/>
    </row>
    <row r="472" spans="1:2" ht="12.75" customHeight="1">
      <c r="A472" s="95"/>
      <c r="B472" s="96"/>
    </row>
    <row r="473" spans="1:2" ht="12.75" customHeight="1">
      <c r="A473" s="95"/>
      <c r="B473" s="96"/>
    </row>
    <row r="474" spans="1:2" ht="12.75" customHeight="1">
      <c r="A474" s="95"/>
      <c r="B474" s="96"/>
    </row>
    <row r="475" spans="1:2" ht="12.75" customHeight="1">
      <c r="A475" s="95"/>
      <c r="B475" s="96"/>
    </row>
    <row r="476" spans="1:2" ht="12.75" customHeight="1">
      <c r="A476" s="95"/>
      <c r="B476" s="96"/>
    </row>
    <row r="477" spans="1:2" ht="12.75" customHeight="1">
      <c r="A477" s="95"/>
      <c r="B477" s="96"/>
    </row>
    <row r="478" spans="1:2" ht="12.75" customHeight="1">
      <c r="A478" s="95"/>
      <c r="B478" s="96"/>
    </row>
    <row r="479" spans="1:2" ht="12.75" customHeight="1">
      <c r="A479" s="95"/>
      <c r="B479" s="96"/>
    </row>
    <row r="480" spans="1:2" ht="12.75" customHeight="1">
      <c r="A480" s="95"/>
      <c r="B480" s="96"/>
    </row>
    <row r="481" spans="1:2" ht="12.75" customHeight="1">
      <c r="A481" s="95"/>
      <c r="B481" s="96"/>
    </row>
    <row r="482" spans="1:2" ht="12.75" customHeight="1">
      <c r="A482" s="95"/>
      <c r="B482" s="96"/>
    </row>
    <row r="483" spans="1:2" ht="12.75" customHeight="1">
      <c r="A483" s="95"/>
      <c r="B483" s="96"/>
    </row>
    <row r="484" spans="1:2" ht="12.75" customHeight="1">
      <c r="A484" s="95"/>
      <c r="B484" s="96"/>
    </row>
    <row r="485" spans="1:2" ht="12.75" customHeight="1">
      <c r="A485" s="95"/>
      <c r="B485" s="96"/>
    </row>
    <row r="486" spans="1:2" ht="12.75" customHeight="1">
      <c r="A486" s="95"/>
      <c r="B486" s="96"/>
    </row>
    <row r="487" spans="1:2" ht="12.75" customHeight="1">
      <c r="A487" s="95"/>
      <c r="B487" s="96"/>
    </row>
    <row r="488" spans="1:2" ht="12.75" customHeight="1">
      <c r="A488" s="95"/>
      <c r="B488" s="96"/>
    </row>
    <row r="489" spans="1:2" ht="12.75" customHeight="1">
      <c r="A489" s="95"/>
      <c r="B489" s="96"/>
    </row>
    <row r="490" spans="1:2" ht="12.75" customHeight="1">
      <c r="A490" s="95"/>
      <c r="B490" s="96"/>
    </row>
    <row r="491" spans="1:2" ht="12.75" customHeight="1">
      <c r="A491" s="95"/>
      <c r="B491" s="96"/>
    </row>
    <row r="492" spans="1:2" ht="12.75" customHeight="1">
      <c r="A492" s="95"/>
      <c r="B492" s="96"/>
    </row>
    <row r="493" spans="1:2" ht="12.75" customHeight="1">
      <c r="A493" s="95"/>
      <c r="B493" s="96"/>
    </row>
    <row r="494" spans="1:2" ht="12.75" customHeight="1">
      <c r="A494" s="95"/>
      <c r="B494" s="96"/>
    </row>
    <row r="495" spans="1:2" ht="12.75" customHeight="1">
      <c r="A495" s="95"/>
      <c r="B495" s="96"/>
    </row>
    <row r="496" spans="1:2" ht="12.75" customHeight="1">
      <c r="A496" s="95"/>
      <c r="B496" s="96"/>
    </row>
    <row r="497" spans="1:2" ht="12.75" customHeight="1">
      <c r="A497" s="95"/>
      <c r="B497" s="96"/>
    </row>
    <row r="498" spans="1:2" ht="12.75" customHeight="1">
      <c r="A498" s="95"/>
      <c r="B498" s="96"/>
    </row>
    <row r="499" spans="1:2" ht="12.75" customHeight="1">
      <c r="A499" s="95"/>
      <c r="B499" s="96"/>
    </row>
    <row r="500" spans="1:2" ht="12.75" customHeight="1">
      <c r="A500" s="95"/>
      <c r="B500" s="96"/>
    </row>
    <row r="501" spans="1:2" ht="12.75" customHeight="1">
      <c r="A501" s="95"/>
      <c r="B501" s="96"/>
    </row>
    <row r="502" spans="1:2" ht="12.75" customHeight="1">
      <c r="A502" s="95"/>
      <c r="B502" s="96"/>
    </row>
    <row r="503" spans="1:2" ht="12.75" customHeight="1">
      <c r="A503" s="95"/>
      <c r="B503" s="96"/>
    </row>
    <row r="504" spans="1:2" ht="12.75" customHeight="1">
      <c r="A504" s="95"/>
      <c r="B504" s="96"/>
    </row>
    <row r="505" spans="1:2" ht="12.75" customHeight="1">
      <c r="A505" s="95"/>
      <c r="B505" s="96"/>
    </row>
    <row r="506" spans="1:2" ht="12.75" customHeight="1">
      <c r="A506" s="95"/>
      <c r="B506" s="96"/>
    </row>
    <row r="507" spans="1:2" ht="12.75" customHeight="1">
      <c r="A507" s="95"/>
      <c r="B507" s="96"/>
    </row>
    <row r="508" spans="1:2" ht="12.75" customHeight="1">
      <c r="A508" s="95"/>
      <c r="B508" s="96"/>
    </row>
    <row r="509" spans="1:2" ht="12.75" customHeight="1">
      <c r="A509" s="95"/>
      <c r="B509" s="96"/>
    </row>
    <row r="510" spans="1:2" ht="12.75" customHeight="1">
      <c r="A510" s="95"/>
      <c r="B510" s="96"/>
    </row>
    <row r="511" spans="1:2" ht="12.75" customHeight="1">
      <c r="A511" s="95"/>
      <c r="B511" s="96"/>
    </row>
    <row r="512" spans="1:2" ht="12.75" customHeight="1">
      <c r="A512" s="95"/>
      <c r="B512" s="96"/>
    </row>
    <row r="513" spans="1:2" ht="12.75" customHeight="1">
      <c r="A513" s="95"/>
      <c r="B513" s="96"/>
    </row>
    <row r="514" spans="1:2" ht="12.75" customHeight="1">
      <c r="A514" s="95"/>
      <c r="B514" s="96"/>
    </row>
    <row r="515" spans="1:2" ht="12.75" customHeight="1">
      <c r="A515" s="95"/>
      <c r="B515" s="96"/>
    </row>
    <row r="516" spans="1:2" ht="12.75" customHeight="1">
      <c r="A516" s="95"/>
      <c r="B516" s="96"/>
    </row>
    <row r="517" spans="1:2" ht="12.75" customHeight="1">
      <c r="A517" s="95"/>
      <c r="B517" s="96"/>
    </row>
    <row r="518" spans="1:2" ht="12.75" customHeight="1">
      <c r="A518" s="95"/>
      <c r="B518" s="96"/>
    </row>
    <row r="519" spans="1:2" ht="12.75" customHeight="1">
      <c r="A519" s="95"/>
      <c r="B519" s="96"/>
    </row>
    <row r="520" spans="1:2" ht="12.75" customHeight="1">
      <c r="A520" s="95"/>
      <c r="B520" s="96"/>
    </row>
    <row r="521" spans="1:2" ht="12.75" customHeight="1">
      <c r="A521" s="95"/>
      <c r="B521" s="96"/>
    </row>
    <row r="522" spans="1:2" ht="12.75" customHeight="1">
      <c r="A522" s="95"/>
      <c r="B522" s="96"/>
    </row>
    <row r="523" spans="1:2" ht="12.75" customHeight="1">
      <c r="A523" s="95"/>
      <c r="B523" s="96"/>
    </row>
    <row r="524" spans="1:2" ht="12.75" customHeight="1">
      <c r="A524" s="95"/>
      <c r="B524" s="96"/>
    </row>
    <row r="525" spans="1:2" ht="12.75" customHeight="1">
      <c r="A525" s="95"/>
      <c r="B525" s="96"/>
    </row>
    <row r="526" spans="1:2" ht="12.75" customHeight="1">
      <c r="A526" s="95"/>
      <c r="B526" s="96"/>
    </row>
    <row r="527" spans="1:2" ht="12.75" customHeight="1">
      <c r="A527" s="95"/>
      <c r="B527" s="96"/>
    </row>
    <row r="528" spans="1:2" ht="12.75" customHeight="1">
      <c r="A528" s="95"/>
      <c r="B528" s="96"/>
    </row>
    <row r="529" spans="1:2" ht="12.75" customHeight="1">
      <c r="A529" s="95"/>
      <c r="B529" s="96"/>
    </row>
    <row r="530" spans="1:2" ht="12.75" customHeight="1">
      <c r="A530" s="95"/>
      <c r="B530" s="96"/>
    </row>
    <row r="531" spans="1:2" ht="12.75" customHeight="1">
      <c r="A531" s="95"/>
      <c r="B531" s="96"/>
    </row>
    <row r="532" spans="1:2" ht="12.75" customHeight="1">
      <c r="A532" s="95"/>
      <c r="B532" s="96"/>
    </row>
    <row r="533" spans="1:2" ht="12.75" customHeight="1">
      <c r="A533" s="95"/>
      <c r="B533" s="96"/>
    </row>
    <row r="534" spans="1:2" ht="12.75" customHeight="1">
      <c r="A534" s="95"/>
      <c r="B534" s="96"/>
    </row>
    <row r="535" spans="1:2" ht="12.75" customHeight="1">
      <c r="A535" s="95"/>
      <c r="B535" s="96"/>
    </row>
    <row r="536" spans="1:2" ht="12.75" customHeight="1">
      <c r="A536" s="95"/>
      <c r="B536" s="96"/>
    </row>
    <row r="537" spans="1:2" ht="12.75" customHeight="1">
      <c r="A537" s="95"/>
      <c r="B537" s="96"/>
    </row>
    <row r="538" spans="1:2" ht="12.75" customHeight="1">
      <c r="A538" s="95"/>
      <c r="B538" s="96"/>
    </row>
    <row r="539" spans="1:2" ht="12.75" customHeight="1">
      <c r="A539" s="95"/>
      <c r="B539" s="96"/>
    </row>
    <row r="540" spans="1:2" ht="12.75" customHeight="1">
      <c r="A540" s="95"/>
      <c r="B540" s="96"/>
    </row>
    <row r="541" spans="1:2" ht="12.75" customHeight="1">
      <c r="A541" s="95"/>
      <c r="B541" s="96"/>
    </row>
    <row r="542" spans="1:2" ht="12.75" customHeight="1">
      <c r="A542" s="95"/>
      <c r="B542" s="96"/>
    </row>
    <row r="543" spans="1:2" ht="12.75" customHeight="1">
      <c r="A543" s="95"/>
      <c r="B543" s="96"/>
    </row>
    <row r="544" spans="1:2" ht="12.75" customHeight="1">
      <c r="A544" s="95"/>
      <c r="B544" s="96"/>
    </row>
    <row r="545" spans="1:2" ht="12.75" customHeight="1">
      <c r="A545" s="95"/>
      <c r="B545" s="96"/>
    </row>
    <row r="546" spans="1:2" ht="12.75" customHeight="1">
      <c r="A546" s="95"/>
      <c r="B546" s="96"/>
    </row>
    <row r="547" spans="1:2" ht="12.75" customHeight="1">
      <c r="A547" s="95"/>
      <c r="B547" s="96"/>
    </row>
    <row r="548" spans="1:2" ht="12.75" customHeight="1">
      <c r="A548" s="95"/>
      <c r="B548" s="96"/>
    </row>
    <row r="549" spans="1:2" ht="12.75" customHeight="1">
      <c r="A549" s="95"/>
      <c r="B549" s="96"/>
    </row>
    <row r="550" spans="1:2" ht="12.75" customHeight="1">
      <c r="A550" s="95"/>
      <c r="B550" s="96"/>
    </row>
    <row r="551" spans="1:2" ht="12.75" customHeight="1">
      <c r="A551" s="95"/>
      <c r="B551" s="96"/>
    </row>
    <row r="552" spans="1:2" ht="12.75" customHeight="1">
      <c r="A552" s="95"/>
      <c r="B552" s="96"/>
    </row>
    <row r="553" spans="1:2" ht="12.75" customHeight="1">
      <c r="A553" s="95"/>
      <c r="B553" s="96"/>
    </row>
    <row r="554" spans="1:2" ht="12.75" customHeight="1">
      <c r="A554" s="95"/>
      <c r="B554" s="96"/>
    </row>
    <row r="555" spans="1:2" ht="12.75" customHeight="1">
      <c r="A555" s="95"/>
      <c r="B555" s="96"/>
    </row>
    <row r="556" spans="1:2" ht="12.75" customHeight="1">
      <c r="A556" s="95"/>
      <c r="B556" s="96"/>
    </row>
    <row r="557" spans="1:2" ht="12.75" customHeight="1">
      <c r="A557" s="95"/>
      <c r="B557" s="96"/>
    </row>
    <row r="558" spans="1:2" ht="12.75" customHeight="1">
      <c r="A558" s="95"/>
      <c r="B558" s="96"/>
    </row>
    <row r="559" spans="1:2" ht="12.75" customHeight="1">
      <c r="A559" s="95"/>
      <c r="B559" s="96"/>
    </row>
    <row r="560" spans="1:2" ht="12.75" customHeight="1">
      <c r="A560" s="95"/>
      <c r="B560" s="96"/>
    </row>
    <row r="561" spans="1:2" ht="12.75" customHeight="1">
      <c r="A561" s="95"/>
      <c r="B561" s="96"/>
    </row>
    <row r="562" spans="1:2" ht="12.75" customHeight="1">
      <c r="A562" s="95"/>
      <c r="B562" s="96"/>
    </row>
    <row r="563" spans="1:2" ht="12.75" customHeight="1">
      <c r="A563" s="95"/>
      <c r="B563" s="96"/>
    </row>
    <row r="564" spans="1:2" ht="12.75" customHeight="1">
      <c r="A564" s="95"/>
      <c r="B564" s="96"/>
    </row>
    <row r="565" spans="1:2" ht="12.75" customHeight="1">
      <c r="A565" s="95"/>
      <c r="B565" s="96"/>
    </row>
    <row r="566" spans="1:2" ht="12.75" customHeight="1">
      <c r="A566" s="95"/>
      <c r="B566" s="96"/>
    </row>
    <row r="567" spans="1:2" ht="12.75" customHeight="1">
      <c r="A567" s="95"/>
      <c r="B567" s="96"/>
    </row>
    <row r="568" spans="1:2" ht="12.75" customHeight="1">
      <c r="A568" s="95"/>
      <c r="B568" s="96"/>
    </row>
    <row r="569" spans="1:2" ht="12.75" customHeight="1">
      <c r="A569" s="95"/>
      <c r="B569" s="96"/>
    </row>
    <row r="570" spans="1:2" ht="12.75" customHeight="1">
      <c r="A570" s="95"/>
      <c r="B570" s="96"/>
    </row>
    <row r="571" spans="1:2" ht="12.75" customHeight="1">
      <c r="A571" s="95"/>
      <c r="B571" s="96"/>
    </row>
    <row r="572" spans="1:2" ht="12.75" customHeight="1">
      <c r="A572" s="95"/>
      <c r="B572" s="96"/>
    </row>
    <row r="573" spans="1:2" ht="12.75" customHeight="1">
      <c r="A573" s="95"/>
      <c r="B573" s="96"/>
    </row>
    <row r="574" spans="1:2" ht="12.75" customHeight="1">
      <c r="A574" s="95"/>
      <c r="B574" s="96"/>
    </row>
    <row r="575" spans="1:2" ht="12.75" customHeight="1">
      <c r="A575" s="95"/>
      <c r="B575" s="96"/>
    </row>
    <row r="576" spans="1:2" ht="12.75" customHeight="1">
      <c r="A576" s="95"/>
      <c r="B576" s="96"/>
    </row>
    <row r="577" spans="1:2" ht="12.75" customHeight="1">
      <c r="A577" s="95"/>
      <c r="B577" s="96"/>
    </row>
    <row r="578" spans="1:2" ht="12.75" customHeight="1">
      <c r="A578" s="95"/>
      <c r="B578" s="96"/>
    </row>
    <row r="579" spans="1:2" ht="12.75" customHeight="1">
      <c r="A579" s="95"/>
      <c r="B579" s="96"/>
    </row>
    <row r="580" spans="1:2" ht="12.75" customHeight="1">
      <c r="A580" s="95"/>
      <c r="B580" s="96"/>
    </row>
    <row r="581" spans="1:2" ht="12.75" customHeight="1">
      <c r="A581" s="95"/>
      <c r="B581" s="96"/>
    </row>
    <row r="582" spans="1:2" ht="12.75" customHeight="1">
      <c r="A582" s="95"/>
      <c r="B582" s="96"/>
    </row>
    <row r="583" spans="1:2" ht="12.75" customHeight="1">
      <c r="A583" s="95"/>
      <c r="B583" s="96"/>
    </row>
    <row r="584" spans="1:2" ht="12.75" customHeight="1">
      <c r="A584" s="95"/>
      <c r="B584" s="96"/>
    </row>
    <row r="585" spans="1:2" ht="12.75" customHeight="1">
      <c r="A585" s="95"/>
      <c r="B585" s="96"/>
    </row>
    <row r="586" spans="1:2" ht="12.75" customHeight="1">
      <c r="A586" s="95"/>
      <c r="B586" s="96"/>
    </row>
    <row r="587" spans="1:2" ht="12.75" customHeight="1">
      <c r="A587" s="95"/>
      <c r="B587" s="96"/>
    </row>
    <row r="588" spans="1:2" ht="12.75" customHeight="1">
      <c r="A588" s="95"/>
      <c r="B588" s="96"/>
    </row>
    <row r="589" spans="1:2" ht="12.75" customHeight="1">
      <c r="A589" s="95"/>
      <c r="B589" s="96"/>
    </row>
    <row r="590" spans="1:2" ht="12.75" customHeight="1">
      <c r="A590" s="95"/>
      <c r="B590" s="96"/>
    </row>
    <row r="591" spans="1:2" ht="12.75" customHeight="1">
      <c r="A591" s="95"/>
      <c r="B591" s="96"/>
    </row>
    <row r="592" spans="1:2" ht="12.75" customHeight="1">
      <c r="A592" s="95"/>
      <c r="B592" s="96"/>
    </row>
    <row r="593" spans="1:2" ht="12.75" customHeight="1">
      <c r="A593" s="95"/>
      <c r="B593" s="96"/>
    </row>
    <row r="594" spans="1:2" ht="12.75" customHeight="1">
      <c r="A594" s="95"/>
      <c r="B594" s="96"/>
    </row>
    <row r="595" spans="1:2" ht="12.75" customHeight="1">
      <c r="A595" s="95"/>
      <c r="B595" s="96"/>
    </row>
    <row r="596" spans="1:2" ht="12.75" customHeight="1">
      <c r="A596" s="95"/>
      <c r="B596" s="96"/>
    </row>
    <row r="597" spans="1:2" ht="12.75" customHeight="1">
      <c r="A597" s="95"/>
      <c r="B597" s="96"/>
    </row>
    <row r="598" spans="1:2" ht="12.75" customHeight="1">
      <c r="A598" s="95"/>
      <c r="B598" s="96"/>
    </row>
    <row r="599" spans="1:2" ht="12.75" customHeight="1">
      <c r="A599" s="95"/>
      <c r="B599" s="96"/>
    </row>
    <row r="600" spans="1:2" ht="12.75" customHeight="1">
      <c r="A600" s="95"/>
      <c r="B600" s="96"/>
    </row>
    <row r="601" spans="1:2" ht="12.75" customHeight="1">
      <c r="A601" s="95"/>
      <c r="B601" s="96"/>
    </row>
    <row r="602" spans="1:2" ht="12.75" customHeight="1">
      <c r="A602" s="95"/>
      <c r="B602" s="96"/>
    </row>
    <row r="603" spans="1:2" ht="12.75" customHeight="1">
      <c r="A603" s="95"/>
      <c r="B603" s="96"/>
    </row>
    <row r="604" spans="1:2" ht="12.75" customHeight="1">
      <c r="A604" s="95"/>
      <c r="B604" s="96"/>
    </row>
    <row r="605" spans="1:2" ht="12.75" customHeight="1">
      <c r="A605" s="95"/>
      <c r="B605" s="96"/>
    </row>
    <row r="606" spans="1:2" ht="12.75" customHeight="1">
      <c r="A606" s="95"/>
      <c r="B606" s="96"/>
    </row>
    <row r="607" spans="1:2" ht="12.75" customHeight="1">
      <c r="A607" s="95"/>
      <c r="B607" s="96"/>
    </row>
    <row r="608" spans="1:2" ht="12.75" customHeight="1">
      <c r="A608" s="95"/>
      <c r="B608" s="96"/>
    </row>
    <row r="609" spans="1:2" ht="12.75" customHeight="1">
      <c r="A609" s="95"/>
      <c r="B609" s="96"/>
    </row>
    <row r="610" spans="1:2" ht="12.75" customHeight="1">
      <c r="A610" s="95"/>
      <c r="B610" s="96"/>
    </row>
    <row r="611" spans="1:2" ht="12.75" customHeight="1">
      <c r="A611" s="95"/>
      <c r="B611" s="96"/>
    </row>
    <row r="612" spans="1:2" ht="12.75" customHeight="1">
      <c r="A612" s="95"/>
      <c r="B612" s="96"/>
    </row>
    <row r="613" spans="1:2" ht="12.75" customHeight="1">
      <c r="A613" s="95"/>
      <c r="B613" s="96"/>
    </row>
    <row r="614" spans="1:2" ht="12.75" customHeight="1">
      <c r="A614" s="95"/>
      <c r="B614" s="96"/>
    </row>
    <row r="615" spans="1:2" ht="12.75" customHeight="1">
      <c r="A615" s="95"/>
      <c r="B615" s="96"/>
    </row>
    <row r="616" spans="1:2" ht="12.75" customHeight="1">
      <c r="A616" s="95"/>
      <c r="B616" s="96"/>
    </row>
    <row r="617" spans="1:2" ht="12.75" customHeight="1">
      <c r="A617" s="95"/>
      <c r="B617" s="96"/>
    </row>
    <row r="618" spans="1:2" ht="12.75" customHeight="1">
      <c r="A618" s="95"/>
      <c r="B618" s="96"/>
    </row>
    <row r="619" spans="1:2" ht="12.75" customHeight="1">
      <c r="A619" s="95"/>
      <c r="B619" s="96"/>
    </row>
    <row r="620" spans="1:2" ht="12.75" customHeight="1">
      <c r="A620" s="95"/>
      <c r="B620" s="96"/>
    </row>
    <row r="621" spans="1:2" ht="12.75" customHeight="1">
      <c r="A621" s="95"/>
      <c r="B621" s="96"/>
    </row>
    <row r="622" spans="1:2" ht="12.75" customHeight="1">
      <c r="A622" s="95"/>
      <c r="B622" s="96"/>
    </row>
    <row r="623" spans="1:2" ht="12.75" customHeight="1">
      <c r="A623" s="95"/>
      <c r="B623" s="96"/>
    </row>
    <row r="624" spans="1:2" ht="12.75" customHeight="1">
      <c r="A624" s="95"/>
      <c r="B624" s="96"/>
    </row>
    <row r="625" spans="1:2" ht="12.75" customHeight="1">
      <c r="A625" s="95"/>
      <c r="B625" s="96"/>
    </row>
    <row r="626" spans="1:2" ht="12.75" customHeight="1">
      <c r="A626" s="95"/>
      <c r="B626" s="96"/>
    </row>
    <row r="627" spans="1:2" ht="12.75" customHeight="1">
      <c r="A627" s="95"/>
      <c r="B627" s="96"/>
    </row>
    <row r="628" spans="1:2" ht="12.75" customHeight="1">
      <c r="A628" s="95"/>
      <c r="B628" s="96"/>
    </row>
    <row r="629" spans="1:2" ht="12.75" customHeight="1">
      <c r="A629" s="95"/>
      <c r="B629" s="96"/>
    </row>
    <row r="630" spans="1:2" ht="12.75" customHeight="1">
      <c r="A630" s="95"/>
      <c r="B630" s="96"/>
    </row>
    <row r="631" spans="1:2" ht="12.75" customHeight="1">
      <c r="A631" s="95"/>
      <c r="B631" s="96"/>
    </row>
    <row r="632" spans="1:2" ht="12.75" customHeight="1">
      <c r="A632" s="95"/>
      <c r="B632" s="96"/>
    </row>
    <row r="633" spans="1:2" ht="12.75" customHeight="1">
      <c r="A633" s="95"/>
      <c r="B633" s="96"/>
    </row>
    <row r="634" spans="1:2" ht="12.75" customHeight="1">
      <c r="A634" s="95"/>
      <c r="B634" s="96"/>
    </row>
    <row r="635" spans="1:2" ht="12.75" customHeight="1">
      <c r="A635" s="95"/>
      <c r="B635" s="96"/>
    </row>
    <row r="636" spans="1:2" ht="12.75" customHeight="1">
      <c r="A636" s="95"/>
      <c r="B636" s="96"/>
    </row>
    <row r="637" spans="1:2" ht="12.75" customHeight="1">
      <c r="A637" s="95"/>
      <c r="B637" s="96"/>
    </row>
    <row r="638" spans="1:2" ht="12.75" customHeight="1">
      <c r="A638" s="95"/>
      <c r="B638" s="96"/>
    </row>
    <row r="639" spans="1:2" ht="12.75" customHeight="1">
      <c r="A639" s="95"/>
      <c r="B639" s="96"/>
    </row>
    <row r="640" spans="1:2" ht="12.75" customHeight="1">
      <c r="A640" s="95"/>
      <c r="B640" s="96"/>
    </row>
    <row r="641" spans="1:2" ht="12.75" customHeight="1">
      <c r="A641" s="95"/>
      <c r="B641" s="96"/>
    </row>
    <row r="642" spans="1:2" ht="12.75" customHeight="1">
      <c r="A642" s="95"/>
      <c r="B642" s="96"/>
    </row>
    <row r="643" spans="1:2" ht="12.75" customHeight="1">
      <c r="A643" s="95"/>
      <c r="B643" s="96"/>
    </row>
    <row r="644" spans="1:2" ht="12.75" customHeight="1">
      <c r="A644" s="95"/>
      <c r="B644" s="96"/>
    </row>
    <row r="645" spans="1:2" ht="12.75" customHeight="1">
      <c r="A645" s="95"/>
      <c r="B645" s="96"/>
    </row>
    <row r="646" spans="1:2" ht="12.75" customHeight="1">
      <c r="A646" s="95"/>
      <c r="B646" s="96"/>
    </row>
    <row r="647" spans="1:2" ht="12.75" customHeight="1">
      <c r="A647" s="95"/>
      <c r="B647" s="96"/>
    </row>
    <row r="648" spans="1:2" ht="12.75" customHeight="1">
      <c r="A648" s="95"/>
      <c r="B648" s="96"/>
    </row>
    <row r="649" spans="1:2" ht="12.75" customHeight="1">
      <c r="A649" s="95"/>
      <c r="B649" s="96"/>
    </row>
    <row r="650" spans="1:2" ht="12.75" customHeight="1">
      <c r="A650" s="95"/>
      <c r="B650" s="96"/>
    </row>
    <row r="651" spans="1:2" ht="12.75" customHeight="1">
      <c r="A651" s="95"/>
      <c r="B651" s="96"/>
    </row>
    <row r="652" spans="1:2" ht="12.75" customHeight="1">
      <c r="A652" s="95"/>
      <c r="B652" s="96"/>
    </row>
    <row r="653" spans="1:2" ht="12.75" customHeight="1">
      <c r="A653" s="95"/>
      <c r="B653" s="96"/>
    </row>
    <row r="654" spans="1:2" ht="12.75" customHeight="1">
      <c r="A654" s="95"/>
      <c r="B654" s="96"/>
    </row>
    <row r="655" spans="1:2" ht="12.75" customHeight="1">
      <c r="A655" s="95"/>
      <c r="B655" s="96"/>
    </row>
    <row r="656" spans="1:2" ht="12.75" customHeight="1">
      <c r="A656" s="95"/>
      <c r="B656" s="96"/>
    </row>
    <row r="657" spans="1:2" ht="12.75" customHeight="1">
      <c r="A657" s="95"/>
      <c r="B657" s="96"/>
    </row>
    <row r="658" spans="1:2" ht="12.75" customHeight="1">
      <c r="A658" s="95"/>
      <c r="B658" s="96"/>
    </row>
    <row r="659" spans="1:2" ht="12.75" customHeight="1">
      <c r="A659" s="95"/>
      <c r="B659" s="96"/>
    </row>
    <row r="660" spans="1:2" ht="12.75" customHeight="1">
      <c r="A660" s="95"/>
      <c r="B660" s="96"/>
    </row>
    <row r="661" spans="1:2" ht="12.75" customHeight="1">
      <c r="A661" s="95"/>
      <c r="B661" s="96"/>
    </row>
    <row r="662" spans="1:2" ht="12.75" customHeight="1">
      <c r="A662" s="95"/>
      <c r="B662" s="96"/>
    </row>
    <row r="663" spans="1:2" ht="12.75" customHeight="1">
      <c r="A663" s="95"/>
      <c r="B663" s="96"/>
    </row>
    <row r="664" spans="1:2" ht="12.75" customHeight="1">
      <c r="A664" s="95"/>
      <c r="B664" s="96"/>
    </row>
    <row r="665" spans="1:2" ht="12.75" customHeight="1">
      <c r="A665" s="95"/>
      <c r="B665" s="96"/>
    </row>
    <row r="666" spans="1:2" ht="12.75" customHeight="1">
      <c r="A666" s="95"/>
      <c r="B666" s="96"/>
    </row>
    <row r="667" spans="1:2" ht="12.75" customHeight="1">
      <c r="A667" s="95"/>
      <c r="B667" s="96"/>
    </row>
    <row r="668" spans="1:2" ht="12.75" customHeight="1">
      <c r="A668" s="95"/>
      <c r="B668" s="96"/>
    </row>
    <row r="669" spans="1:2" ht="12.75" customHeight="1">
      <c r="A669" s="95"/>
      <c r="B669" s="96"/>
    </row>
    <row r="670" spans="1:2" ht="12.75" customHeight="1">
      <c r="A670" s="95"/>
      <c r="B670" s="96"/>
    </row>
    <row r="671" spans="1:2" ht="12.75" customHeight="1">
      <c r="A671" s="95"/>
      <c r="B671" s="96"/>
    </row>
    <row r="672" spans="1:2" ht="12.75" customHeight="1">
      <c r="A672" s="95"/>
      <c r="B672" s="96"/>
    </row>
    <row r="673" spans="1:2" ht="12.75" customHeight="1">
      <c r="A673" s="95"/>
      <c r="B673" s="96"/>
    </row>
    <row r="674" spans="1:2" ht="12.75" customHeight="1">
      <c r="A674" s="95"/>
      <c r="B674" s="96"/>
    </row>
    <row r="675" spans="1:2" ht="12.75" customHeight="1">
      <c r="A675" s="95"/>
      <c r="B675" s="96"/>
    </row>
    <row r="676" spans="1:2" ht="12.75" customHeight="1">
      <c r="A676" s="95"/>
      <c r="B676" s="96"/>
    </row>
    <row r="677" spans="1:2" ht="12.75" customHeight="1">
      <c r="A677" s="95"/>
      <c r="B677" s="96"/>
    </row>
    <row r="678" spans="1:2" ht="12.75" customHeight="1">
      <c r="A678" s="95"/>
      <c r="B678" s="96"/>
    </row>
    <row r="679" spans="1:2" ht="12.75" customHeight="1">
      <c r="A679" s="95"/>
      <c r="B679" s="96"/>
    </row>
    <row r="680" spans="1:2" ht="12.75" customHeight="1">
      <c r="A680" s="95"/>
      <c r="B680" s="96"/>
    </row>
    <row r="681" spans="1:2" ht="12.75" customHeight="1">
      <c r="A681" s="95"/>
      <c r="B681" s="96"/>
    </row>
    <row r="682" spans="1:2" ht="12.75" customHeight="1">
      <c r="A682" s="95"/>
      <c r="B682" s="96"/>
    </row>
    <row r="683" spans="1:2" ht="12.75" customHeight="1">
      <c r="A683" s="95"/>
      <c r="B683" s="96"/>
    </row>
    <row r="684" spans="1:2" ht="12.75" customHeight="1">
      <c r="A684" s="95"/>
      <c r="B684" s="96"/>
    </row>
    <row r="685" spans="1:2" ht="12.75" customHeight="1">
      <c r="A685" s="95"/>
      <c r="B685" s="96"/>
    </row>
    <row r="686" spans="1:2" ht="12.75" customHeight="1">
      <c r="A686" s="95"/>
      <c r="B686" s="96"/>
    </row>
    <row r="687" spans="1:2" ht="12.75" customHeight="1">
      <c r="A687" s="95"/>
      <c r="B687" s="96"/>
    </row>
    <row r="688" spans="1:2" ht="12.75" customHeight="1">
      <c r="A688" s="95"/>
      <c r="B688" s="96"/>
    </row>
    <row r="689" spans="1:2" ht="12.75" customHeight="1">
      <c r="A689" s="95"/>
      <c r="B689" s="96"/>
    </row>
    <row r="690" spans="1:2" ht="12.75" customHeight="1">
      <c r="A690" s="95"/>
      <c r="B690" s="96"/>
    </row>
    <row r="691" spans="1:2" ht="12.75" customHeight="1">
      <c r="A691" s="95"/>
      <c r="B691" s="96"/>
    </row>
    <row r="692" spans="1:2" ht="12.75" customHeight="1">
      <c r="A692" s="95"/>
      <c r="B692" s="96"/>
    </row>
    <row r="693" spans="1:2" ht="12.75" customHeight="1">
      <c r="A693" s="95"/>
      <c r="B693" s="96"/>
    </row>
    <row r="694" spans="1:2" ht="12.75" customHeight="1">
      <c r="A694" s="95"/>
      <c r="B694" s="96"/>
    </row>
    <row r="695" spans="1:2" ht="12.75" customHeight="1">
      <c r="A695" s="95"/>
      <c r="B695" s="96"/>
    </row>
    <row r="696" spans="1:2" ht="12.75" customHeight="1">
      <c r="A696" s="95"/>
      <c r="B696" s="96"/>
    </row>
    <row r="697" spans="1:2" ht="12.75" customHeight="1">
      <c r="A697" s="95"/>
      <c r="B697" s="96"/>
    </row>
    <row r="698" spans="1:2" ht="12.75" customHeight="1">
      <c r="A698" s="95"/>
      <c r="B698" s="96"/>
    </row>
    <row r="699" spans="1:2" ht="12.75" customHeight="1">
      <c r="A699" s="95"/>
      <c r="B699" s="96"/>
    </row>
    <row r="700" spans="1:2" ht="12.75" customHeight="1">
      <c r="A700" s="95"/>
      <c r="B700" s="96"/>
    </row>
    <row r="701" spans="1:2" ht="12.75" customHeight="1">
      <c r="A701" s="95"/>
      <c r="B701" s="96"/>
    </row>
    <row r="702" spans="1:2" ht="12.75" customHeight="1">
      <c r="A702" s="95"/>
      <c r="B702" s="96"/>
    </row>
    <row r="703" spans="1:2" ht="12.75" customHeight="1">
      <c r="A703" s="95"/>
      <c r="B703" s="96"/>
    </row>
    <row r="704" spans="1:2" ht="12.75" customHeight="1">
      <c r="A704" s="95"/>
      <c r="B704" s="96"/>
    </row>
    <row r="705" spans="1:2" ht="12.75" customHeight="1">
      <c r="A705" s="95"/>
      <c r="B705" s="96"/>
    </row>
    <row r="706" spans="1:2" ht="12.75" customHeight="1">
      <c r="A706" s="95"/>
      <c r="B706" s="96"/>
    </row>
    <row r="707" spans="1:2" ht="12.75" customHeight="1">
      <c r="A707" s="95"/>
      <c r="B707" s="96"/>
    </row>
    <row r="708" spans="1:2" ht="12.75" customHeight="1">
      <c r="A708" s="95"/>
      <c r="B708" s="96"/>
    </row>
    <row r="709" spans="1:2" ht="12.75" customHeight="1">
      <c r="A709" s="95"/>
      <c r="B709" s="96"/>
    </row>
    <row r="710" spans="1:2" ht="12.75" customHeight="1">
      <c r="A710" s="95"/>
      <c r="B710" s="96"/>
    </row>
    <row r="711" spans="1:2" ht="12.75" customHeight="1">
      <c r="A711" s="95"/>
      <c r="B711" s="96"/>
    </row>
    <row r="712" spans="1:2" ht="12.75" customHeight="1">
      <c r="A712" s="95"/>
      <c r="B712" s="96"/>
    </row>
    <row r="713" spans="1:2" ht="12.75" customHeight="1">
      <c r="A713" s="95"/>
      <c r="B713" s="96"/>
    </row>
    <row r="714" spans="1:2" ht="12.75" customHeight="1">
      <c r="A714" s="95"/>
      <c r="B714" s="96"/>
    </row>
    <row r="715" spans="1:2" ht="12.75" customHeight="1">
      <c r="A715" s="95"/>
      <c r="B715" s="96"/>
    </row>
    <row r="716" spans="1:2" ht="12.75" customHeight="1">
      <c r="A716" s="95"/>
      <c r="B716" s="96"/>
    </row>
    <row r="717" spans="1:2" ht="12.75" customHeight="1">
      <c r="A717" s="95"/>
      <c r="B717" s="96"/>
    </row>
    <row r="718" spans="1:2" ht="12.75" customHeight="1">
      <c r="A718" s="95"/>
      <c r="B718" s="96"/>
    </row>
    <row r="719" spans="1:2" ht="12.75" customHeight="1">
      <c r="A719" s="95"/>
      <c r="B719" s="96"/>
    </row>
    <row r="720" spans="1:2" ht="12.75" customHeight="1">
      <c r="A720" s="95"/>
      <c r="B720" s="96"/>
    </row>
    <row r="721" spans="1:2" ht="12.75" customHeight="1">
      <c r="A721" s="95"/>
      <c r="B721" s="96"/>
    </row>
    <row r="722" spans="1:2" ht="12.75" customHeight="1">
      <c r="A722" s="95"/>
      <c r="B722" s="96"/>
    </row>
    <row r="723" spans="1:2" ht="12.75" customHeight="1">
      <c r="A723" s="95"/>
      <c r="B723" s="96"/>
    </row>
    <row r="724" spans="1:2" ht="12.75" customHeight="1">
      <c r="A724" s="95"/>
      <c r="B724" s="96"/>
    </row>
    <row r="725" spans="1:2" ht="12.75" customHeight="1">
      <c r="A725" s="95"/>
      <c r="B725" s="96"/>
    </row>
    <row r="726" spans="1:2" ht="12.75" customHeight="1">
      <c r="A726" s="95"/>
      <c r="B726" s="96"/>
    </row>
    <row r="727" spans="1:2" ht="12.75" customHeight="1">
      <c r="A727" s="95"/>
      <c r="B727" s="96"/>
    </row>
    <row r="728" spans="1:2" ht="12.75" customHeight="1">
      <c r="A728" s="95"/>
      <c r="B728" s="96"/>
    </row>
    <row r="729" spans="1:2" ht="12.75" customHeight="1">
      <c r="A729" s="95"/>
      <c r="B729" s="96"/>
    </row>
    <row r="730" spans="1:2" ht="12.75" customHeight="1">
      <c r="A730" s="95"/>
      <c r="B730" s="96"/>
    </row>
    <row r="731" spans="1:2" ht="12.75" customHeight="1">
      <c r="A731" s="95"/>
      <c r="B731" s="96"/>
    </row>
    <row r="732" spans="1:2" ht="12.75" customHeight="1">
      <c r="A732" s="95"/>
      <c r="B732" s="96"/>
    </row>
    <row r="733" spans="1:2" ht="12.75" customHeight="1">
      <c r="A733" s="95"/>
      <c r="B733" s="96"/>
    </row>
    <row r="734" spans="1:2" ht="12.75" customHeight="1">
      <c r="A734" s="95"/>
      <c r="B734" s="96"/>
    </row>
    <row r="735" spans="1:2" ht="12.75" customHeight="1">
      <c r="A735" s="95"/>
      <c r="B735" s="96"/>
    </row>
    <row r="736" spans="1:2" ht="12.75" customHeight="1">
      <c r="A736" s="95"/>
      <c r="B736" s="96"/>
    </row>
    <row r="737" spans="1:2" ht="12.75" customHeight="1">
      <c r="A737" s="95"/>
      <c r="B737" s="96"/>
    </row>
    <row r="738" spans="1:2" ht="12.75" customHeight="1">
      <c r="A738" s="95"/>
      <c r="B738" s="96"/>
    </row>
    <row r="739" spans="1:2" ht="12.75" customHeight="1">
      <c r="A739" s="95"/>
      <c r="B739" s="96"/>
    </row>
    <row r="740" spans="1:2" ht="12.75" customHeight="1">
      <c r="A740" s="95"/>
      <c r="B740" s="96"/>
    </row>
    <row r="741" spans="1:2" ht="12.75" customHeight="1">
      <c r="A741" s="95"/>
      <c r="B741" s="96"/>
    </row>
    <row r="742" spans="1:2" ht="12.75" customHeight="1">
      <c r="A742" s="95"/>
      <c r="B742" s="96"/>
    </row>
    <row r="743" spans="1:2" ht="12.75" customHeight="1">
      <c r="A743" s="95"/>
      <c r="B743" s="96"/>
    </row>
    <row r="744" spans="1:2" ht="12.75" customHeight="1">
      <c r="A744" s="95"/>
      <c r="B744" s="96"/>
    </row>
    <row r="745" spans="1:2" ht="12.75" customHeight="1">
      <c r="A745" s="95"/>
      <c r="B745" s="96"/>
    </row>
    <row r="746" spans="1:2" ht="12.75" customHeight="1">
      <c r="A746" s="95"/>
      <c r="B746" s="96"/>
    </row>
    <row r="747" spans="1:2" ht="12.75" customHeight="1">
      <c r="A747" s="95"/>
      <c r="B747" s="96"/>
    </row>
    <row r="748" spans="1:2" ht="12.75" customHeight="1">
      <c r="A748" s="95"/>
      <c r="B748" s="96"/>
    </row>
    <row r="749" spans="1:2" ht="12.75" customHeight="1">
      <c r="A749" s="95"/>
      <c r="B749" s="96"/>
    </row>
    <row r="750" spans="1:2" ht="12.75" customHeight="1">
      <c r="A750" s="95"/>
      <c r="B750" s="96"/>
    </row>
    <row r="751" spans="1:2" ht="12.75" customHeight="1">
      <c r="A751" s="95"/>
      <c r="B751" s="96"/>
    </row>
    <row r="752" spans="1:2" ht="12.75" customHeight="1">
      <c r="A752" s="95"/>
      <c r="B752" s="96"/>
    </row>
    <row r="753" spans="1:2" ht="12.75" customHeight="1">
      <c r="A753" s="95"/>
      <c r="B753" s="96"/>
    </row>
    <row r="754" spans="1:2" ht="12.75" customHeight="1">
      <c r="A754" s="95"/>
      <c r="B754" s="96"/>
    </row>
    <row r="755" spans="1:2" ht="12.75" customHeight="1">
      <c r="A755" s="95"/>
      <c r="B755" s="96"/>
    </row>
    <row r="756" spans="1:2" ht="12.75" customHeight="1">
      <c r="A756" s="95"/>
      <c r="B756" s="96"/>
    </row>
    <row r="757" spans="1:2" ht="12.75" customHeight="1">
      <c r="A757" s="95"/>
      <c r="B757" s="96"/>
    </row>
    <row r="758" spans="1:2" ht="12.75" customHeight="1">
      <c r="A758" s="95"/>
      <c r="B758" s="96"/>
    </row>
    <row r="759" spans="1:2" ht="12.75" customHeight="1">
      <c r="A759" s="95"/>
      <c r="B759" s="96"/>
    </row>
    <row r="760" spans="1:2" ht="12.75" customHeight="1">
      <c r="A760" s="95"/>
      <c r="B760" s="96"/>
    </row>
    <row r="761" spans="1:2" ht="12.75" customHeight="1">
      <c r="A761" s="95"/>
      <c r="B761" s="96"/>
    </row>
    <row r="762" spans="1:2" ht="12.75" customHeight="1">
      <c r="A762" s="95"/>
      <c r="B762" s="96"/>
    </row>
    <row r="763" spans="1:2" ht="12.75" customHeight="1">
      <c r="A763" s="95"/>
      <c r="B763" s="96"/>
    </row>
    <row r="764" spans="1:2" ht="12.75" customHeight="1">
      <c r="A764" s="95"/>
      <c r="B764" s="96"/>
    </row>
    <row r="765" spans="1:2" ht="12.75" customHeight="1">
      <c r="A765" s="95"/>
      <c r="B765" s="96"/>
    </row>
    <row r="766" spans="1:2" ht="12.75" customHeight="1">
      <c r="A766" s="95"/>
      <c r="B766" s="96"/>
    </row>
    <row r="767" spans="1:2" ht="12.75" customHeight="1">
      <c r="A767" s="95"/>
      <c r="B767" s="96"/>
    </row>
    <row r="768" spans="1:2" ht="12.75" customHeight="1">
      <c r="A768" s="95"/>
      <c r="B768" s="96"/>
    </row>
    <row r="769" spans="1:2" ht="12.75" customHeight="1">
      <c r="A769" s="95"/>
      <c r="B769" s="96"/>
    </row>
    <row r="770" spans="1:2" ht="12.75" customHeight="1">
      <c r="A770" s="95"/>
      <c r="B770" s="96"/>
    </row>
    <row r="771" spans="1:2" ht="12.75" customHeight="1">
      <c r="A771" s="95"/>
      <c r="B771" s="96"/>
    </row>
    <row r="772" spans="1:2" ht="12.75" customHeight="1">
      <c r="A772" s="95"/>
      <c r="B772" s="96"/>
    </row>
    <row r="773" spans="1:2" ht="12.75" customHeight="1">
      <c r="A773" s="95"/>
      <c r="B773" s="96"/>
    </row>
    <row r="774" spans="1:2" ht="12.75" customHeight="1">
      <c r="A774" s="95"/>
      <c r="B774" s="96"/>
    </row>
    <row r="775" spans="1:2" ht="12.75" customHeight="1">
      <c r="A775" s="95"/>
      <c r="B775" s="96"/>
    </row>
    <row r="776" spans="1:2" ht="12.75" customHeight="1">
      <c r="A776" s="95"/>
      <c r="B776" s="96"/>
    </row>
    <row r="777" spans="1:2" ht="12.75" customHeight="1">
      <c r="A777" s="95"/>
      <c r="B777" s="96"/>
    </row>
    <row r="778" spans="1:2" ht="12.75" customHeight="1">
      <c r="A778" s="95"/>
      <c r="B778" s="96"/>
    </row>
    <row r="779" spans="1:2" ht="12.75" customHeight="1">
      <c r="A779" s="95"/>
      <c r="B779" s="96"/>
    </row>
    <row r="780" spans="1:2" ht="12.75" customHeight="1">
      <c r="A780" s="95"/>
      <c r="B780" s="96"/>
    </row>
    <row r="781" spans="1:2" ht="12.75" customHeight="1">
      <c r="A781" s="95"/>
      <c r="B781" s="96"/>
    </row>
    <row r="782" spans="1:2" ht="12.75" customHeight="1">
      <c r="A782" s="95"/>
      <c r="B782" s="96"/>
    </row>
    <row r="783" spans="1:2" ht="12.75" customHeight="1">
      <c r="A783" s="95"/>
      <c r="B783" s="96"/>
    </row>
    <row r="784" spans="1:2" ht="12.75" customHeight="1">
      <c r="A784" s="95"/>
      <c r="B784" s="96"/>
    </row>
    <row r="785" spans="1:2" ht="12.75" customHeight="1">
      <c r="A785" s="95"/>
      <c r="B785" s="96"/>
    </row>
    <row r="786" spans="1:2" ht="12.75" customHeight="1">
      <c r="A786" s="95"/>
      <c r="B786" s="96"/>
    </row>
    <row r="787" spans="1:2" ht="12.75" customHeight="1">
      <c r="A787" s="95"/>
      <c r="B787" s="96"/>
    </row>
    <row r="788" spans="1:2" ht="12.75" customHeight="1">
      <c r="A788" s="95"/>
      <c r="B788" s="96"/>
    </row>
    <row r="789" spans="1:2" ht="12.75" customHeight="1">
      <c r="A789" s="95"/>
      <c r="B789" s="96"/>
    </row>
    <row r="790" spans="1:2" ht="12.75" customHeight="1">
      <c r="A790" s="95"/>
      <c r="B790" s="96"/>
    </row>
    <row r="791" spans="1:2" ht="12.75" customHeight="1">
      <c r="A791" s="95"/>
      <c r="B791" s="96"/>
    </row>
    <row r="792" spans="1:2" ht="12.75" customHeight="1">
      <c r="A792" s="95"/>
      <c r="B792" s="96"/>
    </row>
    <row r="793" spans="1:2" ht="12.75" customHeight="1">
      <c r="A793" s="95"/>
      <c r="B793" s="96"/>
    </row>
    <row r="794" spans="1:2" ht="12.75" customHeight="1">
      <c r="A794" s="95"/>
      <c r="B794" s="96"/>
    </row>
    <row r="795" spans="1:2" ht="12.75" customHeight="1">
      <c r="A795" s="95"/>
      <c r="B795" s="96"/>
    </row>
    <row r="796" spans="1:2" ht="12.75" customHeight="1">
      <c r="A796" s="95"/>
      <c r="B796" s="96"/>
    </row>
    <row r="797" spans="1:2" ht="12.75" customHeight="1">
      <c r="A797" s="95"/>
      <c r="B797" s="96"/>
    </row>
    <row r="798" spans="1:2" ht="12.75" customHeight="1">
      <c r="A798" s="95"/>
      <c r="B798" s="96"/>
    </row>
    <row r="799" spans="1:2" ht="12.75" customHeight="1">
      <c r="A799" s="95"/>
      <c r="B799" s="96"/>
    </row>
    <row r="800" spans="1:2" ht="12.75" customHeight="1">
      <c r="A800" s="95"/>
      <c r="B800" s="96"/>
    </row>
    <row r="801" spans="1:2" ht="12.75" customHeight="1">
      <c r="A801" s="95"/>
      <c r="B801" s="96"/>
    </row>
    <row r="802" spans="1:2" ht="12.75" customHeight="1">
      <c r="A802" s="95"/>
      <c r="B802" s="96"/>
    </row>
    <row r="803" spans="1:2" ht="12.75" customHeight="1">
      <c r="A803" s="95"/>
      <c r="B803" s="96"/>
    </row>
    <row r="804" spans="1:2" ht="12.75" customHeight="1">
      <c r="A804" s="95"/>
      <c r="B804" s="96"/>
    </row>
    <row r="805" spans="1:2" ht="12.75" customHeight="1">
      <c r="A805" s="95"/>
      <c r="B805" s="96"/>
    </row>
    <row r="806" spans="1:2" ht="12.75" customHeight="1">
      <c r="A806" s="95"/>
      <c r="B806" s="96"/>
    </row>
    <row r="807" spans="1:2" ht="12.75" customHeight="1">
      <c r="A807" s="95"/>
      <c r="B807" s="96"/>
    </row>
    <row r="808" spans="1:2" ht="12.75" customHeight="1">
      <c r="A808" s="95"/>
      <c r="B808" s="96"/>
    </row>
    <row r="809" spans="1:2" ht="12.75" customHeight="1">
      <c r="A809" s="95"/>
      <c r="B809" s="96"/>
    </row>
    <row r="810" spans="1:2" ht="12.75" customHeight="1">
      <c r="A810" s="95"/>
      <c r="B810" s="96"/>
    </row>
    <row r="811" spans="1:2" ht="12.75" customHeight="1">
      <c r="A811" s="95"/>
      <c r="B811" s="96"/>
    </row>
    <row r="812" spans="1:2" ht="12.75" customHeight="1">
      <c r="A812" s="95"/>
      <c r="B812" s="96"/>
    </row>
    <row r="813" spans="1:2" ht="12.75" customHeight="1">
      <c r="A813" s="95"/>
      <c r="B813" s="96"/>
    </row>
    <row r="814" spans="1:2" ht="12.75" customHeight="1">
      <c r="A814" s="95"/>
      <c r="B814" s="96"/>
    </row>
    <row r="815" spans="1:2" ht="12.75" customHeight="1">
      <c r="A815" s="95"/>
      <c r="B815" s="96"/>
    </row>
    <row r="816" spans="1:2" ht="12.75" customHeight="1">
      <c r="A816" s="95"/>
      <c r="B816" s="96"/>
    </row>
    <row r="817" spans="1:2" ht="12.75" customHeight="1">
      <c r="A817" s="95"/>
      <c r="B817" s="96"/>
    </row>
    <row r="818" spans="1:2" ht="12.75" customHeight="1">
      <c r="A818" s="95"/>
      <c r="B818" s="96"/>
    </row>
    <row r="819" spans="1:2" ht="12.75" customHeight="1">
      <c r="A819" s="95"/>
      <c r="B819" s="96"/>
    </row>
    <row r="820" spans="1:2" ht="12.75" customHeight="1">
      <c r="A820" s="95"/>
      <c r="B820" s="96"/>
    </row>
    <row r="821" spans="1:2" ht="12.75" customHeight="1">
      <c r="A821" s="95"/>
      <c r="B821" s="96"/>
    </row>
    <row r="822" spans="1:2" ht="12.75" customHeight="1">
      <c r="A822" s="95"/>
      <c r="B822" s="96"/>
    </row>
    <row r="823" spans="1:2" ht="12.75" customHeight="1">
      <c r="A823" s="95"/>
      <c r="B823" s="96"/>
    </row>
    <row r="824" spans="1:2" ht="12.75" customHeight="1">
      <c r="A824" s="95"/>
      <c r="B824" s="96"/>
    </row>
    <row r="825" spans="1:2" ht="12.75" customHeight="1">
      <c r="A825" s="95"/>
      <c r="B825" s="96"/>
    </row>
    <row r="826" spans="1:2" ht="12.75" customHeight="1">
      <c r="A826" s="95"/>
      <c r="B826" s="96"/>
    </row>
    <row r="827" spans="1:2" ht="12.75" customHeight="1">
      <c r="A827" s="95"/>
      <c r="B827" s="96"/>
    </row>
    <row r="828" spans="1:2" ht="12.75" customHeight="1">
      <c r="A828" s="95"/>
      <c r="B828" s="96"/>
    </row>
    <row r="829" spans="1:2" ht="12.75" customHeight="1">
      <c r="A829" s="95"/>
      <c r="B829" s="96"/>
    </row>
    <row r="830" spans="1:2" ht="12.75" customHeight="1">
      <c r="A830" s="95"/>
      <c r="B830" s="96"/>
    </row>
    <row r="831" spans="1:2" ht="12.75" customHeight="1">
      <c r="A831" s="95"/>
      <c r="B831" s="96"/>
    </row>
    <row r="832" spans="1:2" ht="12.75" customHeight="1">
      <c r="A832" s="95"/>
      <c r="B832" s="96"/>
    </row>
    <row r="833" spans="1:2" ht="12.75" customHeight="1">
      <c r="A833" s="95"/>
      <c r="B833" s="96"/>
    </row>
    <row r="834" spans="1:2" ht="12.75" customHeight="1">
      <c r="A834" s="95"/>
      <c r="B834" s="96"/>
    </row>
    <row r="835" spans="1:2" ht="12.75" customHeight="1">
      <c r="A835" s="95"/>
      <c r="B835" s="96"/>
    </row>
    <row r="836" spans="1:2" ht="12.75" customHeight="1">
      <c r="A836" s="95"/>
      <c r="B836" s="96"/>
    </row>
    <row r="837" spans="1:2" ht="12.75" customHeight="1">
      <c r="A837" s="95"/>
      <c r="B837" s="96"/>
    </row>
    <row r="838" spans="1:2" ht="12.75" customHeight="1">
      <c r="A838" s="95"/>
      <c r="B838" s="96"/>
    </row>
    <row r="839" spans="1:2" ht="12.75" customHeight="1">
      <c r="A839" s="95"/>
      <c r="B839" s="96"/>
    </row>
    <row r="840" spans="1:2" ht="12.75" customHeight="1">
      <c r="A840" s="95"/>
      <c r="B840" s="96"/>
    </row>
    <row r="841" spans="1:2" ht="12.75" customHeight="1">
      <c r="A841" s="95"/>
      <c r="B841" s="96"/>
    </row>
    <row r="842" spans="1:2" ht="12.75" customHeight="1">
      <c r="A842" s="95"/>
      <c r="B842" s="96"/>
    </row>
    <row r="843" spans="1:2" ht="12.75" customHeight="1">
      <c r="A843" s="95"/>
      <c r="B843" s="96"/>
    </row>
    <row r="844" spans="1:2" ht="12.75" customHeight="1">
      <c r="A844" s="95"/>
      <c r="B844" s="96"/>
    </row>
    <row r="845" spans="1:2" ht="12.75" customHeight="1">
      <c r="A845" s="95"/>
      <c r="B845" s="96"/>
    </row>
    <row r="846" spans="1:2" ht="12.75" customHeight="1">
      <c r="A846" s="95"/>
      <c r="B846" s="96"/>
    </row>
    <row r="847" spans="1:2" ht="12.75" customHeight="1">
      <c r="A847" s="95"/>
      <c r="B847" s="96"/>
    </row>
    <row r="848" spans="1:2" ht="12.75" customHeight="1">
      <c r="A848" s="95"/>
      <c r="B848" s="96"/>
    </row>
    <row r="849" spans="1:2" ht="12.75" customHeight="1">
      <c r="A849" s="95"/>
      <c r="B849" s="96"/>
    </row>
    <row r="850" spans="1:2" ht="12.75" customHeight="1">
      <c r="A850" s="95"/>
      <c r="B850" s="96"/>
    </row>
    <row r="851" spans="1:2" ht="12.75" customHeight="1">
      <c r="A851" s="95"/>
      <c r="B851" s="96"/>
    </row>
    <row r="852" spans="1:2" ht="12.75" customHeight="1">
      <c r="A852" s="95"/>
      <c r="B852" s="96"/>
    </row>
    <row r="853" spans="1:2" ht="12.75" customHeight="1">
      <c r="A853" s="95"/>
      <c r="B853" s="96"/>
    </row>
    <row r="854" spans="1:2" ht="12.75" customHeight="1">
      <c r="A854" s="95"/>
      <c r="B854" s="96"/>
    </row>
    <row r="855" spans="1:2" ht="12.75" customHeight="1">
      <c r="A855" s="95"/>
      <c r="B855" s="96"/>
    </row>
    <row r="856" spans="1:2" ht="12.75" customHeight="1">
      <c r="A856" s="95"/>
      <c r="B856" s="96"/>
    </row>
    <row r="857" spans="1:2" ht="12.75" customHeight="1">
      <c r="A857" s="95"/>
      <c r="B857" s="96"/>
    </row>
    <row r="858" spans="1:2" ht="12.75" customHeight="1">
      <c r="A858" s="95"/>
      <c r="B858" s="96"/>
    </row>
    <row r="859" spans="1:2" ht="12.75" customHeight="1">
      <c r="A859" s="95"/>
      <c r="B859" s="96"/>
    </row>
    <row r="860" spans="1:2" ht="12.75" customHeight="1">
      <c r="A860" s="95"/>
      <c r="B860" s="96"/>
    </row>
    <row r="861" spans="1:2" ht="12.75" customHeight="1">
      <c r="A861" s="95"/>
      <c r="B861" s="96"/>
    </row>
    <row r="862" spans="1:2" ht="12.75" customHeight="1">
      <c r="A862" s="95"/>
      <c r="B862" s="96"/>
    </row>
    <row r="863" spans="1:2" ht="12.75" customHeight="1">
      <c r="A863" s="95"/>
      <c r="B863" s="96"/>
    </row>
    <row r="864" spans="1:2" ht="12.75" customHeight="1">
      <c r="A864" s="95"/>
      <c r="B864" s="96"/>
    </row>
    <row r="865" spans="1:2" ht="12.75" customHeight="1">
      <c r="A865" s="95"/>
      <c r="B865" s="96"/>
    </row>
    <row r="866" spans="1:2" ht="12.75" customHeight="1">
      <c r="A866" s="95"/>
      <c r="B866" s="96"/>
    </row>
    <row r="867" spans="1:2" ht="12.75" customHeight="1">
      <c r="A867" s="95"/>
      <c r="B867" s="96"/>
    </row>
    <row r="868" spans="1:2" ht="12.75" customHeight="1">
      <c r="A868" s="95"/>
      <c r="B868" s="96"/>
    </row>
    <row r="869" spans="1:2" ht="12.75" customHeight="1">
      <c r="A869" s="95"/>
      <c r="B869" s="96"/>
    </row>
    <row r="870" spans="1:2" ht="12.75" customHeight="1">
      <c r="A870" s="95"/>
      <c r="B870" s="96"/>
    </row>
    <row r="871" spans="1:2" ht="12.75" customHeight="1">
      <c r="A871" s="95"/>
      <c r="B871" s="96"/>
    </row>
    <row r="872" spans="1:2" ht="12.75" customHeight="1">
      <c r="A872" s="95"/>
      <c r="B872" s="96"/>
    </row>
    <row r="873" spans="1:2" ht="12.75" customHeight="1">
      <c r="A873" s="95"/>
      <c r="B873" s="96"/>
    </row>
    <row r="874" spans="1:2" ht="12.75" customHeight="1">
      <c r="A874" s="95"/>
      <c r="B874" s="96"/>
    </row>
    <row r="875" spans="1:2" ht="12.75" customHeight="1">
      <c r="A875" s="95"/>
      <c r="B875" s="96"/>
    </row>
    <row r="876" spans="1:2" ht="12.75" customHeight="1">
      <c r="A876" s="95"/>
      <c r="B876" s="96"/>
    </row>
    <row r="877" spans="1:2" ht="12.75" customHeight="1">
      <c r="A877" s="95"/>
      <c r="B877" s="96"/>
    </row>
    <row r="878" spans="1:2" ht="12.75" customHeight="1">
      <c r="A878" s="95"/>
      <c r="B878" s="96"/>
    </row>
    <row r="879" spans="1:2" ht="12.75" customHeight="1">
      <c r="A879" s="95"/>
      <c r="B879" s="96"/>
    </row>
    <row r="880" spans="1:2" ht="12.75" customHeight="1">
      <c r="A880" s="95"/>
      <c r="B880" s="96"/>
    </row>
    <row r="881" spans="1:2" ht="12.75" customHeight="1">
      <c r="A881" s="95"/>
      <c r="B881" s="96"/>
    </row>
    <row r="882" spans="1:2" ht="12.75" customHeight="1">
      <c r="A882" s="95"/>
      <c r="B882" s="96"/>
    </row>
    <row r="883" spans="1:2" ht="12.75" customHeight="1">
      <c r="A883" s="95"/>
      <c r="B883" s="96"/>
    </row>
    <row r="884" spans="1:2" ht="12.75" customHeight="1">
      <c r="A884" s="95"/>
      <c r="B884" s="96"/>
    </row>
    <row r="885" spans="1:2" ht="12.75" customHeight="1">
      <c r="A885" s="95"/>
      <c r="B885" s="96"/>
    </row>
    <row r="886" spans="1:2" ht="12.75" customHeight="1">
      <c r="A886" s="95"/>
      <c r="B886" s="96"/>
    </row>
    <row r="887" spans="1:2" ht="12.75" customHeight="1">
      <c r="A887" s="95"/>
      <c r="B887" s="96"/>
    </row>
    <row r="888" spans="1:2" ht="12.75" customHeight="1">
      <c r="A888" s="95"/>
      <c r="B888" s="96"/>
    </row>
    <row r="889" spans="1:2" ht="12.75" customHeight="1">
      <c r="A889" s="95"/>
      <c r="B889" s="96"/>
    </row>
    <row r="890" spans="1:2" ht="12.75" customHeight="1">
      <c r="A890" s="95"/>
      <c r="B890" s="96"/>
    </row>
    <row r="891" spans="1:2" ht="12.75" customHeight="1">
      <c r="A891" s="95"/>
      <c r="B891" s="96"/>
    </row>
    <row r="892" spans="1:2" ht="12.75" customHeight="1">
      <c r="A892" s="95"/>
      <c r="B892" s="96"/>
    </row>
    <row r="893" spans="1:2" ht="12.75" customHeight="1">
      <c r="A893" s="95"/>
      <c r="B893" s="96"/>
    </row>
    <row r="894" spans="1:2" ht="12.75" customHeight="1">
      <c r="A894" s="95"/>
      <c r="B894" s="96"/>
    </row>
    <row r="895" spans="1:2" ht="12.75" customHeight="1">
      <c r="A895" s="95"/>
      <c r="B895" s="96"/>
    </row>
    <row r="896" spans="1:2" ht="12.75" customHeight="1">
      <c r="A896" s="95"/>
      <c r="B896" s="96"/>
    </row>
    <row r="897" spans="1:2" ht="12.75" customHeight="1">
      <c r="A897" s="95"/>
      <c r="B897" s="96"/>
    </row>
    <row r="898" spans="1:2" ht="12.75" customHeight="1">
      <c r="A898" s="95"/>
      <c r="B898" s="96"/>
    </row>
    <row r="899" spans="1:2" ht="12.75" customHeight="1">
      <c r="A899" s="95"/>
      <c r="B899" s="96"/>
    </row>
    <row r="900" spans="1:2" ht="12.75" customHeight="1">
      <c r="A900" s="95"/>
      <c r="B900" s="96"/>
    </row>
    <row r="901" spans="1:2" ht="12.75" customHeight="1">
      <c r="A901" s="95"/>
      <c r="B901" s="96"/>
    </row>
    <row r="902" spans="1:2" ht="12.75" customHeight="1">
      <c r="A902" s="95"/>
      <c r="B902" s="96"/>
    </row>
    <row r="903" spans="1:2" ht="12.75" customHeight="1">
      <c r="A903" s="95"/>
      <c r="B903" s="96"/>
    </row>
    <row r="904" spans="1:2" ht="12.75" customHeight="1">
      <c r="A904" s="95"/>
      <c r="B904" s="96"/>
    </row>
    <row r="905" spans="1:2" ht="12.75" customHeight="1">
      <c r="A905" s="95"/>
      <c r="B905" s="96"/>
    </row>
    <row r="906" spans="1:2" ht="12.75" customHeight="1">
      <c r="A906" s="95"/>
      <c r="B906" s="96"/>
    </row>
    <row r="907" spans="1:2" ht="12.75" customHeight="1">
      <c r="A907" s="95"/>
      <c r="B907" s="96"/>
    </row>
    <row r="908" spans="1:2" ht="12.75" customHeight="1">
      <c r="A908" s="95"/>
      <c r="B908" s="96"/>
    </row>
    <row r="909" spans="1:2" ht="12.75" customHeight="1">
      <c r="A909" s="95"/>
      <c r="B909" s="96"/>
    </row>
    <row r="910" spans="1:2" ht="12.75" customHeight="1">
      <c r="A910" s="95"/>
      <c r="B910" s="96"/>
    </row>
    <row r="911" spans="1:2" ht="12.75" customHeight="1">
      <c r="A911" s="95"/>
      <c r="B911" s="96"/>
    </row>
    <row r="912" spans="1:2" ht="12.75" customHeight="1">
      <c r="A912" s="95"/>
      <c r="B912" s="96"/>
    </row>
    <row r="913" spans="1:2" ht="12.75" customHeight="1">
      <c r="A913" s="95"/>
      <c r="B913" s="96"/>
    </row>
    <row r="914" spans="1:2" ht="12.75" customHeight="1">
      <c r="A914" s="95"/>
      <c r="B914" s="96"/>
    </row>
    <row r="915" spans="1:2" ht="12.75" customHeight="1">
      <c r="A915" s="95"/>
      <c r="B915" s="96"/>
    </row>
    <row r="916" spans="1:2" ht="12.75" customHeight="1">
      <c r="A916" s="95"/>
      <c r="B916" s="96"/>
    </row>
    <row r="917" spans="1:2" ht="12.75" customHeight="1">
      <c r="A917" s="95"/>
      <c r="B917" s="96"/>
    </row>
    <row r="918" spans="1:2" ht="12.75" customHeight="1">
      <c r="A918" s="95"/>
      <c r="B918" s="96"/>
    </row>
    <row r="919" spans="1:2" ht="12.75" customHeight="1">
      <c r="A919" s="95"/>
      <c r="B919" s="96"/>
    </row>
    <row r="920" spans="1:2" ht="12.75" customHeight="1">
      <c r="A920" s="95"/>
      <c r="B920" s="96"/>
    </row>
    <row r="921" spans="1:2" ht="12.75" customHeight="1">
      <c r="A921" s="95"/>
      <c r="B921" s="96"/>
    </row>
    <row r="922" spans="1:2" ht="12.75" customHeight="1">
      <c r="A922" s="95"/>
      <c r="B922" s="96"/>
    </row>
    <row r="923" spans="1:2" ht="12.75" customHeight="1">
      <c r="A923" s="95"/>
      <c r="B923" s="96"/>
    </row>
    <row r="924" spans="1:2" ht="12.75" customHeight="1">
      <c r="A924" s="95"/>
      <c r="B924" s="96"/>
    </row>
    <row r="925" spans="1:2" ht="12.75" customHeight="1">
      <c r="A925" s="95"/>
      <c r="B925" s="96"/>
    </row>
    <row r="926" spans="1:2" ht="12.75" customHeight="1">
      <c r="A926" s="95"/>
      <c r="B926" s="96"/>
    </row>
    <row r="927" spans="1:2" ht="12.75" customHeight="1">
      <c r="A927" s="95"/>
      <c r="B927" s="96"/>
    </row>
    <row r="928" spans="1:2" ht="12.75" customHeight="1">
      <c r="A928" s="95"/>
      <c r="B928" s="96"/>
    </row>
    <row r="929" spans="1:2" ht="12.75" customHeight="1">
      <c r="A929" s="95"/>
      <c r="B929" s="96"/>
    </row>
    <row r="930" spans="1:2" ht="12.75" customHeight="1">
      <c r="A930" s="95"/>
      <c r="B930" s="96"/>
    </row>
    <row r="931" spans="1:2" ht="12.75" customHeight="1">
      <c r="A931" s="95"/>
      <c r="B931" s="96"/>
    </row>
    <row r="932" spans="1:2" ht="12.75" customHeight="1">
      <c r="A932" s="95"/>
      <c r="B932" s="96"/>
    </row>
    <row r="933" spans="1:2" ht="12.75" customHeight="1">
      <c r="A933" s="95"/>
      <c r="B933" s="96"/>
    </row>
    <row r="934" spans="1:2" ht="12.75" customHeight="1">
      <c r="A934" s="95"/>
      <c r="B934" s="96"/>
    </row>
    <row r="935" spans="1:2" ht="12.75" customHeight="1">
      <c r="A935" s="95"/>
      <c r="B935" s="96"/>
    </row>
    <row r="936" spans="1:2" ht="12.75" customHeight="1">
      <c r="A936" s="95"/>
      <c r="B936" s="96"/>
    </row>
    <row r="937" spans="1:2" ht="12.75" customHeight="1">
      <c r="A937" s="95"/>
      <c r="B937" s="96"/>
    </row>
    <row r="938" spans="1:2" ht="12.75" customHeight="1">
      <c r="A938" s="95"/>
      <c r="B938" s="96"/>
    </row>
    <row r="939" spans="1:2" ht="12.75" customHeight="1">
      <c r="A939" s="95"/>
      <c r="B939" s="96"/>
    </row>
    <row r="940" spans="1:2" ht="12.75" customHeight="1">
      <c r="A940" s="95"/>
      <c r="B940" s="96"/>
    </row>
    <row r="941" spans="1:2" ht="12.75" customHeight="1">
      <c r="A941" s="95"/>
      <c r="B941" s="96"/>
    </row>
    <row r="942" spans="1:2" ht="12.75" customHeight="1">
      <c r="A942" s="95"/>
      <c r="B942" s="96"/>
    </row>
    <row r="943" spans="1:2" ht="12.75" customHeight="1">
      <c r="A943" s="95"/>
      <c r="B943" s="96"/>
    </row>
    <row r="944" spans="1:2" ht="12.75" customHeight="1">
      <c r="A944" s="95"/>
      <c r="B944" s="96"/>
    </row>
    <row r="945" spans="1:2" ht="12.75" customHeight="1">
      <c r="A945" s="95"/>
      <c r="B945" s="96"/>
    </row>
    <row r="946" spans="1:2" ht="12.75" customHeight="1">
      <c r="A946" s="95"/>
      <c r="B946" s="96"/>
    </row>
    <row r="947" spans="1:2" ht="12.75" customHeight="1">
      <c r="A947" s="95"/>
      <c r="B947" s="96"/>
    </row>
    <row r="948" spans="1:2" ht="12.75" customHeight="1">
      <c r="A948" s="95"/>
      <c r="B948" s="96"/>
    </row>
    <row r="949" spans="1:2" ht="12.75" customHeight="1">
      <c r="A949" s="95"/>
      <c r="B949" s="96"/>
    </row>
    <row r="950" spans="1:2" ht="12.75" customHeight="1">
      <c r="A950" s="95"/>
      <c r="B950" s="96"/>
    </row>
    <row r="951" spans="1:2" ht="12.75" customHeight="1">
      <c r="A951" s="95"/>
      <c r="B951" s="96"/>
    </row>
    <row r="952" spans="1:2" ht="12.75" customHeight="1">
      <c r="A952" s="95"/>
      <c r="B952" s="96"/>
    </row>
    <row r="953" spans="1:2" ht="12.75" customHeight="1">
      <c r="A953" s="95"/>
      <c r="B953" s="96"/>
    </row>
    <row r="954" spans="1:2" ht="12.75" customHeight="1">
      <c r="A954" s="95"/>
      <c r="B954" s="96"/>
    </row>
    <row r="955" spans="1:2" ht="12.75" customHeight="1">
      <c r="A955" s="95"/>
      <c r="B955" s="96"/>
    </row>
    <row r="956" spans="1:2" ht="12.75" customHeight="1">
      <c r="A956" s="95"/>
      <c r="B956" s="96"/>
    </row>
    <row r="957" spans="1:2" ht="12.75" customHeight="1">
      <c r="A957" s="95"/>
      <c r="B957" s="96"/>
    </row>
    <row r="958" spans="1:2" ht="12.75" customHeight="1">
      <c r="A958" s="95"/>
      <c r="B958" s="96"/>
    </row>
    <row r="959" spans="1:2" ht="12.75" customHeight="1">
      <c r="A959" s="95"/>
      <c r="B959" s="96"/>
    </row>
    <row r="960" spans="1:2" ht="12.75" customHeight="1">
      <c r="A960" s="95"/>
      <c r="B960" s="96"/>
    </row>
    <row r="961" spans="1:2" ht="12.75" customHeight="1">
      <c r="A961" s="95"/>
      <c r="B961" s="96"/>
    </row>
    <row r="962" spans="1:2" ht="12.75" customHeight="1">
      <c r="A962" s="95"/>
      <c r="B962" s="96"/>
    </row>
    <row r="963" spans="1:2" ht="12.75" customHeight="1">
      <c r="A963" s="95"/>
      <c r="B963" s="96"/>
    </row>
    <row r="964" spans="1:2" ht="12.75" customHeight="1">
      <c r="A964" s="95"/>
      <c r="B964" s="96"/>
    </row>
    <row r="965" spans="1:2" ht="12.75" customHeight="1">
      <c r="A965" s="95"/>
      <c r="B965" s="96"/>
    </row>
    <row r="966" spans="1:2" ht="12.75" customHeight="1">
      <c r="A966" s="95"/>
      <c r="B966" s="96"/>
    </row>
    <row r="967" spans="1:2" ht="12.75" customHeight="1">
      <c r="A967" s="95"/>
      <c r="B967" s="96"/>
    </row>
    <row r="968" spans="1:2" ht="12.75" customHeight="1">
      <c r="A968" s="95"/>
      <c r="B968" s="96"/>
    </row>
    <row r="969" spans="1:2" ht="12.75" customHeight="1">
      <c r="A969" s="95"/>
      <c r="B969" s="96"/>
    </row>
    <row r="970" spans="1:2" ht="12.75" customHeight="1">
      <c r="A970" s="95"/>
      <c r="B970" s="96"/>
    </row>
    <row r="971" spans="1:2" ht="12.75" customHeight="1">
      <c r="A971" s="95"/>
      <c r="B971" s="96"/>
    </row>
    <row r="972" spans="1:2" ht="12.75" customHeight="1">
      <c r="A972" s="95"/>
      <c r="B972" s="96"/>
    </row>
    <row r="973" spans="1:2" ht="12.75" customHeight="1">
      <c r="A973" s="95"/>
      <c r="B973" s="96"/>
    </row>
    <row r="974" spans="1:2" ht="12.75" customHeight="1">
      <c r="A974" s="95"/>
      <c r="B974" s="96"/>
    </row>
    <row r="975" spans="1:2" ht="12.75" customHeight="1">
      <c r="A975" s="95"/>
      <c r="B975" s="96"/>
    </row>
    <row r="976" spans="1:2" ht="12.75" customHeight="1">
      <c r="A976" s="95"/>
      <c r="B976" s="96"/>
    </row>
    <row r="977" spans="1:2" ht="12.75" customHeight="1">
      <c r="A977" s="95"/>
      <c r="B977" s="96"/>
    </row>
    <row r="978" spans="1:2" ht="12.75" customHeight="1">
      <c r="A978" s="95"/>
      <c r="B978" s="96"/>
    </row>
    <row r="979" spans="1:2" ht="12.75" customHeight="1">
      <c r="A979" s="95"/>
      <c r="B979" s="96"/>
    </row>
    <row r="980" spans="1:2" ht="12.75" customHeight="1">
      <c r="A980" s="95"/>
      <c r="B980" s="96"/>
    </row>
    <row r="981" spans="1:2" ht="12.75" customHeight="1">
      <c r="A981" s="95"/>
      <c r="B981" s="96"/>
    </row>
    <row r="982" spans="1:2" ht="12.75" customHeight="1">
      <c r="A982" s="95"/>
      <c r="B982" s="96"/>
    </row>
    <row r="983" spans="1:2" ht="12.75" customHeight="1">
      <c r="A983" s="95"/>
      <c r="B983" s="96"/>
    </row>
    <row r="984" spans="1:2" ht="12.75" customHeight="1">
      <c r="A984" s="95"/>
      <c r="B984" s="96"/>
    </row>
    <row r="985" spans="1:2" ht="12.75" customHeight="1">
      <c r="A985" s="95"/>
      <c r="B985" s="96"/>
    </row>
    <row r="986" spans="1:2" ht="12.75" customHeight="1">
      <c r="A986" s="95"/>
      <c r="B986" s="96"/>
    </row>
    <row r="987" spans="1:2" ht="12.75" customHeight="1">
      <c r="A987" s="95"/>
      <c r="B987" s="96"/>
    </row>
    <row r="988" spans="1:2" ht="12.75" customHeight="1">
      <c r="A988" s="95"/>
      <c r="B988" s="96"/>
    </row>
    <row r="989" spans="1:2" ht="12.75" customHeight="1">
      <c r="A989" s="95"/>
      <c r="B989" s="96"/>
    </row>
    <row r="990" spans="1:2" ht="12.75" customHeight="1">
      <c r="A990" s="95"/>
      <c r="B990" s="96"/>
    </row>
    <row r="991" spans="1:2" ht="12.75" customHeight="1">
      <c r="A991" s="95"/>
      <c r="B991" s="96"/>
    </row>
    <row r="992" spans="1:2" ht="12.75" customHeight="1">
      <c r="A992" s="95"/>
      <c r="B992" s="96"/>
    </row>
    <row r="993" spans="1:2" ht="12.75" customHeight="1">
      <c r="A993" s="95"/>
      <c r="B993" s="96"/>
    </row>
    <row r="994" spans="1:2" ht="12.75" customHeight="1">
      <c r="A994" s="95"/>
      <c r="B994" s="96"/>
    </row>
    <row r="995" spans="1:2" ht="12.75" customHeight="1">
      <c r="A995" s="95"/>
      <c r="B995" s="96"/>
    </row>
    <row r="996" spans="1:2" ht="12.75" customHeight="1">
      <c r="A996" s="95"/>
      <c r="B996" s="96"/>
    </row>
    <row r="997" spans="1:2" ht="12.75" customHeight="1">
      <c r="A997" s="95"/>
      <c r="B997" s="96"/>
    </row>
    <row r="998" spans="1:2" ht="12.75" customHeight="1">
      <c r="A998" s="95"/>
      <c r="B998" s="96"/>
    </row>
    <row r="999" spans="1:2" ht="12.75" customHeight="1">
      <c r="A999" s="95"/>
      <c r="B999" s="96"/>
    </row>
    <row r="1000" spans="1:2" ht="12.75" customHeight="1">
      <c r="A1000" s="95"/>
      <c r="B1000" s="96"/>
    </row>
  </sheetData>
  <mergeCells count="8">
    <mergeCell ref="A8:A15"/>
    <mergeCell ref="A16:B18"/>
    <mergeCell ref="A2:A3"/>
    <mergeCell ref="B2:B3"/>
    <mergeCell ref="A4:A5"/>
    <mergeCell ref="B4:B5"/>
    <mergeCell ref="A6:A7"/>
    <mergeCell ref="B6:B7"/>
  </mergeCells>
  <conditionalFormatting sqref="B6:B7">
    <cfRule type="expression" dxfId="355" priority="1">
      <formula>AND($B$2="A2.2.2 - First year vehicle",$B$6&lt;&gt;"N/A")</formula>
    </cfRule>
    <cfRule type="expression" dxfId="354" priority="2">
      <formula>AND($B$2="A2.2.3 - Existing chassis",$B$6="N/A")</formula>
    </cfRule>
  </conditionalFormatting>
  <dataValidations count="2">
    <dataValidation type="list" allowBlank="1" showErrorMessage="1" sqref="B2" xr:uid="{00000000-0002-0000-0500-000000000000}">
      <formula1>"A2.2.2 - First year vehicle,A2.2.3 - Existing chassis"</formula1>
    </dataValidation>
    <dataValidation type="list" allowBlank="1" showErrorMessage="1" sqref="B6" xr:uid="{00000000-0002-0000-0500-000001000000}">
      <formula1>"N/A,Powertrain change: CV to EV,Powertrain change: CV to HY,Powertrain change: HY to EV,Initial implementation of Autonomous System,Both a change of powertrain and initial implementation autonomous system"</formula1>
    </dataValidation>
  </dataValidation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999FF"/>
    <pageSetUpPr fitToPage="1"/>
  </sheetPr>
  <dimension ref="B1:T1000"/>
  <sheetViews>
    <sheetView showGridLines="0" workbookViewId="0"/>
  </sheetViews>
  <sheetFormatPr baseColWidth="10" defaultColWidth="12.5703125" defaultRowHeight="15" customHeight="1"/>
  <cols>
    <col min="1" max="1" width="3.42578125" customWidth="1"/>
    <col min="2" max="2" width="24.5703125" customWidth="1"/>
    <col min="3" max="3" width="10.140625" customWidth="1"/>
    <col min="4" max="5" width="18" customWidth="1"/>
    <col min="6" max="6" width="15.5703125" customWidth="1"/>
    <col min="7" max="7" width="18" customWidth="1"/>
    <col min="8" max="8" width="15.5703125" customWidth="1"/>
    <col min="9" max="20" width="10.5703125" customWidth="1"/>
    <col min="21" max="26" width="11.42578125" customWidth="1"/>
  </cols>
  <sheetData>
    <row r="1" spans="2:20" ht="12.75" customHeight="1">
      <c r="B1" s="106" t="s">
        <v>200</v>
      </c>
    </row>
    <row r="2" spans="2:20" ht="12.75" customHeight="1"/>
    <row r="3" spans="2:20" ht="12.75" customHeight="1">
      <c r="B3" s="43" t="s">
        <v>201</v>
      </c>
      <c r="C3" s="107" t="s">
        <v>202</v>
      </c>
      <c r="D3" s="107" t="s">
        <v>203</v>
      </c>
      <c r="E3" s="107" t="s">
        <v>138</v>
      </c>
      <c r="F3" s="107" t="s">
        <v>204</v>
      </c>
      <c r="G3" s="107" t="s">
        <v>205</v>
      </c>
      <c r="H3" s="107" t="s">
        <v>206</v>
      </c>
      <c r="I3" s="107" t="s">
        <v>207</v>
      </c>
      <c r="J3" s="107" t="s">
        <v>208</v>
      </c>
      <c r="K3" s="107" t="s">
        <v>209</v>
      </c>
      <c r="L3" s="107" t="s">
        <v>210</v>
      </c>
      <c r="M3" s="107" t="s">
        <v>211</v>
      </c>
      <c r="N3" s="107" t="s">
        <v>212</v>
      </c>
      <c r="O3" s="107" t="s">
        <v>213</v>
      </c>
      <c r="P3" s="107" t="s">
        <v>214</v>
      </c>
      <c r="Q3" s="107" t="s">
        <v>215</v>
      </c>
      <c r="R3" s="107" t="s">
        <v>216</v>
      </c>
      <c r="S3" s="108" t="s">
        <v>217</v>
      </c>
      <c r="T3" s="31"/>
    </row>
    <row r="4" spans="2:20" ht="12.75" customHeight="1">
      <c r="B4" s="43" t="s">
        <v>218</v>
      </c>
      <c r="C4" s="109" t="s">
        <v>202</v>
      </c>
      <c r="D4" s="109" t="s">
        <v>219</v>
      </c>
      <c r="E4" s="109" t="s">
        <v>138</v>
      </c>
      <c r="F4" s="109" t="s">
        <v>204</v>
      </c>
      <c r="G4" s="110" t="s">
        <v>220</v>
      </c>
      <c r="H4" s="111" t="s">
        <v>166</v>
      </c>
      <c r="I4" s="111" t="s">
        <v>165</v>
      </c>
      <c r="J4" s="112" t="s">
        <v>91</v>
      </c>
      <c r="K4" s="113"/>
      <c r="L4" s="113"/>
      <c r="M4" s="114"/>
      <c r="N4" s="114"/>
      <c r="O4" s="114"/>
      <c r="P4" s="114"/>
      <c r="Q4" s="114"/>
      <c r="R4" s="114"/>
      <c r="S4" s="115"/>
      <c r="T4" s="24"/>
    </row>
    <row r="5" spans="2:20" ht="12.75" customHeight="1">
      <c r="B5" s="43" t="s">
        <v>221</v>
      </c>
      <c r="C5" s="109"/>
      <c r="D5" s="109"/>
      <c r="E5" s="109"/>
      <c r="F5" s="109"/>
      <c r="G5" s="116"/>
      <c r="H5" s="117"/>
      <c r="I5" s="118"/>
      <c r="J5" s="119" t="s">
        <v>222</v>
      </c>
      <c r="K5" s="120"/>
      <c r="L5" s="121"/>
      <c r="M5" s="122"/>
      <c r="N5" s="123"/>
      <c r="O5" s="123"/>
      <c r="P5" s="124"/>
      <c r="Q5" s="124"/>
      <c r="R5" s="124"/>
      <c r="S5" s="125"/>
      <c r="T5" s="34"/>
    </row>
    <row r="6" spans="2:20" ht="12.75" customHeight="1">
      <c r="B6" s="43" t="s">
        <v>223</v>
      </c>
      <c r="C6" s="126">
        <v>200000000000</v>
      </c>
      <c r="D6" s="127" t="s">
        <v>129</v>
      </c>
      <c r="E6" s="127">
        <v>70000000000</v>
      </c>
      <c r="F6" s="127">
        <v>70000000000</v>
      </c>
      <c r="G6" s="126">
        <f>'T3.5 Laminate Test'!C63*1000000000</f>
        <v>0</v>
      </c>
      <c r="H6" s="128">
        <f>'T3.5 FBHS'!C59*1000000000</f>
        <v>0</v>
      </c>
      <c r="I6" s="128">
        <f>'T3.5 FBH'!C59*1000000000</f>
        <v>0</v>
      </c>
      <c r="J6" s="129" t="s">
        <v>224</v>
      </c>
      <c r="K6" s="127"/>
      <c r="L6" s="127"/>
      <c r="M6" s="127"/>
      <c r="N6" s="127"/>
      <c r="O6" s="127"/>
      <c r="P6" s="127"/>
      <c r="Q6" s="127"/>
      <c r="R6" s="127"/>
      <c r="S6" s="130"/>
      <c r="T6" s="131"/>
    </row>
    <row r="7" spans="2:20" ht="12.75" customHeight="1">
      <c r="B7" s="43" t="s">
        <v>225</v>
      </c>
      <c r="C7" s="126">
        <v>305000000</v>
      </c>
      <c r="D7" s="127" t="s">
        <v>129</v>
      </c>
      <c r="E7" s="127">
        <v>1</v>
      </c>
      <c r="F7" s="127">
        <v>2</v>
      </c>
      <c r="G7" s="126" t="e">
        <f t="shared" ref="G7:I7" si="0">G8</f>
        <v>#DIV/0!</v>
      </c>
      <c r="H7" s="128" t="e">
        <f t="shared" si="0"/>
        <v>#DIV/0!</v>
      </c>
      <c r="I7" s="128" t="e">
        <f t="shared" si="0"/>
        <v>#DIV/0!</v>
      </c>
      <c r="J7" s="129" t="s">
        <v>226</v>
      </c>
      <c r="K7" s="127"/>
      <c r="L7" s="127"/>
      <c r="M7" s="127"/>
      <c r="N7" s="127"/>
      <c r="O7" s="127"/>
      <c r="P7" s="127"/>
      <c r="Q7" s="127"/>
      <c r="R7" s="127"/>
      <c r="S7" s="130"/>
      <c r="T7" s="131"/>
    </row>
    <row r="8" spans="2:20" ht="12.75" customHeight="1">
      <c r="B8" s="43" t="s">
        <v>227</v>
      </c>
      <c r="C8" s="126">
        <v>365000000</v>
      </c>
      <c r="D8" s="127" t="s">
        <v>129</v>
      </c>
      <c r="E8" s="127">
        <v>1</v>
      </c>
      <c r="F8" s="127">
        <v>2</v>
      </c>
      <c r="G8" s="126" t="e">
        <f>'T3.5 Laminate Test'!C64*1000000</f>
        <v>#DIV/0!</v>
      </c>
      <c r="H8" s="128" t="e">
        <f>'T3.5 FBHS'!C60*1000000</f>
        <v>#DIV/0!</v>
      </c>
      <c r="I8" s="128" t="e">
        <f>'T3.5 FBH'!C60*1000000</f>
        <v>#DIV/0!</v>
      </c>
      <c r="J8" s="129" t="s">
        <v>228</v>
      </c>
      <c r="K8" s="127"/>
      <c r="L8" s="127"/>
      <c r="M8" s="127"/>
      <c r="N8" s="127"/>
      <c r="O8" s="127"/>
      <c r="P8" s="127"/>
      <c r="Q8" s="127"/>
      <c r="R8" s="127"/>
      <c r="S8" s="130"/>
      <c r="T8" s="131"/>
    </row>
    <row r="9" spans="2:20" ht="12.75" customHeight="1">
      <c r="B9" s="43" t="s">
        <v>229</v>
      </c>
      <c r="C9" s="126">
        <v>180000000</v>
      </c>
      <c r="D9" s="127" t="s">
        <v>129</v>
      </c>
      <c r="E9" s="127">
        <v>1</v>
      </c>
      <c r="F9" s="127">
        <v>2</v>
      </c>
      <c r="G9" s="132" t="s">
        <v>129</v>
      </c>
      <c r="H9" s="133" t="s">
        <v>129</v>
      </c>
      <c r="I9" s="133" t="s">
        <v>129</v>
      </c>
      <c r="J9" s="134" t="s">
        <v>129</v>
      </c>
      <c r="K9" s="133" t="s">
        <v>129</v>
      </c>
      <c r="L9" s="133" t="s">
        <v>129</v>
      </c>
      <c r="M9" s="133" t="s">
        <v>129</v>
      </c>
      <c r="N9" s="133" t="s">
        <v>129</v>
      </c>
      <c r="O9" s="133" t="s">
        <v>129</v>
      </c>
      <c r="P9" s="133" t="s">
        <v>129</v>
      </c>
      <c r="Q9" s="133" t="s">
        <v>129</v>
      </c>
      <c r="R9" s="133" t="s">
        <v>129</v>
      </c>
      <c r="S9" s="135" t="s">
        <v>129</v>
      </c>
      <c r="T9" s="136"/>
    </row>
    <row r="10" spans="2:20" ht="12.75" customHeight="1">
      <c r="B10" s="43" t="s">
        <v>230</v>
      </c>
      <c r="C10" s="126">
        <v>300000000</v>
      </c>
      <c r="D10" s="127" t="s">
        <v>129</v>
      </c>
      <c r="E10" s="127">
        <v>1</v>
      </c>
      <c r="F10" s="127">
        <v>2</v>
      </c>
      <c r="G10" s="132" t="s">
        <v>129</v>
      </c>
      <c r="H10" s="133" t="s">
        <v>129</v>
      </c>
      <c r="I10" s="133" t="s">
        <v>129</v>
      </c>
      <c r="J10" s="134" t="s">
        <v>129</v>
      </c>
      <c r="K10" s="133" t="s">
        <v>129</v>
      </c>
      <c r="L10" s="133" t="s">
        <v>129</v>
      </c>
      <c r="M10" s="133" t="s">
        <v>129</v>
      </c>
      <c r="N10" s="133" t="s">
        <v>129</v>
      </c>
      <c r="O10" s="133" t="s">
        <v>129</v>
      </c>
      <c r="P10" s="133" t="s">
        <v>129</v>
      </c>
      <c r="Q10" s="133" t="s">
        <v>129</v>
      </c>
      <c r="R10" s="133" t="s">
        <v>129</v>
      </c>
      <c r="S10" s="135" t="s">
        <v>129</v>
      </c>
      <c r="T10" s="136"/>
    </row>
    <row r="11" spans="2:20" ht="12.75" customHeight="1">
      <c r="B11" s="43" t="s">
        <v>231</v>
      </c>
      <c r="C11" s="126">
        <f>0.6*C8</f>
        <v>219000000</v>
      </c>
      <c r="D11" s="127" t="s">
        <v>129</v>
      </c>
      <c r="E11" s="127">
        <v>1</v>
      </c>
      <c r="F11" s="127">
        <v>2</v>
      </c>
      <c r="G11" s="137" t="e">
        <f ca="1">'T3.5.9 Shear Tests'!W56*1000000</f>
        <v>#NAME?</v>
      </c>
      <c r="H11" s="137" t="e">
        <f ca="1">'T3.5.9 Shear Tests'!D56*1000000</f>
        <v>#NAME?</v>
      </c>
      <c r="I11" s="137">
        <f>'Other 1 Matt´l Shear'!D53*1000000</f>
        <v>0</v>
      </c>
      <c r="J11" s="129" t="s">
        <v>232</v>
      </c>
      <c r="K11" s="127"/>
      <c r="L11" s="127"/>
      <c r="M11" s="127"/>
      <c r="N11" s="127"/>
      <c r="O11" s="127"/>
      <c r="P11" s="127"/>
      <c r="Q11" s="127"/>
      <c r="R11" s="127"/>
      <c r="S11" s="130"/>
      <c r="T11" s="131"/>
    </row>
    <row r="12" spans="2:20" ht="12.75" customHeight="1">
      <c r="C12" s="67"/>
      <c r="D12" s="67"/>
    </row>
    <row r="13" spans="2:20" ht="12.75" customHeight="1">
      <c r="C13" s="34" t="s">
        <v>233</v>
      </c>
      <c r="D13" s="34"/>
    </row>
    <row r="14" spans="2:20" ht="12.75" customHeight="1">
      <c r="C14" s="34" t="s">
        <v>234</v>
      </c>
      <c r="D14" s="34"/>
    </row>
    <row r="15" spans="2:20" ht="12.75" customHeight="1">
      <c r="B15" s="34"/>
      <c r="C15" s="34" t="s">
        <v>235</v>
      </c>
      <c r="D15" s="34"/>
    </row>
    <row r="16" spans="2:20" ht="12.75" customHeight="1">
      <c r="C16" s="34" t="s">
        <v>236</v>
      </c>
      <c r="D16" s="34"/>
    </row>
    <row r="17" spans="2:10" ht="12.75" customHeight="1">
      <c r="C17" s="34"/>
      <c r="D17" s="34"/>
    </row>
    <row r="18" spans="2:10" ht="12.75" customHeight="1">
      <c r="C18" s="34"/>
      <c r="D18" s="34"/>
    </row>
    <row r="19" spans="2:10" ht="12.75" customHeight="1">
      <c r="C19" s="34"/>
      <c r="D19" s="34"/>
    </row>
    <row r="20" spans="2:10" ht="12.75" customHeight="1">
      <c r="B20" s="34"/>
      <c r="C20" s="138"/>
      <c r="D20" s="138"/>
      <c r="E20" s="138"/>
      <c r="F20" s="138"/>
      <c r="G20" s="138"/>
      <c r="H20" s="31" t="s">
        <v>237</v>
      </c>
      <c r="I20" s="138"/>
    </row>
    <row r="21" spans="2:10" ht="12.75" customHeight="1">
      <c r="B21" s="34"/>
      <c r="E21" s="642"/>
      <c r="F21" s="583"/>
      <c r="G21" s="642"/>
      <c r="H21" s="583"/>
      <c r="I21" s="34" t="s">
        <v>238</v>
      </c>
    </row>
    <row r="22" spans="2:10" ht="12.75" customHeight="1">
      <c r="B22" s="34"/>
      <c r="C22" s="138"/>
      <c r="D22" s="138"/>
      <c r="E22" s="138"/>
      <c r="F22" s="138"/>
      <c r="G22" s="138"/>
      <c r="H22" s="138"/>
      <c r="I22" s="34" t="s">
        <v>239</v>
      </c>
      <c r="J22" s="39"/>
    </row>
    <row r="23" spans="2:10" ht="12.75" customHeight="1">
      <c r="B23" s="139" t="s">
        <v>240</v>
      </c>
      <c r="C23" s="138"/>
      <c r="D23" s="138"/>
      <c r="E23" s="138"/>
      <c r="F23" s="138"/>
      <c r="G23" s="138"/>
      <c r="H23" s="138"/>
      <c r="I23" s="34" t="s">
        <v>241</v>
      </c>
      <c r="J23" s="39"/>
    </row>
    <row r="24" spans="2:10" ht="12.75" customHeight="1">
      <c r="B24" s="139" t="s">
        <v>242</v>
      </c>
      <c r="C24" s="138"/>
      <c r="D24" s="138"/>
      <c r="E24" s="138"/>
      <c r="F24" s="138"/>
      <c r="G24" s="138"/>
      <c r="H24" s="138"/>
      <c r="I24" s="34" t="s">
        <v>243</v>
      </c>
      <c r="J24" s="39"/>
    </row>
    <row r="25" spans="2:10" ht="12.75" customHeight="1">
      <c r="B25" s="139" t="s">
        <v>244</v>
      </c>
      <c r="C25" s="138"/>
      <c r="D25" s="138"/>
      <c r="E25" s="138"/>
      <c r="F25" s="138"/>
      <c r="G25" s="138"/>
      <c r="H25" s="138"/>
      <c r="I25" s="34" t="s">
        <v>245</v>
      </c>
      <c r="J25" s="39"/>
    </row>
    <row r="26" spans="2:10" ht="12.75" customHeight="1">
      <c r="B26" s="139"/>
      <c r="C26" s="138"/>
      <c r="D26" s="138"/>
      <c r="E26" s="138"/>
      <c r="F26" s="138"/>
      <c r="G26" s="138"/>
      <c r="H26" s="138"/>
      <c r="I26" s="34" t="s">
        <v>246</v>
      </c>
      <c r="J26" s="39"/>
    </row>
    <row r="27" spans="2:10" ht="12.75" customHeight="1">
      <c r="B27" s="139" t="s">
        <v>247</v>
      </c>
      <c r="C27" s="138"/>
      <c r="D27" s="138"/>
      <c r="E27" s="138"/>
      <c r="F27" s="138"/>
      <c r="G27" s="138"/>
      <c r="H27" s="138"/>
      <c r="I27" s="34" t="s">
        <v>248</v>
      </c>
    </row>
    <row r="28" spans="2:10" ht="12.75" customHeight="1">
      <c r="B28" s="139" t="s">
        <v>249</v>
      </c>
      <c r="C28" s="138"/>
      <c r="D28" s="138"/>
      <c r="E28" s="138"/>
      <c r="F28" s="138"/>
      <c r="G28" s="138"/>
      <c r="H28" s="138"/>
    </row>
    <row r="29" spans="2:10" ht="12.75" customHeight="1">
      <c r="B29" s="34"/>
      <c r="C29" s="138"/>
      <c r="D29" s="138"/>
      <c r="E29" s="138"/>
      <c r="F29" s="138"/>
      <c r="G29" s="138"/>
      <c r="H29" s="138"/>
    </row>
    <row r="30" spans="2:10" ht="12.75" customHeight="1">
      <c r="C30" s="138"/>
      <c r="D30" s="138"/>
      <c r="E30" s="138"/>
      <c r="F30" s="138"/>
      <c r="G30" s="138"/>
      <c r="H30" s="138"/>
    </row>
    <row r="31" spans="2:10" ht="12.75" customHeight="1">
      <c r="C31" s="138"/>
      <c r="D31" s="138"/>
      <c r="E31" s="138"/>
      <c r="F31" s="138"/>
      <c r="G31" s="138"/>
      <c r="H31" s="138"/>
    </row>
    <row r="32" spans="2:10" ht="12.75" customHeight="1">
      <c r="C32" s="138"/>
      <c r="D32" s="138"/>
      <c r="E32" s="138"/>
      <c r="F32" s="138"/>
      <c r="G32" s="138"/>
      <c r="H32" s="138"/>
    </row>
    <row r="33" spans="3:8" ht="12.75" customHeight="1">
      <c r="C33" s="138"/>
      <c r="D33" s="138"/>
      <c r="E33" s="138"/>
      <c r="F33" s="138"/>
      <c r="G33" s="138"/>
      <c r="H33" s="138"/>
    </row>
    <row r="34" spans="3:8" ht="12.75" customHeight="1"/>
    <row r="35" spans="3:8" ht="12.75" customHeight="1"/>
    <row r="36" spans="3:8" ht="12.75" customHeight="1"/>
    <row r="37" spans="3:8" ht="12.75" customHeight="1"/>
    <row r="38" spans="3:8" ht="12.75" customHeight="1"/>
    <row r="39" spans="3:8" ht="12.75" customHeight="1"/>
    <row r="40" spans="3:8" ht="12.75" customHeight="1"/>
    <row r="41" spans="3:8" ht="12.75" customHeight="1"/>
    <row r="42" spans="3:8" ht="12.75" customHeight="1"/>
    <row r="43" spans="3:8" ht="12.75" customHeight="1"/>
    <row r="44" spans="3:8" ht="12.75" customHeight="1"/>
    <row r="45" spans="3:8" ht="12.75" customHeight="1"/>
    <row r="46" spans="3:8" ht="12.75" customHeight="1"/>
    <row r="47" spans="3:8" ht="12.75" customHeight="1"/>
    <row r="48" spans="3: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E21:F21"/>
    <mergeCell ref="G21:H21"/>
  </mergeCells>
  <conditionalFormatting sqref="D6">
    <cfRule type="cellIs" dxfId="353" priority="1" operator="greaterThan">
      <formula>$C$6</formula>
    </cfRule>
  </conditionalFormatting>
  <conditionalFormatting sqref="D7">
    <cfRule type="cellIs" dxfId="352" priority="2" operator="greaterThan">
      <formula>$C$7</formula>
    </cfRule>
  </conditionalFormatting>
  <conditionalFormatting sqref="D8">
    <cfRule type="cellIs" dxfId="351" priority="3" operator="greaterThan">
      <formula>$C$8</formula>
    </cfRule>
  </conditionalFormatting>
  <conditionalFormatting sqref="D9">
    <cfRule type="cellIs" dxfId="350" priority="4" operator="greaterThan">
      <formula>$C$9</formula>
    </cfRule>
  </conditionalFormatting>
  <conditionalFormatting sqref="D10">
    <cfRule type="cellIs" dxfId="349" priority="5" operator="greaterThan">
      <formula>$C$10</formula>
    </cfRule>
  </conditionalFormatting>
  <conditionalFormatting sqref="D11">
    <cfRule type="cellIs" dxfId="348" priority="6" operator="greaterThan">
      <formula>$C$11</formula>
    </cfRule>
  </conditionalFormatting>
  <dataValidations count="1">
    <dataValidation type="list" allowBlank="1" showErrorMessage="1" sqref="C12:D12" xr:uid="{00000000-0002-0000-0600-000000000000}">
      <formula1>Materials</formula1>
    </dataValidation>
  </dataValidations>
  <hyperlinks>
    <hyperlink ref="G4" location="'T3.5 Laminate Test'!A1" display="T3.5_Laminate" xr:uid="{00000000-0004-0000-0600-000000000000}"/>
    <hyperlink ref="H4" location="'T3.5 FBHS'!A1" display="FBHS" xr:uid="{00000000-0004-0000-0600-000001000000}"/>
    <hyperlink ref="I4" location="'T3.5 FBH'!A1" display="FBH" xr:uid="{00000000-0004-0000-0600-000002000000}"/>
  </hyperlinks>
  <pageMargins left="0.75" right="0.75" top="1" bottom="1" header="0" footer="0"/>
  <pageSetup paperSize="9" fitToHeight="0"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99FF"/>
  </sheetPr>
  <dimension ref="A1:AO1000"/>
  <sheetViews>
    <sheetView showGridLines="0" workbookViewId="0"/>
  </sheetViews>
  <sheetFormatPr baseColWidth="10" defaultColWidth="12.5703125" defaultRowHeight="15" customHeight="1"/>
  <cols>
    <col min="1" max="38" width="5" customWidth="1"/>
    <col min="39" max="41" width="11.42578125" customWidth="1"/>
  </cols>
  <sheetData>
    <row r="1" spans="1:41" ht="12.75" customHeight="1">
      <c r="A1" s="675" t="s">
        <v>250</v>
      </c>
      <c r="B1" s="595"/>
      <c r="C1" s="595"/>
      <c r="D1" s="595"/>
      <c r="E1" s="595"/>
      <c r="F1" s="595"/>
      <c r="G1" s="595"/>
      <c r="H1" s="595"/>
      <c r="I1" s="595"/>
      <c r="J1" s="595"/>
      <c r="K1" s="595"/>
      <c r="L1" s="595"/>
      <c r="M1" s="595"/>
      <c r="N1" s="595"/>
      <c r="O1" s="595"/>
      <c r="P1" s="595"/>
      <c r="Q1" s="595"/>
      <c r="R1" s="595"/>
      <c r="S1" s="596"/>
      <c r="T1" s="675" t="s">
        <v>251</v>
      </c>
      <c r="U1" s="595"/>
      <c r="V1" s="595"/>
      <c r="W1" s="595"/>
      <c r="X1" s="595"/>
      <c r="Y1" s="595"/>
      <c r="Z1" s="595"/>
      <c r="AA1" s="595"/>
      <c r="AB1" s="595"/>
      <c r="AC1" s="595"/>
      <c r="AD1" s="595"/>
      <c r="AE1" s="595"/>
      <c r="AF1" s="595"/>
      <c r="AG1" s="595"/>
      <c r="AH1" s="595"/>
      <c r="AI1" s="595"/>
      <c r="AJ1" s="595"/>
      <c r="AK1" s="595"/>
      <c r="AL1" s="596"/>
    </row>
    <row r="2" spans="1:41" ht="12.75" customHeight="1">
      <c r="A2" s="140"/>
      <c r="S2" s="141"/>
      <c r="T2" s="80"/>
      <c r="AL2" s="141"/>
      <c r="AM2" s="39" t="s">
        <v>252</v>
      </c>
      <c r="AN2" s="39"/>
      <c r="AO2" s="39"/>
    </row>
    <row r="3" spans="1:41" ht="12.75" customHeight="1">
      <c r="A3" s="67" t="s">
        <v>45</v>
      </c>
      <c r="D3" s="635" t="str">
        <f>IF('Cover Sheet'!$D$14&gt;0,'Cover Sheet'!$D$14,"")</f>
        <v>Ecole Centrale Lyon</v>
      </c>
      <c r="E3" s="601"/>
      <c r="F3" s="601"/>
      <c r="G3" s="601"/>
      <c r="H3" s="601"/>
      <c r="I3" s="601"/>
      <c r="J3" s="601"/>
      <c r="K3" s="67" t="s">
        <v>47</v>
      </c>
      <c r="O3" s="635" t="str">
        <f>IF('Cover Sheet'!$O$14&gt;0,'Cover Sheet'!$O$14,"")</f>
        <v>81 FSCH/FSS/FSF</v>
      </c>
      <c r="P3" s="601"/>
      <c r="Q3" s="601"/>
      <c r="R3" s="601"/>
      <c r="S3" s="601"/>
      <c r="T3" s="67" t="s">
        <v>45</v>
      </c>
      <c r="W3" s="635" t="str">
        <f>IF('Cover Sheet'!$D$14&gt;0,'Cover Sheet'!$D$14,"")</f>
        <v>Ecole Centrale Lyon</v>
      </c>
      <c r="X3" s="601"/>
      <c r="Y3" s="601"/>
      <c r="Z3" s="601"/>
      <c r="AA3" s="601"/>
      <c r="AB3" s="601"/>
      <c r="AC3" s="601"/>
      <c r="AD3" s="67" t="s">
        <v>47</v>
      </c>
      <c r="AH3" s="635" t="str">
        <f>IF('Cover Sheet'!$O$14&gt;0,'Cover Sheet'!$O$14,"")</f>
        <v>81 FSCH/FSS/FSF</v>
      </c>
      <c r="AI3" s="601"/>
      <c r="AJ3" s="601"/>
      <c r="AK3" s="601"/>
      <c r="AL3" s="601"/>
    </row>
    <row r="4" spans="1:41" ht="12.75" customHeight="1">
      <c r="A4" s="80"/>
      <c r="S4" s="141"/>
      <c r="T4" s="80"/>
      <c r="AL4" s="141"/>
    </row>
    <row r="5" spans="1:41" ht="12.75" customHeight="1">
      <c r="A5" s="676"/>
      <c r="B5" s="677"/>
      <c r="C5" s="677"/>
      <c r="D5" s="677"/>
      <c r="E5" s="677"/>
      <c r="F5" s="677"/>
      <c r="G5" s="677"/>
      <c r="H5" s="677"/>
      <c r="I5" s="677"/>
      <c r="J5" s="677"/>
      <c r="K5" s="677"/>
      <c r="L5" s="677"/>
      <c r="M5" s="677"/>
      <c r="N5" s="677"/>
      <c r="O5" s="677"/>
      <c r="P5" s="677"/>
      <c r="Q5" s="677"/>
      <c r="R5" s="677"/>
      <c r="S5" s="667"/>
      <c r="T5" s="142"/>
      <c r="U5" s="143"/>
      <c r="V5" s="143"/>
      <c r="W5" s="143"/>
      <c r="X5" s="143"/>
      <c r="Y5" s="143"/>
      <c r="Z5" s="143"/>
      <c r="AA5" s="143"/>
      <c r="AB5" s="143"/>
      <c r="AC5" s="143"/>
      <c r="AD5" s="143"/>
      <c r="AE5" s="143"/>
      <c r="AF5" s="143"/>
      <c r="AG5" s="143"/>
      <c r="AH5" s="143"/>
      <c r="AI5" s="143"/>
      <c r="AJ5" s="143"/>
      <c r="AK5" s="143"/>
      <c r="AL5" s="144"/>
    </row>
    <row r="6" spans="1:41" ht="12.75" customHeight="1">
      <c r="A6" s="145"/>
      <c r="B6" s="65"/>
      <c r="C6" s="65"/>
      <c r="D6" s="65"/>
      <c r="E6" s="65"/>
      <c r="F6" s="65"/>
      <c r="G6" s="65"/>
      <c r="H6" s="65"/>
      <c r="I6" s="65"/>
      <c r="J6" s="65"/>
      <c r="K6" s="65"/>
      <c r="L6" s="65"/>
      <c r="M6" s="65"/>
      <c r="N6" s="65"/>
      <c r="O6" s="65"/>
      <c r="P6" s="65"/>
      <c r="Q6" s="65"/>
      <c r="R6" s="65"/>
      <c r="S6" s="146"/>
      <c r="T6" s="95"/>
      <c r="U6" s="64"/>
      <c r="V6" s="64"/>
      <c r="W6" s="64"/>
      <c r="X6" s="64"/>
      <c r="Y6" s="64"/>
      <c r="Z6" s="64"/>
      <c r="AA6" s="64"/>
      <c r="AB6" s="64"/>
      <c r="AC6" s="64"/>
      <c r="AD6" s="64"/>
      <c r="AE6" s="64"/>
      <c r="AF6" s="64"/>
      <c r="AG6" s="64"/>
      <c r="AH6" s="64"/>
      <c r="AI6" s="64"/>
      <c r="AJ6" s="64"/>
      <c r="AK6" s="64"/>
      <c r="AL6" s="96"/>
    </row>
    <row r="7" spans="1:41" ht="12.75" customHeight="1">
      <c r="A7" s="145"/>
      <c r="B7" s="147" t="s">
        <v>253</v>
      </c>
      <c r="C7" s="147"/>
      <c r="D7" s="65"/>
      <c r="E7" s="65"/>
      <c r="F7" s="65"/>
      <c r="G7" s="65"/>
      <c r="H7" s="65"/>
      <c r="I7" s="65"/>
      <c r="J7" s="65"/>
      <c r="K7" s="65"/>
      <c r="L7" s="65"/>
      <c r="M7" s="65"/>
      <c r="N7" s="65"/>
      <c r="O7" s="65"/>
      <c r="P7" s="65"/>
      <c r="Q7" s="65"/>
      <c r="R7" s="65"/>
      <c r="S7" s="146"/>
      <c r="T7" s="95"/>
      <c r="U7" s="147" t="s">
        <v>253</v>
      </c>
      <c r="V7" s="64"/>
      <c r="W7" s="64"/>
      <c r="X7" s="64"/>
      <c r="Y7" s="64"/>
      <c r="Z7" s="64"/>
      <c r="AA7" s="64"/>
      <c r="AB7" s="64"/>
      <c r="AC7" s="64"/>
      <c r="AD7" s="64"/>
      <c r="AE7" s="64"/>
      <c r="AF7" s="64"/>
      <c r="AG7" s="64"/>
      <c r="AH7" s="64"/>
      <c r="AI7" s="64"/>
      <c r="AJ7" s="64"/>
      <c r="AK7" s="64"/>
      <c r="AL7" s="96"/>
    </row>
    <row r="8" spans="1:41" ht="12.75" customHeight="1">
      <c r="A8" s="145"/>
      <c r="B8" s="65"/>
      <c r="C8" s="65"/>
      <c r="D8" s="65"/>
      <c r="E8" s="65"/>
      <c r="F8" s="65"/>
      <c r="G8" s="65"/>
      <c r="H8" s="65"/>
      <c r="I8" s="65"/>
      <c r="J8" s="65"/>
      <c r="K8" s="65"/>
      <c r="L8" s="65"/>
      <c r="M8" s="65"/>
      <c r="N8" s="65"/>
      <c r="O8" s="65"/>
      <c r="P8" s="65"/>
      <c r="Q8" s="65"/>
      <c r="R8" s="65"/>
      <c r="S8" s="146"/>
      <c r="T8" s="95"/>
      <c r="U8" s="65"/>
      <c r="V8" s="64"/>
      <c r="W8" s="64"/>
      <c r="X8" s="64"/>
      <c r="Y8" s="64"/>
      <c r="Z8" s="64"/>
      <c r="AA8" s="64"/>
      <c r="AB8" s="64"/>
      <c r="AC8" s="64"/>
      <c r="AD8" s="64"/>
      <c r="AE8" s="64"/>
      <c r="AF8" s="64"/>
      <c r="AG8" s="64"/>
      <c r="AH8" s="64"/>
      <c r="AI8" s="64"/>
      <c r="AJ8" s="64"/>
      <c r="AK8" s="64"/>
      <c r="AL8" s="96"/>
    </row>
    <row r="9" spans="1:41" ht="12.75" customHeight="1">
      <c r="A9" s="145"/>
      <c r="B9" s="147" t="s">
        <v>254</v>
      </c>
      <c r="C9" s="147"/>
      <c r="D9" s="65"/>
      <c r="E9" s="65"/>
      <c r="F9" s="64"/>
      <c r="G9" s="64"/>
      <c r="H9" s="65"/>
      <c r="I9" s="65"/>
      <c r="J9" s="65"/>
      <c r="K9" s="65"/>
      <c r="L9" s="65"/>
      <c r="M9" s="65"/>
      <c r="N9" s="65"/>
      <c r="O9" s="65"/>
      <c r="P9" s="65"/>
      <c r="Q9" s="65"/>
      <c r="R9" s="65"/>
      <c r="S9" s="146"/>
      <c r="T9" s="95"/>
      <c r="U9" s="147" t="s">
        <v>254</v>
      </c>
      <c r="V9" s="64"/>
      <c r="W9" s="64"/>
      <c r="X9" s="64"/>
      <c r="Y9" s="64"/>
      <c r="Z9" s="64"/>
      <c r="AA9" s="64"/>
      <c r="AB9" s="64"/>
      <c r="AC9" s="64"/>
      <c r="AD9" s="64"/>
      <c r="AE9" s="64"/>
      <c r="AF9" s="64"/>
      <c r="AG9" s="64"/>
      <c r="AH9" s="64"/>
      <c r="AI9" s="64"/>
      <c r="AJ9" s="64"/>
      <c r="AK9" s="64"/>
      <c r="AL9" s="96"/>
    </row>
    <row r="10" spans="1:41" ht="12.75" customHeight="1">
      <c r="A10" s="145"/>
      <c r="B10" s="65"/>
      <c r="C10" s="65"/>
      <c r="D10" s="65"/>
      <c r="E10" s="65"/>
      <c r="F10" s="65"/>
      <c r="G10" s="65"/>
      <c r="H10" s="65"/>
      <c r="I10" s="65"/>
      <c r="J10" s="65"/>
      <c r="K10" s="65"/>
      <c r="L10" s="65"/>
      <c r="M10" s="65"/>
      <c r="N10" s="65"/>
      <c r="O10" s="65"/>
      <c r="P10" s="65"/>
      <c r="Q10" s="65"/>
      <c r="R10" s="65"/>
      <c r="S10" s="146"/>
      <c r="T10" s="95"/>
      <c r="U10" s="65"/>
      <c r="V10" s="64"/>
      <c r="W10" s="64"/>
      <c r="X10" s="64"/>
      <c r="Y10" s="64"/>
      <c r="Z10" s="64"/>
      <c r="AA10" s="64"/>
      <c r="AB10" s="64"/>
      <c r="AC10" s="64"/>
      <c r="AD10" s="64"/>
      <c r="AE10" s="64"/>
      <c r="AF10" s="64"/>
      <c r="AG10" s="64"/>
      <c r="AH10" s="64"/>
      <c r="AI10" s="64"/>
      <c r="AJ10" s="64"/>
      <c r="AK10" s="64"/>
      <c r="AL10" s="96"/>
    </row>
    <row r="11" spans="1:41" ht="12.75" customHeight="1">
      <c r="A11" s="145"/>
      <c r="B11" s="147" t="s">
        <v>255</v>
      </c>
      <c r="C11" s="147"/>
      <c r="D11" s="65"/>
      <c r="E11" s="65"/>
      <c r="F11" s="65"/>
      <c r="G11" s="64"/>
      <c r="H11" s="65"/>
      <c r="I11" s="65"/>
      <c r="J11" s="65"/>
      <c r="K11" s="65"/>
      <c r="L11" s="65"/>
      <c r="M11" s="65"/>
      <c r="N11" s="65"/>
      <c r="O11" s="65"/>
      <c r="P11" s="65"/>
      <c r="Q11" s="65"/>
      <c r="R11" s="65"/>
      <c r="S11" s="146"/>
      <c r="T11" s="95"/>
      <c r="U11" s="147" t="s">
        <v>255</v>
      </c>
      <c r="V11" s="64"/>
      <c r="W11" s="64"/>
      <c r="X11" s="147"/>
      <c r="Y11" s="64"/>
      <c r="Z11" s="147"/>
      <c r="AA11" s="64"/>
      <c r="AB11" s="64"/>
      <c r="AC11" s="64"/>
      <c r="AD11" s="64"/>
      <c r="AE11" s="64"/>
      <c r="AF11" s="64"/>
      <c r="AG11" s="64"/>
      <c r="AH11" s="64"/>
      <c r="AI11" s="64"/>
      <c r="AJ11" s="64"/>
      <c r="AK11" s="64"/>
      <c r="AL11" s="96"/>
    </row>
    <row r="12" spans="1:41" ht="12.75" customHeight="1">
      <c r="A12" s="145"/>
      <c r="B12" s="65"/>
      <c r="C12" s="65"/>
      <c r="D12" s="65"/>
      <c r="E12" s="65"/>
      <c r="F12" s="65"/>
      <c r="G12" s="64"/>
      <c r="H12" s="65"/>
      <c r="I12" s="65"/>
      <c r="J12" s="65"/>
      <c r="K12" s="65"/>
      <c r="L12" s="65"/>
      <c r="M12" s="65"/>
      <c r="N12" s="65"/>
      <c r="O12" s="65"/>
      <c r="P12" s="65"/>
      <c r="Q12" s="65"/>
      <c r="R12" s="65"/>
      <c r="S12" s="146"/>
      <c r="T12" s="95"/>
      <c r="U12" s="64"/>
      <c r="V12" s="64"/>
      <c r="W12" s="64"/>
      <c r="X12" s="64"/>
      <c r="Y12" s="64"/>
      <c r="Z12" s="64"/>
      <c r="AA12" s="64"/>
      <c r="AB12" s="64"/>
      <c r="AC12" s="64"/>
      <c r="AD12" s="64"/>
      <c r="AE12" s="64"/>
      <c r="AF12" s="64"/>
      <c r="AG12" s="64"/>
      <c r="AH12" s="64"/>
      <c r="AI12" s="64"/>
      <c r="AJ12" s="64"/>
      <c r="AK12" s="64"/>
      <c r="AL12" s="96"/>
    </row>
    <row r="13" spans="1:41" ht="12.75" customHeight="1">
      <c r="A13" s="145"/>
      <c r="B13" s="65"/>
      <c r="C13" s="65"/>
      <c r="D13" s="65"/>
      <c r="E13" s="65"/>
      <c r="F13" s="65"/>
      <c r="G13" s="64"/>
      <c r="H13" s="65"/>
      <c r="I13" s="65"/>
      <c r="J13" s="65"/>
      <c r="K13" s="65"/>
      <c r="L13" s="65"/>
      <c r="M13" s="65"/>
      <c r="N13" s="65"/>
      <c r="O13" s="65"/>
      <c r="P13" s="65"/>
      <c r="Q13" s="65"/>
      <c r="R13" s="65"/>
      <c r="S13" s="146"/>
      <c r="T13" s="95"/>
      <c r="U13" s="64"/>
      <c r="V13" s="64"/>
      <c r="W13" s="64"/>
      <c r="X13" s="64"/>
      <c r="Y13" s="64"/>
      <c r="Z13" s="147"/>
      <c r="AA13" s="64"/>
      <c r="AB13" s="64"/>
      <c r="AC13" s="64"/>
      <c r="AD13" s="64"/>
      <c r="AE13" s="64"/>
      <c r="AF13" s="64"/>
      <c r="AG13" s="64"/>
      <c r="AH13" s="64"/>
      <c r="AI13" s="64"/>
      <c r="AJ13" s="64"/>
      <c r="AK13" s="64"/>
      <c r="AL13" s="96"/>
    </row>
    <row r="14" spans="1:41" ht="12.75" customHeight="1">
      <c r="A14" s="145"/>
      <c r="B14" s="65"/>
      <c r="C14" s="65"/>
      <c r="D14" s="65"/>
      <c r="E14" s="65"/>
      <c r="F14" s="65"/>
      <c r="G14" s="65"/>
      <c r="H14" s="65"/>
      <c r="I14" s="65"/>
      <c r="J14" s="65"/>
      <c r="K14" s="65"/>
      <c r="L14" s="65"/>
      <c r="M14" s="65"/>
      <c r="N14" s="65"/>
      <c r="O14" s="65"/>
      <c r="P14" s="65"/>
      <c r="Q14" s="65"/>
      <c r="R14" s="65"/>
      <c r="S14" s="146"/>
      <c r="T14" s="95"/>
      <c r="U14" s="64"/>
      <c r="V14" s="64"/>
      <c r="W14" s="64"/>
      <c r="X14" s="64"/>
      <c r="Y14" s="64"/>
      <c r="Z14" s="64"/>
      <c r="AA14" s="64"/>
      <c r="AB14" s="64"/>
      <c r="AC14" s="64"/>
      <c r="AD14" s="64"/>
      <c r="AE14" s="64"/>
      <c r="AF14" s="64"/>
      <c r="AG14" s="64"/>
      <c r="AH14" s="64"/>
      <c r="AI14" s="64"/>
      <c r="AJ14" s="64"/>
      <c r="AK14" s="64"/>
      <c r="AL14" s="96"/>
    </row>
    <row r="15" spans="1:41" ht="12.75" customHeight="1">
      <c r="A15" s="145"/>
      <c r="B15" s="65"/>
      <c r="C15" s="65"/>
      <c r="D15" s="65"/>
      <c r="E15" s="65"/>
      <c r="F15" s="65"/>
      <c r="G15" s="65"/>
      <c r="H15" s="65"/>
      <c r="I15" s="65"/>
      <c r="J15" s="65"/>
      <c r="K15" s="65"/>
      <c r="L15" s="65"/>
      <c r="M15" s="65"/>
      <c r="N15" s="65"/>
      <c r="O15" s="65"/>
      <c r="P15" s="65"/>
      <c r="Q15" s="65"/>
      <c r="R15" s="65"/>
      <c r="S15" s="146"/>
      <c r="T15" s="95"/>
      <c r="U15" s="64"/>
      <c r="V15" s="64"/>
      <c r="W15" s="64"/>
      <c r="X15" s="64"/>
      <c r="Y15" s="64"/>
      <c r="Z15" s="64"/>
      <c r="AA15" s="64"/>
      <c r="AB15" s="64"/>
      <c r="AC15" s="64"/>
      <c r="AD15" s="64"/>
      <c r="AE15" s="64"/>
      <c r="AF15" s="64"/>
      <c r="AG15" s="64"/>
      <c r="AH15" s="64"/>
      <c r="AI15" s="64"/>
      <c r="AJ15" s="64"/>
      <c r="AK15" s="64"/>
      <c r="AL15" s="96"/>
    </row>
    <row r="16" spans="1:41" ht="12.75" customHeight="1">
      <c r="A16" s="145"/>
      <c r="B16" s="65"/>
      <c r="C16" s="65"/>
      <c r="D16" s="65"/>
      <c r="E16" s="65"/>
      <c r="F16" s="65"/>
      <c r="G16" s="65"/>
      <c r="H16" s="65"/>
      <c r="I16" s="65"/>
      <c r="J16" s="65"/>
      <c r="K16" s="65"/>
      <c r="L16" s="65"/>
      <c r="M16" s="65"/>
      <c r="N16" s="65"/>
      <c r="O16" s="65"/>
      <c r="P16" s="65"/>
      <c r="Q16" s="65"/>
      <c r="R16" s="65"/>
      <c r="S16" s="146"/>
      <c r="T16" s="95"/>
      <c r="U16" s="64"/>
      <c r="V16" s="64"/>
      <c r="W16" s="64"/>
      <c r="X16" s="64"/>
      <c r="Y16" s="64"/>
      <c r="Z16" s="64"/>
      <c r="AA16" s="64"/>
      <c r="AB16" s="64"/>
      <c r="AC16" s="64"/>
      <c r="AD16" s="64"/>
      <c r="AE16" s="64"/>
      <c r="AF16" s="64"/>
      <c r="AG16" s="64"/>
      <c r="AH16" s="64"/>
      <c r="AI16" s="64"/>
      <c r="AJ16" s="64"/>
      <c r="AK16" s="64"/>
      <c r="AL16" s="96"/>
    </row>
    <row r="17" spans="1:38" ht="12.75" customHeight="1">
      <c r="A17" s="145"/>
      <c r="B17" s="65"/>
      <c r="C17" s="65"/>
      <c r="D17" s="65"/>
      <c r="E17" s="65"/>
      <c r="F17" s="65"/>
      <c r="G17" s="65"/>
      <c r="H17" s="65"/>
      <c r="I17" s="65"/>
      <c r="J17" s="65"/>
      <c r="K17" s="65"/>
      <c r="L17" s="65"/>
      <c r="M17" s="65"/>
      <c r="N17" s="65"/>
      <c r="O17" s="65"/>
      <c r="P17" s="65"/>
      <c r="Q17" s="65"/>
      <c r="R17" s="65"/>
      <c r="S17" s="146"/>
      <c r="T17" s="95"/>
      <c r="U17" s="64"/>
      <c r="V17" s="64"/>
      <c r="W17" s="64"/>
      <c r="X17" s="64"/>
      <c r="Y17" s="64"/>
      <c r="Z17" s="64"/>
      <c r="AA17" s="64"/>
      <c r="AB17" s="64"/>
      <c r="AC17" s="64"/>
      <c r="AD17" s="64"/>
      <c r="AE17" s="64"/>
      <c r="AF17" s="64"/>
      <c r="AG17" s="64"/>
      <c r="AH17" s="64"/>
      <c r="AI17" s="64"/>
      <c r="AJ17" s="64"/>
      <c r="AK17" s="64"/>
      <c r="AL17" s="9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256</v>
      </c>
      <c r="B19" s="77"/>
      <c r="C19" s="77"/>
      <c r="D19" s="77"/>
      <c r="E19" s="77"/>
      <c r="F19" s="77"/>
      <c r="G19" s="77"/>
      <c r="H19" s="77"/>
      <c r="I19" s="77"/>
      <c r="J19" s="77"/>
      <c r="K19" s="77"/>
      <c r="L19" s="77"/>
      <c r="M19" s="77"/>
      <c r="N19" s="77"/>
      <c r="O19" s="77"/>
      <c r="P19" s="77"/>
      <c r="Q19" s="77"/>
      <c r="R19" s="77"/>
      <c r="S19" s="152"/>
      <c r="T19" s="151" t="s">
        <v>257</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258</v>
      </c>
      <c r="C23" s="147"/>
      <c r="D23" s="64"/>
      <c r="E23" s="64"/>
      <c r="F23" s="64"/>
      <c r="G23" s="64"/>
      <c r="H23" s="64"/>
      <c r="I23" s="64"/>
      <c r="J23" s="64"/>
      <c r="K23" s="64"/>
      <c r="L23" s="64"/>
      <c r="M23" s="64"/>
      <c r="N23" s="64"/>
      <c r="O23" s="64"/>
      <c r="P23" s="64"/>
      <c r="Q23" s="64"/>
      <c r="R23" s="64"/>
      <c r="S23" s="96"/>
      <c r="T23" s="95"/>
      <c r="U23" s="147" t="s">
        <v>258</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259</v>
      </c>
      <c r="C25" s="147"/>
      <c r="D25" s="64"/>
      <c r="E25" s="64"/>
      <c r="F25" s="154"/>
      <c r="G25" s="64"/>
      <c r="H25" s="64"/>
      <c r="I25" s="64"/>
      <c r="J25" s="64"/>
      <c r="K25" s="64"/>
      <c r="L25" s="64"/>
      <c r="M25" s="64"/>
      <c r="N25" s="64"/>
      <c r="O25" s="64"/>
      <c r="P25" s="64"/>
      <c r="Q25" s="64"/>
      <c r="R25" s="64"/>
      <c r="S25" s="96"/>
      <c r="T25" s="95"/>
      <c r="U25" s="147" t="s">
        <v>259</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260</v>
      </c>
      <c r="C27" s="147"/>
      <c r="D27" s="64"/>
      <c r="E27" s="64"/>
      <c r="F27" s="64"/>
      <c r="G27" s="64"/>
      <c r="H27" s="64"/>
      <c r="I27" s="64"/>
      <c r="J27" s="64"/>
      <c r="K27" s="64"/>
      <c r="L27" s="64"/>
      <c r="M27" s="64"/>
      <c r="N27" s="64"/>
      <c r="O27" s="64"/>
      <c r="P27" s="64"/>
      <c r="Q27" s="64"/>
      <c r="R27" s="64"/>
      <c r="S27" s="96"/>
      <c r="T27" s="95"/>
      <c r="U27" s="147" t="s">
        <v>260</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261</v>
      </c>
      <c r="C29" s="64"/>
      <c r="D29" s="64"/>
      <c r="E29" s="64"/>
      <c r="F29" s="64"/>
      <c r="G29" s="64"/>
      <c r="H29" s="64"/>
      <c r="I29" s="64"/>
      <c r="J29" s="64"/>
      <c r="K29" s="64"/>
      <c r="L29" s="64"/>
      <c r="M29" s="64"/>
      <c r="N29" s="64"/>
      <c r="O29" s="64"/>
      <c r="P29" s="64"/>
      <c r="Q29" s="64"/>
      <c r="R29" s="64"/>
      <c r="S29" s="96"/>
      <c r="T29" s="95"/>
      <c r="U29" s="147" t="s">
        <v>261</v>
      </c>
      <c r="V29" s="64"/>
      <c r="W29" s="64"/>
      <c r="X29" s="64"/>
      <c r="Y29" s="64"/>
      <c r="Z29" s="64"/>
      <c r="AA29" s="64"/>
      <c r="AB29" s="64"/>
      <c r="AC29" s="64"/>
      <c r="AD29" s="64"/>
      <c r="AE29" s="64"/>
      <c r="AF29" s="64"/>
      <c r="AG29" s="64"/>
      <c r="AH29" s="64"/>
      <c r="AI29" s="64"/>
      <c r="AJ29" s="64"/>
      <c r="AK29" s="64"/>
      <c r="AL29" s="96"/>
    </row>
    <row r="30" spans="1:38" ht="12.75" customHeight="1">
      <c r="A30" s="95"/>
      <c r="B30" s="147" t="s">
        <v>262</v>
      </c>
      <c r="C30" s="64"/>
      <c r="D30" s="64"/>
      <c r="E30" s="64"/>
      <c r="F30" s="64"/>
      <c r="G30" s="64"/>
      <c r="H30" s="64"/>
      <c r="I30" s="64"/>
      <c r="J30" s="64"/>
      <c r="K30" s="64"/>
      <c r="L30" s="64"/>
      <c r="M30" s="64"/>
      <c r="N30" s="64"/>
      <c r="O30" s="64"/>
      <c r="P30" s="64"/>
      <c r="Q30" s="64"/>
      <c r="R30" s="64"/>
      <c r="S30" s="96"/>
      <c r="T30" s="95"/>
      <c r="U30" s="147" t="s">
        <v>262</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64"/>
      <c r="H34" s="64"/>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263</v>
      </c>
      <c r="B43" s="77"/>
      <c r="C43" s="77"/>
      <c r="D43" s="77"/>
      <c r="E43" s="77"/>
      <c r="F43" s="77"/>
      <c r="G43" s="77"/>
      <c r="H43" s="77"/>
      <c r="I43" s="77"/>
      <c r="J43" s="77"/>
      <c r="K43" s="77"/>
      <c r="L43" s="77"/>
      <c r="M43" s="77"/>
      <c r="N43" s="77"/>
      <c r="O43" s="77"/>
      <c r="P43" s="77"/>
      <c r="Q43" s="77"/>
      <c r="R43" s="77"/>
      <c r="S43" s="152"/>
      <c r="T43" s="151" t="s">
        <v>264</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5" t="s">
        <v>265</v>
      </c>
      <c r="B45" s="77"/>
      <c r="C45" s="77"/>
      <c r="D45" s="77"/>
      <c r="E45" s="77"/>
      <c r="F45" s="77"/>
      <c r="G45" s="77"/>
      <c r="H45" s="77"/>
      <c r="I45" s="77"/>
      <c r="J45" s="77"/>
      <c r="K45" s="77"/>
      <c r="L45" s="77"/>
      <c r="M45" s="77"/>
      <c r="N45" s="77"/>
      <c r="O45" s="77"/>
      <c r="P45" s="77"/>
      <c r="Q45" s="77"/>
      <c r="R45" s="77"/>
      <c r="S45" s="152"/>
      <c r="T45" s="157" t="s">
        <v>266</v>
      </c>
      <c r="U45" s="155"/>
      <c r="V45" s="155"/>
      <c r="W45" s="155"/>
      <c r="X45" s="155"/>
      <c r="Y45" s="155"/>
      <c r="Z45" s="155"/>
      <c r="AA45" s="155"/>
      <c r="AB45" s="155"/>
      <c r="AC45" s="155"/>
      <c r="AD45" s="155"/>
      <c r="AE45" s="155"/>
      <c r="AF45" s="155"/>
      <c r="AG45" s="155"/>
      <c r="AH45" s="155"/>
      <c r="AI45" s="155"/>
      <c r="AJ45" s="155"/>
      <c r="AK45" s="155"/>
      <c r="AL45" s="156"/>
    </row>
    <row r="46" spans="1:38" ht="12.75" customHeight="1">
      <c r="A46" s="155" t="s">
        <v>267</v>
      </c>
      <c r="B46" s="158"/>
      <c r="C46" s="158"/>
      <c r="D46" s="158"/>
      <c r="E46" s="158"/>
      <c r="F46" s="158"/>
      <c r="G46" s="158"/>
      <c r="H46" s="158"/>
      <c r="I46" s="158"/>
      <c r="J46" s="158"/>
      <c r="K46" s="158"/>
      <c r="L46" s="158"/>
      <c r="M46" s="158"/>
      <c r="N46" s="158"/>
      <c r="O46" s="158"/>
      <c r="P46" s="158"/>
      <c r="Q46" s="158"/>
      <c r="R46" s="158"/>
      <c r="S46" s="159"/>
      <c r="U46" s="158"/>
      <c r="V46" s="158"/>
      <c r="W46" s="158"/>
      <c r="X46" s="158"/>
      <c r="Y46" s="158"/>
      <c r="Z46" s="158"/>
      <c r="AA46" s="158"/>
      <c r="AB46" s="158"/>
      <c r="AC46" s="158"/>
      <c r="AD46" s="158"/>
      <c r="AE46" s="158"/>
      <c r="AF46" s="158"/>
      <c r="AG46" s="158"/>
      <c r="AH46" s="158"/>
      <c r="AI46" s="158"/>
      <c r="AJ46" s="158"/>
      <c r="AK46" s="158"/>
      <c r="AL46" s="159"/>
    </row>
    <row r="47" spans="1:38" ht="14.25" customHeight="1">
      <c r="A47" s="664" t="s">
        <v>268</v>
      </c>
      <c r="B47" s="598"/>
      <c r="C47" s="665"/>
      <c r="D47" s="588"/>
      <c r="E47" s="671" t="s">
        <v>269</v>
      </c>
      <c r="F47" s="598"/>
      <c r="G47" s="665"/>
      <c r="H47" s="588"/>
      <c r="I47" s="155"/>
      <c r="J47" s="158"/>
      <c r="K47" s="158"/>
      <c r="L47" s="158"/>
      <c r="M47" s="162" t="s">
        <v>270</v>
      </c>
      <c r="N47" s="678">
        <f>IF(C48&gt;0,(((G48-G47)/(C48-C47))^-1)^-1,0)</f>
        <v>0</v>
      </c>
      <c r="O47" s="588"/>
      <c r="P47" s="679">
        <f>2/3*((48*'T3.14 T3.5 SIS'!C27/0.000013)/(C57^3))</f>
        <v>196.3827341538462</v>
      </c>
      <c r="Q47" s="598"/>
      <c r="R47" s="598"/>
      <c r="S47" s="159"/>
      <c r="T47" s="664" t="s">
        <v>271</v>
      </c>
      <c r="U47" s="598"/>
      <c r="V47" s="672"/>
      <c r="W47" s="588"/>
      <c r="X47" s="671" t="s">
        <v>272</v>
      </c>
      <c r="Y47" s="598"/>
      <c r="Z47" s="665"/>
      <c r="AA47" s="588"/>
      <c r="AB47" s="155"/>
      <c r="AC47" s="158"/>
      <c r="AD47" s="158"/>
      <c r="AE47" s="158"/>
      <c r="AF47" s="162" t="s">
        <v>270</v>
      </c>
      <c r="AG47" s="663">
        <f>IF((V48-V47)&gt;0,(Z48-Z47)/(V48-V47),0)</f>
        <v>0</v>
      </c>
      <c r="AH47" s="588"/>
      <c r="AI47" s="158"/>
      <c r="AJ47" s="158"/>
      <c r="AK47" s="158"/>
      <c r="AL47" s="159"/>
    </row>
    <row r="48" spans="1:38" ht="14.25" customHeight="1">
      <c r="A48" s="664" t="s">
        <v>273</v>
      </c>
      <c r="B48" s="598"/>
      <c r="C48" s="665"/>
      <c r="D48" s="588"/>
      <c r="E48" s="671" t="s">
        <v>274</v>
      </c>
      <c r="F48" s="598"/>
      <c r="G48" s="665"/>
      <c r="H48" s="588"/>
      <c r="I48" s="34" t="str">
        <f>IFERROR(IF(AND(N47&lt;0,G48&gt;G47),"Congrats! You've found an Easter egg!",""),"")</f>
        <v/>
      </c>
      <c r="P48" s="158"/>
      <c r="Q48" s="158"/>
      <c r="R48" s="158"/>
      <c r="S48" s="159"/>
      <c r="T48" s="664" t="s">
        <v>275</v>
      </c>
      <c r="U48" s="598"/>
      <c r="V48" s="672"/>
      <c r="W48" s="588"/>
      <c r="X48" s="671" t="s">
        <v>276</v>
      </c>
      <c r="Y48" s="598"/>
      <c r="Z48" s="665"/>
      <c r="AA48" s="588"/>
      <c r="AB48" s="163"/>
      <c r="AI48" s="158"/>
      <c r="AJ48" s="158"/>
      <c r="AK48" s="158"/>
      <c r="AL48" s="159"/>
    </row>
    <row r="49" spans="1:38" ht="14.25" customHeight="1">
      <c r="A49" s="160"/>
      <c r="B49" s="161"/>
      <c r="C49" s="163" t="str">
        <f>IF(ABS($C$48-$C$47)&lt;1,"Supporting points shall be at least 1 mm apart!","")</f>
        <v>Supporting points shall be at least 1 mm apart!</v>
      </c>
      <c r="D49" s="164"/>
      <c r="E49" s="161"/>
      <c r="F49" s="161"/>
      <c r="G49" s="164"/>
      <c r="H49" s="164"/>
      <c r="I49" s="155"/>
      <c r="M49" s="162"/>
      <c r="N49" s="32"/>
      <c r="O49" s="32"/>
      <c r="P49" s="158"/>
      <c r="Q49" s="158"/>
      <c r="R49" s="158"/>
      <c r="S49" s="159"/>
      <c r="T49" s="160"/>
      <c r="U49" s="161"/>
      <c r="V49" s="164"/>
      <c r="W49" s="164"/>
      <c r="X49" s="161"/>
      <c r="Y49" s="161"/>
      <c r="Z49" s="164"/>
      <c r="AA49" s="164"/>
      <c r="AB49" s="155"/>
      <c r="AI49" s="158"/>
      <c r="AJ49" s="158"/>
      <c r="AK49" s="158"/>
      <c r="AL49" s="159"/>
    </row>
    <row r="50" spans="1:38" ht="14.25" customHeight="1">
      <c r="A50" s="151" t="s">
        <v>277</v>
      </c>
      <c r="B50" s="158"/>
      <c r="C50" s="158"/>
      <c r="D50" s="158"/>
      <c r="E50" s="158"/>
      <c r="F50" s="158"/>
      <c r="G50" s="158"/>
      <c r="H50" s="158"/>
      <c r="I50" s="158"/>
      <c r="J50" s="158"/>
      <c r="K50" s="158"/>
      <c r="L50" s="158"/>
      <c r="M50" s="158"/>
      <c r="N50" s="158"/>
      <c r="O50" s="158"/>
      <c r="P50" s="158"/>
      <c r="Q50" s="158"/>
      <c r="R50" s="158"/>
      <c r="S50" s="159"/>
      <c r="T50" s="157" t="s">
        <v>278</v>
      </c>
      <c r="U50" s="161"/>
      <c r="V50" s="164"/>
      <c r="W50" s="164"/>
      <c r="X50" s="161"/>
      <c r="Y50" s="161"/>
      <c r="Z50" s="164"/>
      <c r="AA50" s="164"/>
      <c r="AB50" s="155"/>
      <c r="AI50" s="158"/>
      <c r="AJ50" s="158"/>
      <c r="AK50" s="158"/>
      <c r="AL50" s="159"/>
    </row>
    <row r="51" spans="1:38" ht="12.75" customHeight="1">
      <c r="A51" s="664" t="s">
        <v>279</v>
      </c>
      <c r="B51" s="598"/>
      <c r="C51" s="669"/>
      <c r="D51" s="588"/>
      <c r="E51" s="155" t="s">
        <v>280</v>
      </c>
      <c r="F51" s="158"/>
      <c r="G51" s="158"/>
      <c r="H51" s="158"/>
      <c r="I51" s="158"/>
      <c r="J51" s="158"/>
      <c r="K51" s="158"/>
      <c r="L51" s="158"/>
      <c r="M51" s="158"/>
      <c r="N51" s="158"/>
      <c r="O51" s="158"/>
      <c r="P51" s="158"/>
      <c r="Q51" s="158"/>
      <c r="R51" s="158"/>
      <c r="S51" s="159"/>
      <c r="T51" s="151"/>
      <c r="U51" s="162" t="s">
        <v>281</v>
      </c>
      <c r="V51" s="662" t="str">
        <f ca="1">IFERROR(SUMPRODUCT(OFFSET(V71,0,0,AD70-2,1),OFFSET(Y71,0,0,AD70-2,1)),"")</f>
        <v/>
      </c>
      <c r="W51" s="588"/>
      <c r="X51" s="155"/>
      <c r="Y51" s="163" t="str">
        <f ca="1">IF(V51&lt;65,"Energy absorbtion lower than required in T3.15.3.","")</f>
        <v/>
      </c>
      <c r="Z51" s="155"/>
      <c r="AA51" s="155"/>
      <c r="AB51" s="155"/>
      <c r="AC51" s="155"/>
      <c r="AI51" s="155"/>
      <c r="AJ51" s="155"/>
      <c r="AK51" s="155"/>
      <c r="AL51" s="156"/>
    </row>
    <row r="52" spans="1:38" ht="12.75" customHeight="1">
      <c r="A52" s="165"/>
      <c r="B52" s="158"/>
      <c r="C52" s="670">
        <f>2*PI()*(12.7^4-11.1^4)*365/(C57*12.7)</f>
        <v>4890.8937802226601</v>
      </c>
      <c r="D52" s="598"/>
      <c r="E52" s="163" t="str">
        <f>IF(L86&gt;12.7,"Force must be taken at max. 12.7 mm deflection!","")</f>
        <v/>
      </c>
      <c r="F52" s="158"/>
      <c r="G52" s="158"/>
      <c r="H52" s="158"/>
      <c r="I52" s="158"/>
      <c r="J52" s="158"/>
      <c r="K52" s="158"/>
      <c r="L52" s="158"/>
      <c r="M52" s="158"/>
      <c r="N52" s="158"/>
      <c r="O52" s="158"/>
      <c r="P52" s="158"/>
      <c r="Q52" s="158"/>
      <c r="R52" s="158"/>
      <c r="S52" s="159"/>
      <c r="U52" s="155"/>
      <c r="W52" s="155"/>
      <c r="X52" s="155"/>
      <c r="Y52" s="155"/>
      <c r="Z52" s="155"/>
      <c r="AA52" s="155"/>
      <c r="AB52" s="155"/>
      <c r="AC52" s="155"/>
      <c r="AD52" s="155"/>
      <c r="AE52" s="155"/>
      <c r="AF52" s="155"/>
      <c r="AG52" s="155"/>
      <c r="AH52" s="155"/>
      <c r="AI52" s="155"/>
      <c r="AJ52" s="155"/>
      <c r="AK52" s="155"/>
      <c r="AL52" s="156"/>
    </row>
    <row r="53" spans="1:38" ht="12.75" customHeight="1">
      <c r="A53" s="155" t="s">
        <v>282</v>
      </c>
      <c r="T53" s="151" t="s">
        <v>283</v>
      </c>
      <c r="AI53" s="155"/>
      <c r="AJ53" s="155"/>
      <c r="AK53" s="155"/>
      <c r="AL53" s="156"/>
    </row>
    <row r="54" spans="1:38" ht="12.75" customHeight="1">
      <c r="A54" s="155"/>
      <c r="B54" s="162" t="s">
        <v>281</v>
      </c>
      <c r="C54" s="662" t="str">
        <f ca="1">IFERROR(SUMPRODUCT(OFFSET(C71,0,0,L87-2,1),OFFSET(F71,0,0,L87-2,1)),"")</f>
        <v/>
      </c>
      <c r="D54" s="588"/>
      <c r="E54" s="668" t="s">
        <v>284</v>
      </c>
      <c r="F54" s="598"/>
      <c r="G54" s="665"/>
      <c r="H54" s="588"/>
      <c r="I54" s="155" t="s">
        <v>285</v>
      </c>
      <c r="T54" s="151"/>
      <c r="U54" s="162" t="s">
        <v>286</v>
      </c>
      <c r="V54" s="681">
        <f>C57</f>
        <v>400</v>
      </c>
      <c r="W54" s="588"/>
      <c r="X54" s="155" t="s">
        <v>287</v>
      </c>
      <c r="Y54" s="155"/>
      <c r="Z54" s="155"/>
      <c r="AA54" s="155"/>
      <c r="AB54" s="155"/>
      <c r="AC54" s="155"/>
      <c r="AD54" s="155"/>
      <c r="AE54" s="155"/>
      <c r="AF54" s="162" t="s">
        <v>288</v>
      </c>
      <c r="AG54" s="683">
        <f>V55*(1/64)*PI()*(V56^4-V57^4)*200000</f>
        <v>3229328068.7062287</v>
      </c>
      <c r="AH54" s="588"/>
      <c r="AI54" s="166">
        <f>AG54*48/V54^3</f>
        <v>2421.9960515296716</v>
      </c>
      <c r="AJ54" s="155"/>
      <c r="AK54" s="155"/>
      <c r="AL54" s="156"/>
    </row>
    <row r="55" spans="1:38" ht="12.75" customHeight="1">
      <c r="G55" s="163" t="str">
        <f>IF(G54&gt;12.7,"Deflection for energy calculation must be &lt;= 12.7 mm!","")</f>
        <v/>
      </c>
      <c r="T55" s="151"/>
      <c r="U55" s="162" t="s">
        <v>289</v>
      </c>
      <c r="V55" s="682">
        <v>2</v>
      </c>
      <c r="W55" s="588"/>
      <c r="X55" s="155" t="s">
        <v>290</v>
      </c>
      <c r="Y55" s="155"/>
      <c r="Z55" s="155"/>
      <c r="AA55" s="155"/>
      <c r="AB55" s="155"/>
      <c r="AC55" s="155"/>
      <c r="AD55" s="155"/>
      <c r="AE55" s="155"/>
      <c r="AF55" s="162" t="s">
        <v>291</v>
      </c>
      <c r="AG55" s="683">
        <f>IF(AG47&gt;0,(AG47*V54^3)/48,AG54)</f>
        <v>3229328068.7062287</v>
      </c>
      <c r="AH55" s="588"/>
      <c r="AI55" s="166">
        <f>AG55*48/V54^3</f>
        <v>2421.9960515296716</v>
      </c>
      <c r="AJ55" s="167">
        <f>100*AG55/AG54</f>
        <v>100</v>
      </c>
      <c r="AK55" s="155" t="s">
        <v>292</v>
      </c>
      <c r="AL55" s="156"/>
    </row>
    <row r="56" spans="1:38" ht="12.75" customHeight="1">
      <c r="A56" s="157" t="s">
        <v>293</v>
      </c>
      <c r="B56" s="158"/>
      <c r="C56" s="158"/>
      <c r="D56" s="158"/>
      <c r="E56" s="158"/>
      <c r="F56" s="158"/>
      <c r="G56" s="158"/>
      <c r="H56" s="158"/>
      <c r="I56" s="158"/>
      <c r="J56" s="158"/>
      <c r="K56" s="158"/>
      <c r="L56" s="158"/>
      <c r="M56" s="158"/>
      <c r="N56" s="158"/>
      <c r="O56" s="158"/>
      <c r="P56" s="158"/>
      <c r="Q56" s="158"/>
      <c r="R56" s="158"/>
      <c r="S56" s="159"/>
      <c r="T56" s="151"/>
      <c r="U56" s="162" t="s">
        <v>294</v>
      </c>
      <c r="V56" s="660">
        <v>25.4</v>
      </c>
      <c r="W56" s="588"/>
      <c r="X56" s="155" t="s">
        <v>295</v>
      </c>
      <c r="Y56" s="155"/>
      <c r="Z56" s="155"/>
      <c r="AA56" s="155"/>
      <c r="AB56" s="155"/>
      <c r="AC56" s="155"/>
      <c r="AD56" s="155"/>
      <c r="AE56" s="155"/>
      <c r="AF56" s="162" t="s">
        <v>296</v>
      </c>
      <c r="AG56" s="684">
        <f>IF(AJ55&lt;75,0,IF(AG55&gt;=AG54,0,(AI55^-1-AI54^-1)^-1))</f>
        <v>0</v>
      </c>
      <c r="AH56" s="588"/>
      <c r="AI56" s="155"/>
      <c r="AJ56" s="155"/>
      <c r="AK56" s="155"/>
      <c r="AL56" s="156"/>
    </row>
    <row r="57" spans="1:38" ht="12.75" customHeight="1">
      <c r="A57" s="151"/>
      <c r="B57" s="168" t="s">
        <v>286</v>
      </c>
      <c r="C57" s="665">
        <v>400</v>
      </c>
      <c r="D57" s="588"/>
      <c r="E57" s="155" t="s">
        <v>297</v>
      </c>
      <c r="F57" s="158"/>
      <c r="G57" s="158"/>
      <c r="H57" s="158"/>
      <c r="I57" s="158"/>
      <c r="J57" s="158"/>
      <c r="K57" s="158"/>
      <c r="L57" s="158"/>
      <c r="M57" s="158"/>
      <c r="N57" s="158"/>
      <c r="O57" s="158"/>
      <c r="P57" s="158"/>
      <c r="Q57" s="158"/>
      <c r="R57" s="158"/>
      <c r="S57" s="159"/>
      <c r="T57" s="151"/>
      <c r="U57" s="162" t="s">
        <v>298</v>
      </c>
      <c r="V57" s="660">
        <v>22.4</v>
      </c>
      <c r="W57" s="588"/>
      <c r="X57" s="155" t="s">
        <v>299</v>
      </c>
      <c r="Y57" s="155"/>
      <c r="Z57" s="155"/>
      <c r="AA57" s="155"/>
      <c r="AB57" s="155"/>
      <c r="AC57" s="155"/>
      <c r="AD57" s="155"/>
      <c r="AE57" s="155"/>
      <c r="AF57" s="155"/>
      <c r="AG57" s="155"/>
      <c r="AH57" s="155"/>
      <c r="AI57" s="155"/>
      <c r="AJ57" s="155"/>
      <c r="AK57" s="155"/>
      <c r="AL57" s="156"/>
    </row>
    <row r="58" spans="1:38" ht="12.75" customHeight="1">
      <c r="A58" s="659" t="s">
        <v>300</v>
      </c>
      <c r="B58" s="598"/>
      <c r="C58" s="666">
        <v>275</v>
      </c>
      <c r="D58" s="667"/>
      <c r="E58" s="155" t="s">
        <v>301</v>
      </c>
      <c r="F58" s="158"/>
      <c r="G58" s="158"/>
      <c r="H58" s="158"/>
      <c r="I58" s="158"/>
      <c r="J58" s="158"/>
      <c r="K58" s="158"/>
      <c r="L58" s="158"/>
      <c r="M58" s="158"/>
      <c r="N58" s="158"/>
      <c r="O58" s="158"/>
      <c r="P58" s="158"/>
      <c r="Q58" s="158"/>
      <c r="R58" s="158"/>
      <c r="S58" s="159"/>
      <c r="T58" s="151"/>
      <c r="U58" s="155"/>
      <c r="V58" s="155"/>
      <c r="W58" s="155"/>
      <c r="X58" s="155"/>
      <c r="Y58" s="155"/>
      <c r="Z58" s="155"/>
      <c r="AA58" s="155"/>
      <c r="AB58" s="155"/>
      <c r="AC58" s="155"/>
      <c r="AD58" s="155"/>
      <c r="AE58" s="155"/>
      <c r="AF58" s="155"/>
      <c r="AG58" s="155"/>
      <c r="AH58" s="155"/>
      <c r="AI58" s="155"/>
      <c r="AJ58" s="155"/>
      <c r="AK58" s="155"/>
      <c r="AL58" s="156"/>
    </row>
    <row r="59" spans="1:38" ht="12.75" customHeight="1">
      <c r="A59" s="659" t="s">
        <v>302</v>
      </c>
      <c r="B59" s="598"/>
      <c r="C59" s="660"/>
      <c r="D59" s="588"/>
      <c r="E59" s="155" t="s">
        <v>303</v>
      </c>
      <c r="F59" s="155"/>
      <c r="G59" s="155"/>
      <c r="H59" s="155"/>
      <c r="I59" s="155"/>
      <c r="J59" s="23" t="e">
        <f t="array" aca="1" ref="J59" ca="1">_xludf.IFS(
    C59&lt;'Chassis Pics'!Z12, "Test panel with the thicker core must be tested, see T3.5.3.",
    C59&gt;(0.66^(-1))*'Chassis Pics'!Z12, "Test panel vs. used core thickness not in line with T3.5.3 (66%).",
    OR(C59&gt;='Chassis Pics'!Z12, C59&lt;=(0.66^(-1))*'Chassis Pics'!Z12,""), "","",""
)</f>
        <v>#NAME?</v>
      </c>
      <c r="K59" s="155"/>
      <c r="L59" s="155"/>
      <c r="M59" s="155"/>
      <c r="N59" s="155"/>
      <c r="O59" s="158"/>
      <c r="P59" s="158"/>
      <c r="Q59" s="158"/>
      <c r="R59" s="158"/>
      <c r="S59" s="159"/>
      <c r="T59" s="151"/>
      <c r="U59" s="155"/>
      <c r="V59" s="155"/>
      <c r="W59" s="155"/>
      <c r="X59" s="155"/>
      <c r="Y59" s="155"/>
      <c r="Z59" s="155"/>
      <c r="AA59" s="155"/>
      <c r="AB59" s="155"/>
      <c r="AD59" s="155"/>
      <c r="AE59" s="155"/>
      <c r="AF59" s="155"/>
      <c r="AG59" s="155"/>
      <c r="AH59" s="155"/>
      <c r="AI59" s="155"/>
      <c r="AJ59" s="155"/>
      <c r="AK59" s="155"/>
      <c r="AL59" s="156"/>
    </row>
    <row r="60" spans="1:38" ht="15.75" customHeight="1">
      <c r="A60" s="659" t="s">
        <v>304</v>
      </c>
      <c r="B60" s="598"/>
      <c r="C60" s="673"/>
      <c r="D60" s="674"/>
      <c r="E60" s="155" t="s">
        <v>79</v>
      </c>
      <c r="F60" s="155"/>
      <c r="G60" s="155"/>
      <c r="H60" s="155"/>
      <c r="I60" s="155"/>
      <c r="J60" s="23" t="str">
        <f>IF(AND(C60&lt;0.4*C61,C60&lt;1),"Asymmetrical lay-up: skin too thin in comparison, see T3.4.4.","")</f>
        <v/>
      </c>
      <c r="K60" s="155"/>
      <c r="M60" s="155"/>
      <c r="N60" s="155"/>
      <c r="O60" s="158"/>
      <c r="P60" s="158"/>
      <c r="Q60" s="158"/>
      <c r="R60" s="158"/>
      <c r="S60" s="159"/>
      <c r="T60" s="151"/>
      <c r="U60" s="680" t="str">
        <f>IF(AND(0&lt;$AJ$55,$AJ$55&lt;85),"Rig compliance out of normal bounds, perform and document another rig compliance test!","")</f>
        <v/>
      </c>
      <c r="V60" s="598"/>
      <c r="W60" s="598"/>
      <c r="X60" s="598"/>
      <c r="Y60" s="598"/>
      <c r="Z60" s="598"/>
      <c r="AA60" s="598"/>
      <c r="AB60" s="598"/>
      <c r="AC60" s="598"/>
      <c r="AD60" s="598"/>
      <c r="AE60" s="598"/>
      <c r="AF60" s="598"/>
      <c r="AG60" s="598"/>
      <c r="AH60" s="598"/>
      <c r="AI60" s="598"/>
      <c r="AJ60" s="598"/>
      <c r="AK60" s="598"/>
      <c r="AL60" s="156"/>
    </row>
    <row r="61" spans="1:38" ht="15.75" customHeight="1">
      <c r="A61" s="659" t="s">
        <v>305</v>
      </c>
      <c r="B61" s="598"/>
      <c r="C61" s="660"/>
      <c r="D61" s="588"/>
      <c r="E61" s="155" t="s">
        <v>80</v>
      </c>
      <c r="F61" s="155"/>
      <c r="G61" s="155"/>
      <c r="H61" s="155"/>
      <c r="I61" s="155"/>
      <c r="J61" s="23" t="str">
        <f>IF(AND(C61&lt;0.4*C60,C61&lt;1),"Asymmetrical lay-up: skin too thin in comparison, see T3.4.4.","")</f>
        <v/>
      </c>
      <c r="K61" s="155"/>
      <c r="M61" s="155"/>
      <c r="N61" s="155"/>
      <c r="O61" s="158"/>
      <c r="P61" s="158"/>
      <c r="Q61" s="158"/>
      <c r="R61" s="158"/>
      <c r="S61" s="159"/>
      <c r="T61" s="151"/>
      <c r="U61" s="598"/>
      <c r="V61" s="598"/>
      <c r="W61" s="598"/>
      <c r="X61" s="598"/>
      <c r="Y61" s="598"/>
      <c r="Z61" s="598"/>
      <c r="AA61" s="598"/>
      <c r="AB61" s="598"/>
      <c r="AC61" s="598"/>
      <c r="AD61" s="598"/>
      <c r="AE61" s="598"/>
      <c r="AF61" s="598"/>
      <c r="AG61" s="598"/>
      <c r="AH61" s="598"/>
      <c r="AI61" s="598"/>
      <c r="AJ61" s="598"/>
      <c r="AK61" s="598"/>
      <c r="AL61" s="156"/>
    </row>
    <row r="62" spans="1:38" ht="12.75" customHeight="1">
      <c r="A62" s="170"/>
      <c r="B62" s="162" t="s">
        <v>306</v>
      </c>
      <c r="C62" s="661">
        <f>(C58*(((C59+C60+C61)^3)-(C59^3)))/12</f>
        <v>0</v>
      </c>
      <c r="D62" s="588"/>
      <c r="E62" s="155" t="s">
        <v>307</v>
      </c>
      <c r="F62" s="155"/>
      <c r="G62" s="155"/>
      <c r="H62" s="155"/>
      <c r="I62" s="155"/>
      <c r="J62" s="155"/>
      <c r="K62" s="155"/>
      <c r="L62" s="155"/>
      <c r="M62" s="155"/>
      <c r="N62" s="155"/>
      <c r="O62" s="158"/>
      <c r="P62" s="158"/>
      <c r="Q62" s="158"/>
      <c r="R62" s="158"/>
      <c r="S62" s="159"/>
      <c r="T62" s="151"/>
      <c r="U62" s="155"/>
      <c r="V62" s="155"/>
      <c r="W62" s="155"/>
      <c r="X62" s="155"/>
      <c r="Y62" s="155"/>
      <c r="Z62" s="155"/>
      <c r="AA62" s="155"/>
      <c r="AB62" s="155"/>
      <c r="AC62" s="155"/>
      <c r="AD62" s="155"/>
      <c r="AE62" s="171"/>
      <c r="AF62" s="155"/>
      <c r="AG62" s="155"/>
      <c r="AH62" s="155"/>
      <c r="AI62" s="155"/>
      <c r="AJ62" s="155"/>
      <c r="AK62" s="155"/>
      <c r="AL62" s="156"/>
    </row>
    <row r="63" spans="1:38" ht="12.75" customHeight="1">
      <c r="A63" s="165"/>
      <c r="B63" s="162" t="s">
        <v>308</v>
      </c>
      <c r="C63" s="662">
        <f>IF(C48&gt;0,0.001*((N47*(C48-C47)*C57^3)/(48*C62*(C48-C47))),0)</f>
        <v>0</v>
      </c>
      <c r="D63" s="588"/>
      <c r="E63" s="155" t="s">
        <v>309</v>
      </c>
      <c r="F63" s="158"/>
      <c r="G63" s="158"/>
      <c r="H63" s="158"/>
      <c r="I63" s="158"/>
      <c r="J63" s="158"/>
      <c r="K63" s="158"/>
      <c r="L63" s="158"/>
      <c r="M63" s="158"/>
      <c r="N63" s="158"/>
      <c r="O63" s="158"/>
      <c r="P63" s="158"/>
      <c r="Q63" s="158"/>
      <c r="R63" s="158"/>
      <c r="S63" s="159"/>
      <c r="T63" s="151"/>
      <c r="U63" s="155"/>
      <c r="V63" s="155"/>
      <c r="W63" s="155"/>
      <c r="X63" s="155"/>
      <c r="Y63" s="155"/>
      <c r="Z63" s="155"/>
      <c r="AA63" s="155"/>
      <c r="AB63" s="155"/>
      <c r="AC63" s="155"/>
      <c r="AD63" s="155"/>
      <c r="AE63" s="155"/>
      <c r="AF63" s="155"/>
      <c r="AG63" s="155"/>
      <c r="AH63" s="155"/>
      <c r="AI63" s="155"/>
      <c r="AJ63" s="155"/>
      <c r="AK63" s="155"/>
      <c r="AL63" s="156"/>
    </row>
    <row r="64" spans="1:38" ht="12.75" customHeight="1">
      <c r="A64" s="172"/>
      <c r="B64" s="173" t="s">
        <v>310</v>
      </c>
      <c r="C64" s="663" t="e">
        <f>C51*C57*0.5*SUM(C59:D61)/(4*C62)</f>
        <v>#DIV/0!</v>
      </c>
      <c r="D64" s="588"/>
      <c r="E64" s="174" t="s">
        <v>311</v>
      </c>
      <c r="F64" s="175"/>
      <c r="G64" s="175"/>
      <c r="H64" s="175"/>
      <c r="I64" s="175"/>
      <c r="J64" s="175"/>
      <c r="K64" s="175"/>
      <c r="L64" s="175"/>
      <c r="M64" s="175"/>
      <c r="N64" s="175"/>
      <c r="O64" s="175"/>
      <c r="P64" s="175"/>
      <c r="Q64" s="175"/>
      <c r="R64" s="175"/>
      <c r="S64" s="176"/>
      <c r="T64" s="177"/>
      <c r="U64" s="174"/>
      <c r="V64" s="174"/>
      <c r="W64" s="174"/>
      <c r="X64" s="174"/>
      <c r="Y64" s="174"/>
      <c r="Z64" s="174"/>
      <c r="AA64" s="174"/>
      <c r="AB64" s="174"/>
      <c r="AC64" s="174"/>
      <c r="AD64" s="174"/>
      <c r="AE64" s="174"/>
      <c r="AF64" s="174"/>
      <c r="AG64" s="174"/>
      <c r="AH64" s="174"/>
      <c r="AI64" s="174"/>
      <c r="AJ64" s="174"/>
      <c r="AK64" s="174"/>
      <c r="AL64" s="178"/>
    </row>
    <row r="65" spans="1:38" ht="12.75" customHeight="1">
      <c r="A65" s="179" t="s">
        <v>312</v>
      </c>
      <c r="S65" s="141"/>
      <c r="T65" s="179" t="s">
        <v>312</v>
      </c>
      <c r="AL65" s="141"/>
    </row>
    <row r="66" spans="1:38" ht="12.75" customHeight="1">
      <c r="A66" s="155" t="s">
        <v>313</v>
      </c>
      <c r="S66" s="141"/>
      <c r="T66" s="155" t="s">
        <v>314</v>
      </c>
      <c r="AL66" s="141"/>
    </row>
    <row r="67" spans="1:38" ht="12.75" customHeight="1">
      <c r="A67" s="155" t="s">
        <v>315</v>
      </c>
      <c r="S67" s="141"/>
      <c r="T67" s="155" t="s">
        <v>315</v>
      </c>
      <c r="V67" s="34"/>
      <c r="W67" s="34"/>
      <c r="X67" s="34"/>
      <c r="Y67" s="34"/>
      <c r="Z67" s="34"/>
      <c r="AA67" s="34"/>
      <c r="AB67" s="34"/>
      <c r="AC67" s="34"/>
      <c r="AD67" s="34"/>
      <c r="AE67" s="34"/>
      <c r="AF67" s="34"/>
      <c r="AG67" s="34"/>
      <c r="AH67" s="34"/>
      <c r="AI67" s="34"/>
      <c r="AJ67" s="34"/>
      <c r="AK67" s="34"/>
      <c r="AL67" s="141"/>
    </row>
    <row r="68" spans="1:38" ht="12.75" customHeight="1">
      <c r="A68" s="80"/>
      <c r="S68" s="141"/>
      <c r="T68" s="80"/>
      <c r="V68" s="34"/>
      <c r="W68" s="34"/>
      <c r="X68" s="34"/>
      <c r="Y68" s="34"/>
      <c r="Z68" s="34"/>
      <c r="AA68" s="34"/>
      <c r="AB68" s="34"/>
      <c r="AC68" s="34"/>
      <c r="AD68" s="34"/>
      <c r="AE68" s="34"/>
      <c r="AF68" s="34"/>
      <c r="AG68" s="34"/>
      <c r="AH68" s="34"/>
      <c r="AI68" s="34"/>
      <c r="AJ68" s="34"/>
      <c r="AK68" s="34"/>
      <c r="AL68" s="141"/>
    </row>
    <row r="69" spans="1:38" ht="12.75" customHeight="1">
      <c r="A69" s="80"/>
      <c r="B69" s="180"/>
      <c r="C69" s="181" t="s">
        <v>316</v>
      </c>
      <c r="D69" s="182" t="s">
        <v>317</v>
      </c>
      <c r="F69" s="34"/>
      <c r="G69" s="34"/>
      <c r="H69" s="183"/>
      <c r="I69" s="183"/>
      <c r="J69" s="77"/>
      <c r="K69" s="77"/>
      <c r="L69" s="34"/>
      <c r="M69" s="34"/>
      <c r="N69" s="34"/>
      <c r="O69" s="34"/>
      <c r="P69" s="34"/>
      <c r="Q69" s="34"/>
      <c r="S69" s="141"/>
      <c r="T69" s="80"/>
      <c r="U69" s="180"/>
      <c r="V69" s="181" t="s">
        <v>316</v>
      </c>
      <c r="W69" s="182" t="s">
        <v>317</v>
      </c>
      <c r="Y69" s="184"/>
      <c r="Z69" s="184"/>
      <c r="AA69" s="185"/>
      <c r="AB69" s="185"/>
      <c r="AC69" s="184"/>
      <c r="AD69" s="184"/>
      <c r="AE69" s="184"/>
      <c r="AF69" s="184"/>
      <c r="AG69" s="184"/>
      <c r="AH69" s="184"/>
      <c r="AI69" s="184"/>
      <c r="AJ69" s="184"/>
      <c r="AK69" s="184"/>
      <c r="AL69" s="141"/>
    </row>
    <row r="70" spans="1:38" ht="12.75" customHeight="1">
      <c r="A70" s="80"/>
      <c r="B70" s="43">
        <v>1</v>
      </c>
      <c r="C70" s="186"/>
      <c r="D70" s="187"/>
      <c r="F70" s="188"/>
      <c r="G70" s="34"/>
      <c r="H70" s="189" t="s">
        <v>318</v>
      </c>
      <c r="I70" s="143"/>
      <c r="J70" s="143"/>
      <c r="K70" s="143"/>
      <c r="L70" s="143"/>
      <c r="M70" s="143"/>
      <c r="N70" s="143"/>
      <c r="O70" s="143"/>
      <c r="P70" s="143"/>
      <c r="Q70" s="143"/>
      <c r="R70" s="144"/>
      <c r="S70" s="141"/>
      <c r="T70" s="80"/>
      <c r="U70" s="43">
        <v>1</v>
      </c>
      <c r="V70" s="186"/>
      <c r="W70" s="187"/>
      <c r="Y70" s="34"/>
      <c r="Z70" s="34"/>
      <c r="AA70" s="190"/>
      <c r="AB70" s="184" t="s">
        <v>319</v>
      </c>
      <c r="AC70" s="184"/>
      <c r="AD70" s="184">
        <f t="array" ref="AD70">MATCH(MIN(ABS(W70:W396-12.7)),ABS(W70:W396-12.7),0)</f>
        <v>1</v>
      </c>
      <c r="AE70" s="34"/>
      <c r="AF70" s="34"/>
      <c r="AG70" s="34"/>
      <c r="AH70" s="34"/>
      <c r="AI70" s="184"/>
      <c r="AJ70" s="184"/>
      <c r="AK70" s="184"/>
      <c r="AL70" s="141"/>
    </row>
    <row r="71" spans="1:38" ht="12.75" customHeight="1">
      <c r="A71" s="80"/>
      <c r="B71" s="43">
        <v>2</v>
      </c>
      <c r="C71" s="191"/>
      <c r="D71" s="192"/>
      <c r="F71" s="193">
        <f t="shared" ref="F71:F325" si="0">D71-D70</f>
        <v>0</v>
      </c>
      <c r="G71" s="34"/>
      <c r="H71" s="194" t="s">
        <v>320</v>
      </c>
      <c r="I71" s="64"/>
      <c r="J71" s="64"/>
      <c r="K71" s="64"/>
      <c r="L71" s="64"/>
      <c r="M71" s="64"/>
      <c r="N71" s="64"/>
      <c r="O71" s="64"/>
      <c r="P71" s="64"/>
      <c r="Q71" s="64"/>
      <c r="R71" s="96"/>
      <c r="S71" s="141"/>
      <c r="T71" s="80"/>
      <c r="U71" s="43">
        <v>2</v>
      </c>
      <c r="V71" s="186"/>
      <c r="W71" s="187"/>
      <c r="Y71" s="195">
        <f t="shared" ref="Y71:Y325" si="1">W71-W70</f>
        <v>0</v>
      </c>
      <c r="Z71" s="34"/>
      <c r="AA71" s="34"/>
      <c r="AB71" s="184" t="s">
        <v>321</v>
      </c>
      <c r="AC71" s="184"/>
      <c r="AD71" s="196">
        <f t="array" ref="AD71">INDEX(V70:X397,AD70,2)</f>
        <v>0</v>
      </c>
      <c r="AE71" s="34"/>
      <c r="AF71" s="34"/>
      <c r="AG71" s="34"/>
      <c r="AH71" s="34"/>
      <c r="AI71" s="184"/>
      <c r="AJ71" s="184"/>
      <c r="AK71" s="184"/>
      <c r="AL71" s="141"/>
    </row>
    <row r="72" spans="1:38" ht="12.75" customHeight="1">
      <c r="A72" s="80"/>
      <c r="B72" s="43">
        <v>3</v>
      </c>
      <c r="C72" s="191"/>
      <c r="D72" s="192"/>
      <c r="F72" s="193">
        <f t="shared" si="0"/>
        <v>0</v>
      </c>
      <c r="G72" s="34"/>
      <c r="H72" s="95"/>
      <c r="I72" s="64"/>
      <c r="J72" s="64"/>
      <c r="K72" s="64"/>
      <c r="L72" s="64"/>
      <c r="M72" s="64"/>
      <c r="N72" s="64"/>
      <c r="O72" s="64"/>
      <c r="P72" s="64"/>
      <c r="Q72" s="64"/>
      <c r="R72" s="96"/>
      <c r="S72" s="141"/>
      <c r="T72" s="80"/>
      <c r="U72" s="43">
        <v>3</v>
      </c>
      <c r="V72" s="186"/>
      <c r="W72" s="187"/>
      <c r="Y72" s="195">
        <f t="shared" si="1"/>
        <v>0</v>
      </c>
      <c r="Z72" s="34"/>
      <c r="AA72" s="34"/>
      <c r="AB72" s="34"/>
      <c r="AC72" s="34"/>
      <c r="AD72" s="34"/>
      <c r="AE72" s="34"/>
      <c r="AF72" s="34"/>
      <c r="AG72" s="34"/>
      <c r="AH72" s="34"/>
      <c r="AI72" s="184"/>
      <c r="AJ72" s="184"/>
      <c r="AK72" s="184"/>
      <c r="AL72" s="141"/>
    </row>
    <row r="73" spans="1:38" ht="12.75" customHeight="1">
      <c r="A73" s="80"/>
      <c r="B73" s="43">
        <v>4</v>
      </c>
      <c r="C73" s="191"/>
      <c r="D73" s="192"/>
      <c r="F73" s="193">
        <f t="shared" si="0"/>
        <v>0</v>
      </c>
      <c r="G73" s="34"/>
      <c r="H73" s="95"/>
      <c r="I73" s="64"/>
      <c r="J73" s="64"/>
      <c r="K73" s="64"/>
      <c r="L73" s="64"/>
      <c r="M73" s="64"/>
      <c r="N73" s="64"/>
      <c r="O73" s="64"/>
      <c r="P73" s="64"/>
      <c r="Q73" s="64"/>
      <c r="R73" s="96"/>
      <c r="S73" s="141"/>
      <c r="T73" s="80"/>
      <c r="U73" s="43">
        <v>4</v>
      </c>
      <c r="V73" s="186"/>
      <c r="W73" s="187"/>
      <c r="Y73" s="195">
        <f t="shared" si="1"/>
        <v>0</v>
      </c>
      <c r="Z73" s="34"/>
      <c r="AA73" s="34"/>
      <c r="AB73" s="34"/>
      <c r="AC73" s="34"/>
      <c r="AD73" s="34"/>
      <c r="AE73" s="34"/>
      <c r="AF73" s="34"/>
      <c r="AG73" s="34"/>
      <c r="AH73" s="34"/>
      <c r="AI73" s="184"/>
      <c r="AJ73" s="184"/>
      <c r="AK73" s="184"/>
      <c r="AL73" s="141"/>
    </row>
    <row r="74" spans="1:38" ht="12.75" customHeight="1">
      <c r="A74" s="80"/>
      <c r="B74" s="43">
        <v>5</v>
      </c>
      <c r="C74" s="191"/>
      <c r="D74" s="192"/>
      <c r="F74" s="193">
        <f t="shared" si="0"/>
        <v>0</v>
      </c>
      <c r="G74" s="34"/>
      <c r="H74" s="95"/>
      <c r="I74" s="64"/>
      <c r="J74" s="64"/>
      <c r="K74" s="64"/>
      <c r="L74" s="64"/>
      <c r="M74" s="64"/>
      <c r="N74" s="64"/>
      <c r="O74" s="64"/>
      <c r="P74" s="64"/>
      <c r="Q74" s="64"/>
      <c r="R74" s="96"/>
      <c r="S74" s="141"/>
      <c r="T74" s="80"/>
      <c r="U74" s="43">
        <v>5</v>
      </c>
      <c r="V74" s="186"/>
      <c r="W74" s="187"/>
      <c r="Y74" s="195">
        <f t="shared" si="1"/>
        <v>0</v>
      </c>
      <c r="Z74" s="34"/>
      <c r="AA74" s="34"/>
      <c r="AB74" s="34"/>
      <c r="AC74" s="34"/>
      <c r="AD74" s="34"/>
      <c r="AE74" s="34"/>
      <c r="AF74" s="34"/>
      <c r="AG74" s="34"/>
      <c r="AH74" s="34"/>
      <c r="AI74" s="184"/>
      <c r="AJ74" s="184"/>
      <c r="AK74" s="184"/>
      <c r="AL74" s="141"/>
    </row>
    <row r="75" spans="1:38" ht="12.75" customHeight="1">
      <c r="A75" s="80"/>
      <c r="B75" s="43">
        <v>6</v>
      </c>
      <c r="C75" s="191"/>
      <c r="D75" s="192"/>
      <c r="F75" s="193">
        <f t="shared" si="0"/>
        <v>0</v>
      </c>
      <c r="G75" s="34"/>
      <c r="H75" s="95"/>
      <c r="I75" s="64"/>
      <c r="J75" s="64"/>
      <c r="K75" s="64"/>
      <c r="L75" s="64"/>
      <c r="M75" s="64"/>
      <c r="N75" s="64"/>
      <c r="O75" s="64"/>
      <c r="P75" s="64"/>
      <c r="Q75" s="64"/>
      <c r="R75" s="96"/>
      <c r="S75" s="141"/>
      <c r="T75" s="80"/>
      <c r="U75" s="43">
        <v>6</v>
      </c>
      <c r="V75" s="186"/>
      <c r="W75" s="187"/>
      <c r="Y75" s="195">
        <f t="shared" si="1"/>
        <v>0</v>
      </c>
      <c r="Z75" s="34"/>
      <c r="AA75" s="34"/>
      <c r="AB75" s="34"/>
      <c r="AC75" s="34"/>
      <c r="AD75" s="34"/>
      <c r="AE75" s="34"/>
      <c r="AF75" s="34"/>
      <c r="AG75" s="34"/>
      <c r="AH75" s="34"/>
      <c r="AI75" s="184"/>
      <c r="AJ75" s="184"/>
      <c r="AK75" s="184"/>
      <c r="AL75" s="141"/>
    </row>
    <row r="76" spans="1:38" ht="12.75" customHeight="1">
      <c r="A76" s="80"/>
      <c r="B76" s="43">
        <v>7</v>
      </c>
      <c r="C76" s="191"/>
      <c r="D76" s="192"/>
      <c r="F76" s="193">
        <f t="shared" si="0"/>
        <v>0</v>
      </c>
      <c r="G76" s="34"/>
      <c r="H76" s="95"/>
      <c r="I76" s="64"/>
      <c r="J76" s="64"/>
      <c r="K76" s="64"/>
      <c r="L76" s="64"/>
      <c r="M76" s="64"/>
      <c r="N76" s="64"/>
      <c r="O76" s="64"/>
      <c r="P76" s="64"/>
      <c r="Q76" s="64"/>
      <c r="R76" s="96"/>
      <c r="S76" s="141"/>
      <c r="T76" s="80"/>
      <c r="U76" s="43">
        <v>7</v>
      </c>
      <c r="V76" s="186"/>
      <c r="W76" s="187"/>
      <c r="Y76" s="195">
        <f t="shared" si="1"/>
        <v>0</v>
      </c>
      <c r="Z76" s="34"/>
      <c r="AA76" s="34"/>
      <c r="AB76" s="34"/>
      <c r="AC76" s="34"/>
      <c r="AD76" s="34"/>
      <c r="AE76" s="34"/>
      <c r="AF76" s="34"/>
      <c r="AG76" s="34"/>
      <c r="AH76" s="34"/>
      <c r="AI76" s="184"/>
      <c r="AJ76" s="184"/>
      <c r="AK76" s="184"/>
      <c r="AL76" s="141"/>
    </row>
    <row r="77" spans="1:38" ht="12.75" customHeight="1">
      <c r="A77" s="80"/>
      <c r="B77" s="43">
        <v>8</v>
      </c>
      <c r="C77" s="191"/>
      <c r="D77" s="192"/>
      <c r="F77" s="193">
        <f t="shared" si="0"/>
        <v>0</v>
      </c>
      <c r="G77" s="34"/>
      <c r="H77" s="95"/>
      <c r="I77" s="64"/>
      <c r="J77" s="64"/>
      <c r="K77" s="64"/>
      <c r="L77" s="64"/>
      <c r="M77" s="64"/>
      <c r="N77" s="64"/>
      <c r="O77" s="64"/>
      <c r="P77" s="64"/>
      <c r="Q77" s="64"/>
      <c r="R77" s="96"/>
      <c r="S77" s="141"/>
      <c r="T77" s="80"/>
      <c r="U77" s="43">
        <v>8</v>
      </c>
      <c r="V77" s="186"/>
      <c r="W77" s="187"/>
      <c r="Y77" s="195">
        <f t="shared" si="1"/>
        <v>0</v>
      </c>
      <c r="Z77" s="34"/>
      <c r="AA77" s="34"/>
      <c r="AB77" s="34"/>
      <c r="AC77" s="34"/>
      <c r="AD77" s="34"/>
      <c r="AE77" s="34"/>
      <c r="AF77" s="34"/>
      <c r="AG77" s="34"/>
      <c r="AH77" s="34"/>
      <c r="AI77" s="184"/>
      <c r="AJ77" s="184"/>
      <c r="AK77" s="184"/>
      <c r="AL77" s="141"/>
    </row>
    <row r="78" spans="1:38" ht="12.75" customHeight="1">
      <c r="A78" s="80"/>
      <c r="B78" s="43">
        <v>9</v>
      </c>
      <c r="C78" s="191"/>
      <c r="D78" s="192"/>
      <c r="F78" s="193">
        <f t="shared" si="0"/>
        <v>0</v>
      </c>
      <c r="G78" s="34"/>
      <c r="H78" s="95"/>
      <c r="I78" s="64"/>
      <c r="J78" s="64"/>
      <c r="K78" s="64"/>
      <c r="L78" s="64"/>
      <c r="M78" s="64"/>
      <c r="N78" s="64"/>
      <c r="O78" s="64"/>
      <c r="P78" s="64"/>
      <c r="Q78" s="64"/>
      <c r="R78" s="96"/>
      <c r="S78" s="141"/>
      <c r="T78" s="80"/>
      <c r="U78" s="43">
        <v>9</v>
      </c>
      <c r="V78" s="186"/>
      <c r="W78" s="187"/>
      <c r="Y78" s="195">
        <f t="shared" si="1"/>
        <v>0</v>
      </c>
      <c r="Z78" s="34"/>
      <c r="AA78" s="34"/>
      <c r="AB78" s="34"/>
      <c r="AC78" s="34"/>
      <c r="AD78" s="34"/>
      <c r="AE78" s="34"/>
      <c r="AF78" s="34"/>
      <c r="AG78" s="34"/>
      <c r="AH78" s="34"/>
      <c r="AI78" s="184"/>
      <c r="AJ78" s="184"/>
      <c r="AK78" s="184"/>
      <c r="AL78" s="141"/>
    </row>
    <row r="79" spans="1:38" ht="12.75" customHeight="1">
      <c r="A79" s="80"/>
      <c r="B79" s="43">
        <v>10</v>
      </c>
      <c r="C79" s="191"/>
      <c r="D79" s="192"/>
      <c r="F79" s="193">
        <f t="shared" si="0"/>
        <v>0</v>
      </c>
      <c r="G79" s="34"/>
      <c r="H79" s="95"/>
      <c r="I79" s="64"/>
      <c r="J79" s="64"/>
      <c r="K79" s="64"/>
      <c r="L79" s="64"/>
      <c r="M79" s="64"/>
      <c r="N79" s="64"/>
      <c r="O79" s="64"/>
      <c r="P79" s="64"/>
      <c r="Q79" s="64"/>
      <c r="R79" s="96"/>
      <c r="S79" s="141"/>
      <c r="T79" s="80"/>
      <c r="U79" s="43">
        <v>10</v>
      </c>
      <c r="V79" s="186"/>
      <c r="W79" s="187"/>
      <c r="Y79" s="195">
        <f t="shared" si="1"/>
        <v>0</v>
      </c>
      <c r="Z79" s="34"/>
      <c r="AA79" s="34"/>
      <c r="AB79" s="34"/>
      <c r="AC79" s="34"/>
      <c r="AD79" s="34"/>
      <c r="AE79" s="34"/>
      <c r="AF79" s="34"/>
      <c r="AG79" s="34"/>
      <c r="AH79" s="34"/>
      <c r="AI79" s="184"/>
      <c r="AJ79" s="184"/>
      <c r="AK79" s="184"/>
      <c r="AL79" s="141"/>
    </row>
    <row r="80" spans="1:38" ht="12.75" customHeight="1">
      <c r="A80" s="80"/>
      <c r="B80" s="43">
        <v>11</v>
      </c>
      <c r="C80" s="191"/>
      <c r="D80" s="192"/>
      <c r="F80" s="193">
        <f t="shared" si="0"/>
        <v>0</v>
      </c>
      <c r="G80" s="34"/>
      <c r="H80" s="100"/>
      <c r="I80" s="101"/>
      <c r="J80" s="101"/>
      <c r="K80" s="101"/>
      <c r="L80" s="101"/>
      <c r="M80" s="101"/>
      <c r="N80" s="101"/>
      <c r="O80" s="101"/>
      <c r="P80" s="101"/>
      <c r="Q80" s="101"/>
      <c r="R80" s="150"/>
      <c r="S80" s="141"/>
      <c r="T80" s="80"/>
      <c r="U80" s="43">
        <v>11</v>
      </c>
      <c r="V80" s="186"/>
      <c r="W80" s="187"/>
      <c r="Y80" s="195">
        <f t="shared" si="1"/>
        <v>0</v>
      </c>
      <c r="Z80" s="34"/>
      <c r="AA80" s="34"/>
      <c r="AB80" s="34"/>
      <c r="AC80" s="34"/>
      <c r="AD80" s="34"/>
      <c r="AE80" s="34"/>
      <c r="AF80" s="34"/>
      <c r="AG80" s="34"/>
      <c r="AH80" s="34"/>
      <c r="AI80" s="184"/>
      <c r="AJ80" s="184"/>
      <c r="AK80" s="184"/>
      <c r="AL80" s="141"/>
    </row>
    <row r="81" spans="1:38" ht="12.75" customHeight="1">
      <c r="A81" s="80"/>
      <c r="B81" s="43">
        <v>12</v>
      </c>
      <c r="C81" s="191"/>
      <c r="D81" s="192"/>
      <c r="F81" s="193">
        <f t="shared" si="0"/>
        <v>0</v>
      </c>
      <c r="G81" s="34"/>
      <c r="H81" s="184"/>
      <c r="I81" s="184"/>
      <c r="J81" s="184"/>
      <c r="K81" s="184"/>
      <c r="L81" s="184"/>
      <c r="M81" s="184"/>
      <c r="N81" s="184"/>
      <c r="O81" s="184"/>
      <c r="P81" s="184"/>
      <c r="Q81" s="184"/>
      <c r="R81" s="184"/>
      <c r="S81" s="141"/>
      <c r="T81" s="80"/>
      <c r="U81" s="43">
        <v>12</v>
      </c>
      <c r="V81" s="186"/>
      <c r="W81" s="187"/>
      <c r="Y81" s="195">
        <f t="shared" si="1"/>
        <v>0</v>
      </c>
      <c r="Z81" s="34"/>
      <c r="AA81" s="34"/>
      <c r="AB81" s="34"/>
      <c r="AC81" s="34"/>
      <c r="AD81" s="34"/>
      <c r="AE81" s="34"/>
      <c r="AF81" s="34"/>
      <c r="AG81" s="34"/>
      <c r="AH81" s="34"/>
      <c r="AI81" s="184"/>
      <c r="AJ81" s="184"/>
      <c r="AK81" s="184"/>
      <c r="AL81" s="141"/>
    </row>
    <row r="82" spans="1:38" ht="12.75" customHeight="1">
      <c r="A82" s="80"/>
      <c r="B82" s="43">
        <v>13</v>
      </c>
      <c r="C82" s="191"/>
      <c r="D82" s="192"/>
      <c r="F82" s="193">
        <f t="shared" si="0"/>
        <v>0</v>
      </c>
      <c r="G82" s="34"/>
      <c r="H82" s="184"/>
      <c r="I82" s="184"/>
      <c r="J82" s="184"/>
      <c r="K82" s="184"/>
      <c r="L82" s="184"/>
      <c r="M82" s="184"/>
      <c r="N82" s="184"/>
      <c r="O82" s="184"/>
      <c r="P82" s="184"/>
      <c r="Q82" s="184"/>
      <c r="R82" s="184"/>
      <c r="S82" s="141"/>
      <c r="T82" s="80"/>
      <c r="U82" s="43">
        <v>13</v>
      </c>
      <c r="V82" s="186"/>
      <c r="W82" s="187"/>
      <c r="Y82" s="195">
        <f t="shared" si="1"/>
        <v>0</v>
      </c>
      <c r="Z82" s="34"/>
      <c r="AA82" s="34"/>
      <c r="AB82" s="34"/>
      <c r="AC82" s="34"/>
      <c r="AD82" s="34"/>
      <c r="AE82" s="34"/>
      <c r="AF82" s="34"/>
      <c r="AG82" s="34"/>
      <c r="AH82" s="34"/>
      <c r="AI82" s="184"/>
      <c r="AJ82" s="184"/>
      <c r="AK82" s="184"/>
      <c r="AL82" s="141"/>
    </row>
    <row r="83" spans="1:38" ht="12.75" customHeight="1">
      <c r="A83" s="80"/>
      <c r="B83" s="43">
        <v>14</v>
      </c>
      <c r="C83" s="191"/>
      <c r="D83" s="192"/>
      <c r="F83" s="193">
        <f t="shared" si="0"/>
        <v>0</v>
      </c>
      <c r="G83" s="34"/>
      <c r="H83" s="184"/>
      <c r="I83" s="184"/>
      <c r="J83" s="184"/>
      <c r="K83" s="184"/>
      <c r="L83" s="184"/>
      <c r="M83" s="184"/>
      <c r="N83" s="184"/>
      <c r="O83" s="184"/>
      <c r="P83" s="184"/>
      <c r="Q83" s="184"/>
      <c r="R83" s="184"/>
      <c r="S83" s="141"/>
      <c r="T83" s="80"/>
      <c r="U83" s="43">
        <v>14</v>
      </c>
      <c r="V83" s="186"/>
      <c r="W83" s="187"/>
      <c r="Y83" s="195">
        <f t="shared" si="1"/>
        <v>0</v>
      </c>
      <c r="Z83" s="34"/>
      <c r="AA83" s="34"/>
      <c r="AB83" s="34"/>
      <c r="AC83" s="34"/>
      <c r="AD83" s="34"/>
      <c r="AE83" s="34"/>
      <c r="AF83" s="34"/>
      <c r="AG83" s="34"/>
      <c r="AH83" s="34"/>
      <c r="AI83" s="184"/>
      <c r="AJ83" s="184"/>
      <c r="AK83" s="184"/>
      <c r="AL83" s="141"/>
    </row>
    <row r="84" spans="1:38" ht="12.75" customHeight="1">
      <c r="A84" s="80"/>
      <c r="B84" s="43">
        <v>15</v>
      </c>
      <c r="C84" s="191"/>
      <c r="D84" s="192"/>
      <c r="F84" s="193">
        <f t="shared" si="0"/>
        <v>0</v>
      </c>
      <c r="G84" s="34"/>
      <c r="H84" s="184"/>
      <c r="I84" s="184"/>
      <c r="J84" s="184"/>
      <c r="K84" s="184"/>
      <c r="L84" s="184"/>
      <c r="M84" s="184"/>
      <c r="N84" s="184"/>
      <c r="O84" s="184"/>
      <c r="P84" s="184"/>
      <c r="Q84" s="184"/>
      <c r="R84" s="184"/>
      <c r="S84" s="141"/>
      <c r="T84" s="80"/>
      <c r="U84" s="43">
        <v>15</v>
      </c>
      <c r="V84" s="186"/>
      <c r="W84" s="187"/>
      <c r="Y84" s="195">
        <f t="shared" si="1"/>
        <v>0</v>
      </c>
      <c r="Z84" s="34"/>
      <c r="AA84" s="34"/>
      <c r="AB84" s="34"/>
      <c r="AC84" s="34"/>
      <c r="AD84" s="34"/>
      <c r="AE84" s="34"/>
      <c r="AF84" s="34"/>
      <c r="AG84" s="34"/>
      <c r="AH84" s="34"/>
      <c r="AI84" s="184"/>
      <c r="AJ84" s="184"/>
      <c r="AK84" s="184"/>
      <c r="AL84" s="141"/>
    </row>
    <row r="85" spans="1:38" ht="12.75" customHeight="1">
      <c r="A85" s="80"/>
      <c r="B85" s="43">
        <v>16</v>
      </c>
      <c r="C85" s="191"/>
      <c r="D85" s="192"/>
      <c r="F85" s="193">
        <f t="shared" si="0"/>
        <v>0</v>
      </c>
      <c r="G85" s="34"/>
      <c r="H85" s="184"/>
      <c r="I85" s="184"/>
      <c r="J85" s="184" t="s">
        <v>322</v>
      </c>
      <c r="K85" s="184"/>
      <c r="L85" s="184">
        <f t="array" ref="L85">MATCH(MIN(ABS(C70:C396-C51/1000)),ABS(C70:C396-C51/1000),0)</f>
        <v>1</v>
      </c>
      <c r="M85" s="184"/>
      <c r="N85" s="184"/>
      <c r="O85" s="184"/>
      <c r="P85" s="184"/>
      <c r="Q85" s="184"/>
      <c r="R85" s="184"/>
      <c r="S85" s="141"/>
      <c r="T85" s="80"/>
      <c r="U85" s="43">
        <v>16</v>
      </c>
      <c r="V85" s="186"/>
      <c r="W85" s="187"/>
      <c r="Y85" s="195">
        <f t="shared" si="1"/>
        <v>0</v>
      </c>
      <c r="Z85" s="34"/>
      <c r="AA85" s="34"/>
      <c r="AB85" s="34"/>
      <c r="AC85" s="34"/>
      <c r="AD85" s="34"/>
      <c r="AE85" s="34"/>
      <c r="AF85" s="34"/>
      <c r="AG85" s="34"/>
      <c r="AH85" s="34"/>
      <c r="AI85" s="184"/>
      <c r="AJ85" s="184"/>
      <c r="AK85" s="184"/>
      <c r="AL85" s="141"/>
    </row>
    <row r="86" spans="1:38" ht="12.75" customHeight="1">
      <c r="A86" s="80"/>
      <c r="B86" s="43">
        <v>17</v>
      </c>
      <c r="C86" s="191"/>
      <c r="D86" s="192"/>
      <c r="F86" s="193">
        <f t="shared" si="0"/>
        <v>0</v>
      </c>
      <c r="G86" s="34"/>
      <c r="H86" s="184"/>
      <c r="I86" s="184"/>
      <c r="J86" s="184" t="s">
        <v>321</v>
      </c>
      <c r="K86" s="184"/>
      <c r="L86" s="196">
        <f t="array" ref="L86">INDEX(C70:E397,L85,2)</f>
        <v>0</v>
      </c>
      <c r="M86" s="184"/>
      <c r="N86" s="184"/>
      <c r="O86" s="184"/>
      <c r="P86" s="184"/>
      <c r="Q86" s="184"/>
      <c r="R86" s="184"/>
      <c r="S86" s="141"/>
      <c r="T86" s="80"/>
      <c r="U86" s="43">
        <v>17</v>
      </c>
      <c r="V86" s="186"/>
      <c r="W86" s="187"/>
      <c r="Y86" s="195">
        <f t="shared" si="1"/>
        <v>0</v>
      </c>
      <c r="Z86" s="34"/>
      <c r="AA86" s="34"/>
      <c r="AB86" s="34"/>
      <c r="AC86" s="34"/>
      <c r="AD86" s="34"/>
      <c r="AE86" s="34"/>
      <c r="AF86" s="34"/>
      <c r="AG86" s="34"/>
      <c r="AH86" s="34"/>
      <c r="AI86" s="184"/>
      <c r="AJ86" s="184"/>
      <c r="AK86" s="184"/>
      <c r="AL86" s="141"/>
    </row>
    <row r="87" spans="1:38" ht="12.75" customHeight="1">
      <c r="A87" s="80"/>
      <c r="B87" s="43">
        <v>18</v>
      </c>
      <c r="C87" s="191"/>
      <c r="D87" s="192"/>
      <c r="F87" s="193">
        <f t="shared" si="0"/>
        <v>0</v>
      </c>
      <c r="G87" s="34"/>
      <c r="H87" s="184"/>
      <c r="I87" s="184"/>
      <c r="J87" s="184" t="s">
        <v>323</v>
      </c>
      <c r="K87" s="184"/>
      <c r="L87" s="184">
        <f t="array" ref="L87">MATCH(MIN(ABS(D70:D396-G54)),ABS(D70:D396-G54),0)</f>
        <v>1</v>
      </c>
      <c r="M87" s="184"/>
      <c r="N87" s="184"/>
      <c r="O87" s="184"/>
      <c r="P87" s="184"/>
      <c r="Q87" s="184"/>
      <c r="R87" s="184"/>
      <c r="S87" s="141"/>
      <c r="T87" s="80"/>
      <c r="U87" s="43">
        <v>18</v>
      </c>
      <c r="V87" s="186"/>
      <c r="W87" s="187"/>
      <c r="Y87" s="195">
        <f t="shared" si="1"/>
        <v>0</v>
      </c>
      <c r="Z87" s="34"/>
      <c r="AA87" s="34"/>
      <c r="AB87" s="34"/>
      <c r="AC87" s="34"/>
      <c r="AD87" s="34"/>
      <c r="AE87" s="34"/>
      <c r="AF87" s="34"/>
      <c r="AG87" s="34"/>
      <c r="AH87" s="34"/>
      <c r="AI87" s="184"/>
      <c r="AJ87" s="184"/>
      <c r="AK87" s="184"/>
      <c r="AL87" s="141"/>
    </row>
    <row r="88" spans="1:38" ht="12.75" customHeight="1">
      <c r="A88" s="80"/>
      <c r="B88" s="43">
        <v>19</v>
      </c>
      <c r="C88" s="191"/>
      <c r="D88" s="192"/>
      <c r="F88" s="193">
        <f t="shared" si="0"/>
        <v>0</v>
      </c>
      <c r="G88" s="34"/>
      <c r="H88" s="184"/>
      <c r="I88" s="184"/>
      <c r="J88" s="184"/>
      <c r="K88" s="184"/>
      <c r="L88" s="184"/>
      <c r="M88" s="184"/>
      <c r="N88" s="184"/>
      <c r="O88" s="184"/>
      <c r="P88" s="184"/>
      <c r="Q88" s="184"/>
      <c r="R88" s="184"/>
      <c r="S88" s="141"/>
      <c r="T88" s="80"/>
      <c r="U88" s="43">
        <v>19</v>
      </c>
      <c r="V88" s="186"/>
      <c r="W88" s="187"/>
      <c r="Y88" s="195">
        <f t="shared" si="1"/>
        <v>0</v>
      </c>
      <c r="Z88" s="34"/>
      <c r="AA88" s="34"/>
      <c r="AB88" s="34"/>
      <c r="AC88" s="34"/>
      <c r="AD88" s="34"/>
      <c r="AE88" s="34"/>
      <c r="AF88" s="34"/>
      <c r="AG88" s="34"/>
      <c r="AH88" s="34"/>
      <c r="AI88" s="184"/>
      <c r="AJ88" s="184"/>
      <c r="AK88" s="184"/>
      <c r="AL88" s="141"/>
    </row>
    <row r="89" spans="1:38" ht="12.75" customHeight="1">
      <c r="A89" s="80"/>
      <c r="B89" s="43">
        <v>20</v>
      </c>
      <c r="C89" s="191"/>
      <c r="D89" s="192"/>
      <c r="F89" s="193">
        <f t="shared" si="0"/>
        <v>0</v>
      </c>
      <c r="G89" s="34"/>
      <c r="H89" s="184"/>
      <c r="I89" s="184"/>
      <c r="J89" s="184"/>
      <c r="K89" s="184"/>
      <c r="L89" s="184"/>
      <c r="M89" s="184"/>
      <c r="N89" s="184"/>
      <c r="O89" s="184"/>
      <c r="P89" s="184"/>
      <c r="Q89" s="184"/>
      <c r="R89" s="184"/>
      <c r="S89" s="141"/>
      <c r="T89" s="80"/>
      <c r="U89" s="43">
        <v>20</v>
      </c>
      <c r="V89" s="186"/>
      <c r="W89" s="187"/>
      <c r="Y89" s="195">
        <f t="shared" si="1"/>
        <v>0</v>
      </c>
      <c r="Z89" s="34"/>
      <c r="AA89" s="34"/>
      <c r="AB89" s="34"/>
      <c r="AC89" s="34"/>
      <c r="AD89" s="34"/>
      <c r="AE89" s="34"/>
      <c r="AF89" s="34"/>
      <c r="AG89" s="34"/>
      <c r="AH89" s="34"/>
      <c r="AI89" s="184"/>
      <c r="AJ89" s="184"/>
      <c r="AK89" s="184"/>
      <c r="AL89" s="141"/>
    </row>
    <row r="90" spans="1:38" ht="12.75" customHeight="1">
      <c r="A90" s="80"/>
      <c r="B90" s="43">
        <v>21</v>
      </c>
      <c r="C90" s="191"/>
      <c r="D90" s="192"/>
      <c r="F90" s="193">
        <f t="shared" si="0"/>
        <v>0</v>
      </c>
      <c r="G90" s="34"/>
      <c r="H90" s="184"/>
      <c r="I90" s="184"/>
      <c r="J90" s="184"/>
      <c r="K90" s="184"/>
      <c r="L90" s="184"/>
      <c r="M90" s="184"/>
      <c r="N90" s="184"/>
      <c r="O90" s="184"/>
      <c r="P90" s="184"/>
      <c r="Q90" s="184"/>
      <c r="R90" s="184"/>
      <c r="S90" s="141"/>
      <c r="T90" s="80"/>
      <c r="U90" s="43">
        <v>21</v>
      </c>
      <c r="V90" s="186"/>
      <c r="W90" s="187"/>
      <c r="Y90" s="195">
        <f t="shared" si="1"/>
        <v>0</v>
      </c>
      <c r="Z90" s="34"/>
      <c r="AA90" s="34"/>
      <c r="AB90" s="34"/>
      <c r="AC90" s="34"/>
      <c r="AD90" s="34"/>
      <c r="AE90" s="34"/>
      <c r="AF90" s="34"/>
      <c r="AG90" s="34"/>
      <c r="AH90" s="34"/>
      <c r="AI90" s="184"/>
      <c r="AJ90" s="184"/>
      <c r="AK90" s="184"/>
      <c r="AL90" s="141"/>
    </row>
    <row r="91" spans="1:38" ht="12.75" customHeight="1">
      <c r="A91" s="80"/>
      <c r="B91" s="43">
        <v>22</v>
      </c>
      <c r="C91" s="191"/>
      <c r="D91" s="192"/>
      <c r="F91" s="193">
        <f t="shared" si="0"/>
        <v>0</v>
      </c>
      <c r="G91" s="34"/>
      <c r="H91" s="184"/>
      <c r="I91" s="184"/>
      <c r="J91" s="184"/>
      <c r="K91" s="184"/>
      <c r="L91" s="184"/>
      <c r="M91" s="184"/>
      <c r="N91" s="184"/>
      <c r="O91" s="184"/>
      <c r="P91" s="184"/>
      <c r="Q91" s="184"/>
      <c r="R91" s="184"/>
      <c r="S91" s="141"/>
      <c r="T91" s="80"/>
      <c r="U91" s="43">
        <v>22</v>
      </c>
      <c r="V91" s="186"/>
      <c r="W91" s="187"/>
      <c r="Y91" s="195">
        <f t="shared" si="1"/>
        <v>0</v>
      </c>
      <c r="Z91" s="34"/>
      <c r="AA91" s="34"/>
      <c r="AB91" s="34"/>
      <c r="AC91" s="34"/>
      <c r="AD91" s="34"/>
      <c r="AE91" s="34"/>
      <c r="AF91" s="34"/>
      <c r="AG91" s="34"/>
      <c r="AH91" s="34"/>
      <c r="AI91" s="184"/>
      <c r="AJ91" s="184"/>
      <c r="AK91" s="184"/>
      <c r="AL91" s="141"/>
    </row>
    <row r="92" spans="1:38" ht="12.75" customHeight="1">
      <c r="A92" s="80"/>
      <c r="B92" s="43">
        <v>23</v>
      </c>
      <c r="C92" s="191"/>
      <c r="D92" s="192"/>
      <c r="F92" s="193">
        <f t="shared" si="0"/>
        <v>0</v>
      </c>
      <c r="G92" s="34"/>
      <c r="H92" s="184"/>
      <c r="I92" s="184"/>
      <c r="J92" s="184"/>
      <c r="K92" s="184"/>
      <c r="L92" s="184"/>
      <c r="M92" s="184"/>
      <c r="N92" s="184"/>
      <c r="O92" s="184"/>
      <c r="P92" s="184"/>
      <c r="Q92" s="184"/>
      <c r="R92" s="184"/>
      <c r="S92" s="141"/>
      <c r="T92" s="80"/>
      <c r="U92" s="43">
        <v>23</v>
      </c>
      <c r="V92" s="186"/>
      <c r="W92" s="187"/>
      <c r="Y92" s="195">
        <f t="shared" si="1"/>
        <v>0</v>
      </c>
      <c r="Z92" s="34"/>
      <c r="AA92" s="34"/>
      <c r="AB92" s="34"/>
      <c r="AC92" s="34"/>
      <c r="AD92" s="34"/>
      <c r="AE92" s="34"/>
      <c r="AF92" s="34"/>
      <c r="AG92" s="34"/>
      <c r="AH92" s="34"/>
      <c r="AI92" s="184"/>
      <c r="AJ92" s="184"/>
      <c r="AK92" s="184"/>
      <c r="AL92" s="141"/>
    </row>
    <row r="93" spans="1:38" ht="12.75" customHeight="1">
      <c r="A93" s="80"/>
      <c r="B93" s="43">
        <v>24</v>
      </c>
      <c r="C93" s="191"/>
      <c r="D93" s="192"/>
      <c r="F93" s="193">
        <f t="shared" si="0"/>
        <v>0</v>
      </c>
      <c r="G93" s="34"/>
      <c r="H93" s="184"/>
      <c r="I93" s="184"/>
      <c r="J93" s="184"/>
      <c r="K93" s="184"/>
      <c r="L93" s="184"/>
      <c r="M93" s="184"/>
      <c r="N93" s="184"/>
      <c r="O93" s="184"/>
      <c r="P93" s="184"/>
      <c r="Q93" s="184"/>
      <c r="R93" s="184"/>
      <c r="S93" s="141"/>
      <c r="T93" s="80"/>
      <c r="U93" s="43">
        <v>24</v>
      </c>
      <c r="V93" s="186"/>
      <c r="W93" s="187"/>
      <c r="Y93" s="195">
        <f t="shared" si="1"/>
        <v>0</v>
      </c>
      <c r="Z93" s="34"/>
      <c r="AA93" s="34"/>
      <c r="AB93" s="34"/>
      <c r="AC93" s="34"/>
      <c r="AD93" s="34"/>
      <c r="AE93" s="34"/>
      <c r="AF93" s="34"/>
      <c r="AG93" s="34"/>
      <c r="AH93" s="34"/>
      <c r="AI93" s="184"/>
      <c r="AJ93" s="184"/>
      <c r="AK93" s="184"/>
      <c r="AL93" s="141"/>
    </row>
    <row r="94" spans="1:38" ht="12.75" customHeight="1">
      <c r="A94" s="80"/>
      <c r="B94" s="43">
        <v>25</v>
      </c>
      <c r="C94" s="191"/>
      <c r="D94" s="192"/>
      <c r="F94" s="193">
        <f t="shared" si="0"/>
        <v>0</v>
      </c>
      <c r="G94" s="34"/>
      <c r="H94" s="184"/>
      <c r="I94" s="184"/>
      <c r="J94" s="184"/>
      <c r="K94" s="184"/>
      <c r="L94" s="184"/>
      <c r="M94" s="184"/>
      <c r="N94" s="184"/>
      <c r="O94" s="184"/>
      <c r="P94" s="184"/>
      <c r="Q94" s="184"/>
      <c r="R94" s="184"/>
      <c r="S94" s="141"/>
      <c r="T94" s="80"/>
      <c r="U94" s="43">
        <v>25</v>
      </c>
      <c r="V94" s="186"/>
      <c r="W94" s="187"/>
      <c r="Y94" s="195">
        <f t="shared" si="1"/>
        <v>0</v>
      </c>
      <c r="Z94" s="34"/>
      <c r="AA94" s="34"/>
      <c r="AB94" s="34"/>
      <c r="AC94" s="34"/>
      <c r="AD94" s="34"/>
      <c r="AE94" s="34"/>
      <c r="AF94" s="34"/>
      <c r="AG94" s="34"/>
      <c r="AH94" s="34"/>
      <c r="AI94" s="184"/>
      <c r="AJ94" s="184"/>
      <c r="AK94" s="184"/>
      <c r="AL94" s="141"/>
    </row>
    <row r="95" spans="1:38" ht="12.75" customHeight="1">
      <c r="A95" s="80"/>
      <c r="B95" s="43">
        <v>26</v>
      </c>
      <c r="C95" s="191"/>
      <c r="D95" s="192"/>
      <c r="F95" s="193">
        <f t="shared" si="0"/>
        <v>0</v>
      </c>
      <c r="G95" s="34"/>
      <c r="H95" s="184"/>
      <c r="I95" s="184"/>
      <c r="J95" s="184"/>
      <c r="K95" s="184"/>
      <c r="L95" s="184"/>
      <c r="M95" s="184"/>
      <c r="N95" s="184"/>
      <c r="O95" s="184"/>
      <c r="P95" s="184"/>
      <c r="Q95" s="184"/>
      <c r="R95" s="184"/>
      <c r="S95" s="141"/>
      <c r="T95" s="80"/>
      <c r="U95" s="43">
        <v>26</v>
      </c>
      <c r="V95" s="186"/>
      <c r="W95" s="187"/>
      <c r="Y95" s="195">
        <f t="shared" si="1"/>
        <v>0</v>
      </c>
      <c r="Z95" s="34"/>
      <c r="AA95" s="34"/>
      <c r="AB95" s="34"/>
      <c r="AC95" s="34"/>
      <c r="AD95" s="34"/>
      <c r="AE95" s="34"/>
      <c r="AF95" s="34"/>
      <c r="AG95" s="34"/>
      <c r="AH95" s="34"/>
      <c r="AI95" s="184"/>
      <c r="AJ95" s="184"/>
      <c r="AK95" s="184"/>
      <c r="AL95" s="141"/>
    </row>
    <row r="96" spans="1:38" ht="12.75" customHeight="1">
      <c r="A96" s="80"/>
      <c r="B96" s="43">
        <v>27</v>
      </c>
      <c r="C96" s="191"/>
      <c r="D96" s="192"/>
      <c r="F96" s="193">
        <f t="shared" si="0"/>
        <v>0</v>
      </c>
      <c r="G96" s="34"/>
      <c r="H96" s="184"/>
      <c r="I96" s="184"/>
      <c r="J96" s="184"/>
      <c r="K96" s="184"/>
      <c r="L96" s="184"/>
      <c r="M96" s="184"/>
      <c r="N96" s="184"/>
      <c r="O96" s="184"/>
      <c r="P96" s="184"/>
      <c r="Q96" s="184"/>
      <c r="R96" s="184"/>
      <c r="S96" s="141"/>
      <c r="T96" s="80"/>
      <c r="U96" s="43">
        <v>27</v>
      </c>
      <c r="V96" s="186"/>
      <c r="W96" s="187"/>
      <c r="Y96" s="195">
        <f t="shared" si="1"/>
        <v>0</v>
      </c>
      <c r="Z96" s="34"/>
      <c r="AA96" s="34"/>
      <c r="AB96" s="34"/>
      <c r="AC96" s="34"/>
      <c r="AD96" s="34"/>
      <c r="AE96" s="34"/>
      <c r="AF96" s="34"/>
      <c r="AG96" s="34"/>
      <c r="AH96" s="34"/>
      <c r="AI96" s="184"/>
      <c r="AJ96" s="184"/>
      <c r="AK96" s="184"/>
      <c r="AL96" s="141"/>
    </row>
    <row r="97" spans="1:38" ht="12.75" customHeight="1">
      <c r="A97" s="80"/>
      <c r="B97" s="43">
        <v>28</v>
      </c>
      <c r="C97" s="191"/>
      <c r="D97" s="192"/>
      <c r="F97" s="193">
        <f t="shared" si="0"/>
        <v>0</v>
      </c>
      <c r="G97" s="34"/>
      <c r="H97" s="184"/>
      <c r="I97" s="184"/>
      <c r="J97" s="184"/>
      <c r="K97" s="184"/>
      <c r="L97" s="184"/>
      <c r="M97" s="184"/>
      <c r="N97" s="184"/>
      <c r="O97" s="184"/>
      <c r="P97" s="184"/>
      <c r="Q97" s="184"/>
      <c r="R97" s="184"/>
      <c r="S97" s="141"/>
      <c r="T97" s="80"/>
      <c r="U97" s="43">
        <v>28</v>
      </c>
      <c r="V97" s="186"/>
      <c r="W97" s="187"/>
      <c r="Y97" s="195">
        <f t="shared" si="1"/>
        <v>0</v>
      </c>
      <c r="Z97" s="34"/>
      <c r="AA97" s="34"/>
      <c r="AB97" s="34"/>
      <c r="AC97" s="34"/>
      <c r="AD97" s="34"/>
      <c r="AE97" s="34"/>
      <c r="AF97" s="34"/>
      <c r="AG97" s="34"/>
      <c r="AH97" s="34"/>
      <c r="AI97" s="184"/>
      <c r="AJ97" s="184"/>
      <c r="AK97" s="184"/>
      <c r="AL97" s="141"/>
    </row>
    <row r="98" spans="1:38" ht="12.75" customHeight="1">
      <c r="A98" s="80"/>
      <c r="B98" s="43">
        <v>29</v>
      </c>
      <c r="C98" s="191"/>
      <c r="D98" s="192"/>
      <c r="F98" s="193">
        <f t="shared" si="0"/>
        <v>0</v>
      </c>
      <c r="G98" s="34"/>
      <c r="H98" s="184"/>
      <c r="I98" s="184"/>
      <c r="J98" s="184"/>
      <c r="K98" s="184"/>
      <c r="L98" s="184"/>
      <c r="M98" s="184"/>
      <c r="N98" s="184"/>
      <c r="O98" s="184"/>
      <c r="P98" s="184"/>
      <c r="Q98" s="184"/>
      <c r="R98" s="184"/>
      <c r="S98" s="141"/>
      <c r="T98" s="80"/>
      <c r="U98" s="43">
        <v>29</v>
      </c>
      <c r="V98" s="186"/>
      <c r="W98" s="187"/>
      <c r="Y98" s="195">
        <f t="shared" si="1"/>
        <v>0</v>
      </c>
      <c r="Z98" s="34"/>
      <c r="AA98" s="34"/>
      <c r="AB98" s="34"/>
      <c r="AC98" s="34"/>
      <c r="AD98" s="34"/>
      <c r="AE98" s="34"/>
      <c r="AF98" s="34"/>
      <c r="AG98" s="34"/>
      <c r="AH98" s="34"/>
      <c r="AI98" s="184"/>
      <c r="AJ98" s="184"/>
      <c r="AK98" s="184"/>
      <c r="AL98" s="141"/>
    </row>
    <row r="99" spans="1:38" ht="12.75" customHeight="1">
      <c r="A99" s="80"/>
      <c r="B99" s="43">
        <v>30</v>
      </c>
      <c r="C99" s="191"/>
      <c r="D99" s="192"/>
      <c r="F99" s="193">
        <f t="shared" si="0"/>
        <v>0</v>
      </c>
      <c r="G99" s="34"/>
      <c r="H99" s="34"/>
      <c r="I99" s="34"/>
      <c r="J99" s="34"/>
      <c r="K99" s="34"/>
      <c r="L99" s="34"/>
      <c r="M99" s="34"/>
      <c r="N99" s="34"/>
      <c r="O99" s="34"/>
      <c r="P99" s="34"/>
      <c r="Q99" s="34"/>
      <c r="S99" s="141"/>
      <c r="T99" s="80"/>
      <c r="U99" s="43">
        <v>30</v>
      </c>
      <c r="V99" s="186"/>
      <c r="W99" s="187"/>
      <c r="Y99" s="195">
        <f t="shared" si="1"/>
        <v>0</v>
      </c>
      <c r="Z99" s="34"/>
      <c r="AA99" s="34"/>
      <c r="AB99" s="34"/>
      <c r="AC99" s="34"/>
      <c r="AD99" s="34"/>
      <c r="AE99" s="34"/>
      <c r="AF99" s="34"/>
      <c r="AG99" s="34"/>
      <c r="AH99" s="34"/>
      <c r="AI99" s="184"/>
      <c r="AJ99" s="184"/>
      <c r="AK99" s="184"/>
      <c r="AL99" s="141"/>
    </row>
    <row r="100" spans="1:38" ht="12.75" customHeight="1">
      <c r="A100" s="80"/>
      <c r="B100" s="43">
        <v>31</v>
      </c>
      <c r="C100" s="191"/>
      <c r="D100" s="192"/>
      <c r="F100" s="193">
        <f t="shared" si="0"/>
        <v>0</v>
      </c>
      <c r="G100" s="34"/>
      <c r="H100" s="34"/>
      <c r="I100" s="34"/>
      <c r="J100" s="34"/>
      <c r="K100" s="34"/>
      <c r="L100" s="34"/>
      <c r="M100" s="34"/>
      <c r="N100" s="34"/>
      <c r="O100" s="34"/>
      <c r="P100" s="34"/>
      <c r="Q100" s="34"/>
      <c r="S100" s="141"/>
      <c r="T100" s="80"/>
      <c r="U100" s="43">
        <v>31</v>
      </c>
      <c r="V100" s="186"/>
      <c r="W100" s="187"/>
      <c r="Y100" s="195">
        <f t="shared" si="1"/>
        <v>0</v>
      </c>
      <c r="Z100" s="34"/>
      <c r="AA100" s="34"/>
      <c r="AB100" s="34"/>
      <c r="AC100" s="34"/>
      <c r="AD100" s="34"/>
      <c r="AE100" s="34"/>
      <c r="AF100" s="34"/>
      <c r="AG100" s="34"/>
      <c r="AH100" s="34"/>
      <c r="AI100" s="184"/>
      <c r="AJ100" s="184"/>
      <c r="AK100" s="184"/>
      <c r="AL100" s="141"/>
    </row>
    <row r="101" spans="1:38" ht="12.75" customHeight="1">
      <c r="A101" s="80"/>
      <c r="B101" s="43">
        <v>32</v>
      </c>
      <c r="C101" s="191"/>
      <c r="D101" s="192"/>
      <c r="F101" s="193">
        <f t="shared" si="0"/>
        <v>0</v>
      </c>
      <c r="G101" s="34"/>
      <c r="H101" s="34"/>
      <c r="I101" s="34"/>
      <c r="J101" s="34"/>
      <c r="K101" s="34"/>
      <c r="L101" s="34"/>
      <c r="M101" s="34"/>
      <c r="N101" s="34"/>
      <c r="O101" s="34"/>
      <c r="P101" s="34"/>
      <c r="Q101" s="34"/>
      <c r="S101" s="141"/>
      <c r="T101" s="80"/>
      <c r="U101" s="43">
        <v>32</v>
      </c>
      <c r="V101" s="186"/>
      <c r="W101" s="187"/>
      <c r="Y101" s="195">
        <f t="shared" si="1"/>
        <v>0</v>
      </c>
      <c r="Z101" s="34"/>
      <c r="AA101" s="34"/>
      <c r="AB101" s="34"/>
      <c r="AC101" s="34"/>
      <c r="AD101" s="34"/>
      <c r="AE101" s="34"/>
      <c r="AF101" s="34"/>
      <c r="AG101" s="34"/>
      <c r="AH101" s="34"/>
      <c r="AI101" s="184"/>
      <c r="AJ101" s="184"/>
      <c r="AK101" s="184"/>
      <c r="AL101" s="141"/>
    </row>
    <row r="102" spans="1:38" ht="12.75" customHeight="1">
      <c r="A102" s="80"/>
      <c r="B102" s="43">
        <v>33</v>
      </c>
      <c r="C102" s="191"/>
      <c r="D102" s="192"/>
      <c r="F102" s="193">
        <f t="shared" si="0"/>
        <v>0</v>
      </c>
      <c r="G102" s="34"/>
      <c r="H102" s="34"/>
      <c r="I102" s="34"/>
      <c r="J102" s="34"/>
      <c r="K102" s="34"/>
      <c r="L102" s="34"/>
      <c r="M102" s="34"/>
      <c r="N102" s="34"/>
      <c r="O102" s="34"/>
      <c r="P102" s="34"/>
      <c r="Q102" s="34"/>
      <c r="S102" s="141"/>
      <c r="T102" s="80"/>
      <c r="U102" s="43">
        <v>33</v>
      </c>
      <c r="V102" s="186"/>
      <c r="W102" s="187"/>
      <c r="Y102" s="195">
        <f t="shared" si="1"/>
        <v>0</v>
      </c>
      <c r="Z102" s="34"/>
      <c r="AA102" s="34"/>
      <c r="AB102" s="34"/>
      <c r="AC102" s="34"/>
      <c r="AD102" s="34"/>
      <c r="AE102" s="34"/>
      <c r="AF102" s="34"/>
      <c r="AG102" s="34"/>
      <c r="AH102" s="34"/>
      <c r="AI102" s="184"/>
      <c r="AJ102" s="184"/>
      <c r="AK102" s="184"/>
      <c r="AL102" s="141"/>
    </row>
    <row r="103" spans="1:38" ht="12.75" customHeight="1">
      <c r="A103" s="80"/>
      <c r="B103" s="43">
        <v>34</v>
      </c>
      <c r="C103" s="191"/>
      <c r="D103" s="192"/>
      <c r="F103" s="193">
        <f t="shared" si="0"/>
        <v>0</v>
      </c>
      <c r="G103" s="34"/>
      <c r="H103" s="34"/>
      <c r="I103" s="34"/>
      <c r="J103" s="34"/>
      <c r="K103" s="34"/>
      <c r="L103" s="34"/>
      <c r="M103" s="34"/>
      <c r="N103" s="34"/>
      <c r="O103" s="34"/>
      <c r="P103" s="34"/>
      <c r="Q103" s="34"/>
      <c r="S103" s="141"/>
      <c r="T103" s="80"/>
      <c r="U103" s="43">
        <v>34</v>
      </c>
      <c r="V103" s="186"/>
      <c r="W103" s="187"/>
      <c r="Y103" s="195">
        <f t="shared" si="1"/>
        <v>0</v>
      </c>
      <c r="Z103" s="34"/>
      <c r="AA103" s="34"/>
      <c r="AB103" s="34"/>
      <c r="AC103" s="34"/>
      <c r="AD103" s="34"/>
      <c r="AE103" s="34"/>
      <c r="AF103" s="34"/>
      <c r="AG103" s="34"/>
      <c r="AH103" s="34"/>
      <c r="AI103" s="184"/>
      <c r="AJ103" s="184"/>
      <c r="AK103" s="184"/>
      <c r="AL103" s="141"/>
    </row>
    <row r="104" spans="1:38" ht="12.75" customHeight="1">
      <c r="A104" s="80"/>
      <c r="B104" s="43">
        <v>35</v>
      </c>
      <c r="C104" s="191"/>
      <c r="D104" s="192"/>
      <c r="F104" s="193">
        <f t="shared" si="0"/>
        <v>0</v>
      </c>
      <c r="G104" s="34"/>
      <c r="H104" s="34"/>
      <c r="I104" s="34"/>
      <c r="J104" s="34"/>
      <c r="K104" s="34"/>
      <c r="L104" s="34"/>
      <c r="M104" s="34"/>
      <c r="N104" s="34"/>
      <c r="O104" s="34"/>
      <c r="P104" s="34"/>
      <c r="Q104" s="34"/>
      <c r="S104" s="141"/>
      <c r="T104" s="80"/>
      <c r="U104" s="43">
        <v>35</v>
      </c>
      <c r="V104" s="186"/>
      <c r="W104" s="187"/>
      <c r="Y104" s="195">
        <f t="shared" si="1"/>
        <v>0</v>
      </c>
      <c r="Z104" s="34"/>
      <c r="AA104" s="34"/>
      <c r="AB104" s="34"/>
      <c r="AC104" s="34"/>
      <c r="AD104" s="34"/>
      <c r="AE104" s="34"/>
      <c r="AF104" s="34"/>
      <c r="AG104" s="34"/>
      <c r="AH104" s="34"/>
      <c r="AI104" s="184"/>
      <c r="AJ104" s="184"/>
      <c r="AK104" s="184"/>
      <c r="AL104" s="141"/>
    </row>
    <row r="105" spans="1:38" ht="12.75" customHeight="1">
      <c r="A105" s="80"/>
      <c r="B105" s="43">
        <v>36</v>
      </c>
      <c r="C105" s="191"/>
      <c r="D105" s="192"/>
      <c r="F105" s="193">
        <f t="shared" si="0"/>
        <v>0</v>
      </c>
      <c r="G105" s="34"/>
      <c r="H105" s="34"/>
      <c r="I105" s="34"/>
      <c r="J105" s="34"/>
      <c r="K105" s="34"/>
      <c r="L105" s="34"/>
      <c r="M105" s="34"/>
      <c r="N105" s="34"/>
      <c r="O105" s="34"/>
      <c r="P105" s="34"/>
      <c r="Q105" s="34"/>
      <c r="S105" s="141"/>
      <c r="T105" s="80"/>
      <c r="U105" s="43">
        <v>36</v>
      </c>
      <c r="V105" s="186"/>
      <c r="W105" s="187"/>
      <c r="Y105" s="195">
        <f t="shared" si="1"/>
        <v>0</v>
      </c>
      <c r="Z105" s="34"/>
      <c r="AA105" s="34"/>
      <c r="AB105" s="34"/>
      <c r="AC105" s="34"/>
      <c r="AD105" s="34"/>
      <c r="AE105" s="34"/>
      <c r="AF105" s="34"/>
      <c r="AG105" s="34"/>
      <c r="AH105" s="34"/>
      <c r="AI105" s="184"/>
      <c r="AJ105" s="184"/>
      <c r="AK105" s="184"/>
      <c r="AL105" s="141"/>
    </row>
    <row r="106" spans="1:38" ht="12.75" customHeight="1">
      <c r="A106" s="80"/>
      <c r="B106" s="43">
        <v>37</v>
      </c>
      <c r="C106" s="191"/>
      <c r="D106" s="192"/>
      <c r="F106" s="193">
        <f t="shared" si="0"/>
        <v>0</v>
      </c>
      <c r="G106" s="34"/>
      <c r="H106" s="34"/>
      <c r="I106" s="34"/>
      <c r="J106" s="34"/>
      <c r="K106" s="34"/>
      <c r="L106" s="34"/>
      <c r="M106" s="34"/>
      <c r="N106" s="34"/>
      <c r="O106" s="34"/>
      <c r="P106" s="34"/>
      <c r="Q106" s="34"/>
      <c r="S106" s="141"/>
      <c r="T106" s="80"/>
      <c r="U106" s="43">
        <v>37</v>
      </c>
      <c r="V106" s="186"/>
      <c r="W106" s="187"/>
      <c r="Y106" s="195">
        <f t="shared" si="1"/>
        <v>0</v>
      </c>
      <c r="Z106" s="34"/>
      <c r="AA106" s="34"/>
      <c r="AB106" s="34"/>
      <c r="AC106" s="34"/>
      <c r="AD106" s="34"/>
      <c r="AE106" s="34"/>
      <c r="AF106" s="34"/>
      <c r="AG106" s="34"/>
      <c r="AH106" s="34"/>
      <c r="AI106" s="184"/>
      <c r="AJ106" s="184"/>
      <c r="AK106" s="184"/>
      <c r="AL106" s="141"/>
    </row>
    <row r="107" spans="1:38" ht="12.75" customHeight="1">
      <c r="A107" s="80"/>
      <c r="B107" s="43">
        <v>38</v>
      </c>
      <c r="C107" s="191"/>
      <c r="D107" s="192"/>
      <c r="F107" s="193">
        <f t="shared" si="0"/>
        <v>0</v>
      </c>
      <c r="G107" s="34"/>
      <c r="H107" s="34"/>
      <c r="I107" s="34"/>
      <c r="J107" s="34"/>
      <c r="K107" s="34"/>
      <c r="L107" s="34"/>
      <c r="M107" s="34"/>
      <c r="N107" s="34"/>
      <c r="O107" s="34"/>
      <c r="P107" s="34"/>
      <c r="Q107" s="34"/>
      <c r="S107" s="141"/>
      <c r="T107" s="80"/>
      <c r="U107" s="43">
        <v>38</v>
      </c>
      <c r="V107" s="186"/>
      <c r="W107" s="187"/>
      <c r="Y107" s="195">
        <f t="shared" si="1"/>
        <v>0</v>
      </c>
      <c r="Z107" s="34"/>
      <c r="AA107" s="34"/>
      <c r="AB107" s="34"/>
      <c r="AC107" s="34"/>
      <c r="AD107" s="34"/>
      <c r="AE107" s="34"/>
      <c r="AF107" s="34"/>
      <c r="AG107" s="34"/>
      <c r="AH107" s="34"/>
      <c r="AI107" s="184"/>
      <c r="AJ107" s="184"/>
      <c r="AK107" s="184"/>
      <c r="AL107" s="141"/>
    </row>
    <row r="108" spans="1:38" ht="12.75" customHeight="1">
      <c r="A108" s="80"/>
      <c r="B108" s="43">
        <v>39</v>
      </c>
      <c r="C108" s="191"/>
      <c r="D108" s="192"/>
      <c r="F108" s="193">
        <f t="shared" si="0"/>
        <v>0</v>
      </c>
      <c r="G108" s="34"/>
      <c r="H108" s="34"/>
      <c r="I108" s="34"/>
      <c r="J108" s="34"/>
      <c r="K108" s="34"/>
      <c r="L108" s="34"/>
      <c r="M108" s="34"/>
      <c r="N108" s="34"/>
      <c r="O108" s="34"/>
      <c r="P108" s="34"/>
      <c r="Q108" s="34"/>
      <c r="S108" s="141"/>
      <c r="T108" s="80"/>
      <c r="U108" s="43">
        <v>39</v>
      </c>
      <c r="V108" s="186"/>
      <c r="W108" s="187"/>
      <c r="Y108" s="195">
        <f t="shared" si="1"/>
        <v>0</v>
      </c>
      <c r="Z108" s="34"/>
      <c r="AA108" s="34"/>
      <c r="AB108" s="34"/>
      <c r="AC108" s="34"/>
      <c r="AD108" s="34"/>
      <c r="AE108" s="34"/>
      <c r="AF108" s="34"/>
      <c r="AG108" s="34"/>
      <c r="AH108" s="34"/>
      <c r="AI108" s="184"/>
      <c r="AJ108" s="184"/>
      <c r="AK108" s="184"/>
      <c r="AL108" s="141"/>
    </row>
    <row r="109" spans="1:38" ht="12.75" customHeight="1">
      <c r="A109" s="80"/>
      <c r="B109" s="43">
        <v>40</v>
      </c>
      <c r="C109" s="191"/>
      <c r="D109" s="192"/>
      <c r="F109" s="193">
        <f t="shared" si="0"/>
        <v>0</v>
      </c>
      <c r="G109" s="34"/>
      <c r="H109" s="34"/>
      <c r="I109" s="34"/>
      <c r="J109" s="34"/>
      <c r="K109" s="34"/>
      <c r="L109" s="34"/>
      <c r="M109" s="34"/>
      <c r="N109" s="34"/>
      <c r="O109" s="34"/>
      <c r="P109" s="34"/>
      <c r="Q109" s="34"/>
      <c r="S109" s="141"/>
      <c r="T109" s="80"/>
      <c r="U109" s="43">
        <v>40</v>
      </c>
      <c r="V109" s="186"/>
      <c r="W109" s="187"/>
      <c r="Y109" s="195">
        <f t="shared" si="1"/>
        <v>0</v>
      </c>
      <c r="Z109" s="34"/>
      <c r="AA109" s="34"/>
      <c r="AB109" s="34"/>
      <c r="AC109" s="34"/>
      <c r="AD109" s="34"/>
      <c r="AE109" s="34"/>
      <c r="AF109" s="34"/>
      <c r="AG109" s="34"/>
      <c r="AH109" s="34"/>
      <c r="AI109" s="184"/>
      <c r="AJ109" s="184"/>
      <c r="AK109" s="184"/>
      <c r="AL109" s="141"/>
    </row>
    <row r="110" spans="1:38" ht="12.75" customHeight="1">
      <c r="A110" s="80"/>
      <c r="B110" s="43">
        <v>41</v>
      </c>
      <c r="C110" s="191"/>
      <c r="D110" s="192"/>
      <c r="F110" s="193">
        <f t="shared" si="0"/>
        <v>0</v>
      </c>
      <c r="G110" s="34"/>
      <c r="H110" s="34"/>
      <c r="I110" s="34"/>
      <c r="J110" s="34"/>
      <c r="K110" s="34"/>
      <c r="L110" s="34"/>
      <c r="M110" s="34"/>
      <c r="N110" s="34"/>
      <c r="O110" s="34"/>
      <c r="P110" s="34"/>
      <c r="Q110" s="34"/>
      <c r="S110" s="141"/>
      <c r="T110" s="80"/>
      <c r="U110" s="43">
        <v>41</v>
      </c>
      <c r="V110" s="186"/>
      <c r="W110" s="187"/>
      <c r="Y110" s="195">
        <f t="shared" si="1"/>
        <v>0</v>
      </c>
      <c r="Z110" s="34"/>
      <c r="AA110" s="34"/>
      <c r="AB110" s="34"/>
      <c r="AC110" s="34"/>
      <c r="AD110" s="34"/>
      <c r="AE110" s="34"/>
      <c r="AF110" s="34"/>
      <c r="AG110" s="34"/>
      <c r="AH110" s="34"/>
      <c r="AI110" s="184"/>
      <c r="AJ110" s="184"/>
      <c r="AK110" s="184"/>
      <c r="AL110" s="141"/>
    </row>
    <row r="111" spans="1:38" ht="12.75" customHeight="1">
      <c r="A111" s="80"/>
      <c r="B111" s="43">
        <v>42</v>
      </c>
      <c r="C111" s="191"/>
      <c r="D111" s="192"/>
      <c r="F111" s="193">
        <f t="shared" si="0"/>
        <v>0</v>
      </c>
      <c r="G111" s="34"/>
      <c r="H111" s="34"/>
      <c r="I111" s="34"/>
      <c r="J111" s="34"/>
      <c r="K111" s="34"/>
      <c r="L111" s="34"/>
      <c r="M111" s="34"/>
      <c r="N111" s="34"/>
      <c r="O111" s="34"/>
      <c r="P111" s="34"/>
      <c r="Q111" s="34"/>
      <c r="S111" s="141"/>
      <c r="T111" s="80"/>
      <c r="U111" s="43">
        <v>42</v>
      </c>
      <c r="V111" s="186"/>
      <c r="W111" s="187"/>
      <c r="Y111" s="195">
        <f t="shared" si="1"/>
        <v>0</v>
      </c>
      <c r="Z111" s="34"/>
      <c r="AA111" s="34"/>
      <c r="AB111" s="34"/>
      <c r="AC111" s="34"/>
      <c r="AD111" s="34"/>
      <c r="AE111" s="34"/>
      <c r="AF111" s="34"/>
      <c r="AG111" s="34"/>
      <c r="AH111" s="34"/>
      <c r="AI111" s="184"/>
      <c r="AJ111" s="184"/>
      <c r="AK111" s="184"/>
      <c r="AL111" s="141"/>
    </row>
    <row r="112" spans="1:38" ht="12.75" customHeight="1">
      <c r="A112" s="80"/>
      <c r="B112" s="43">
        <v>43</v>
      </c>
      <c r="C112" s="191"/>
      <c r="D112" s="192"/>
      <c r="F112" s="193">
        <f t="shared" si="0"/>
        <v>0</v>
      </c>
      <c r="G112" s="34"/>
      <c r="H112" s="34"/>
      <c r="I112" s="34"/>
      <c r="J112" s="34"/>
      <c r="K112" s="34"/>
      <c r="L112" s="34"/>
      <c r="M112" s="34"/>
      <c r="N112" s="34"/>
      <c r="O112" s="34"/>
      <c r="P112" s="34"/>
      <c r="Q112" s="34"/>
      <c r="S112" s="141"/>
      <c r="T112" s="80"/>
      <c r="U112" s="43">
        <v>43</v>
      </c>
      <c r="V112" s="186"/>
      <c r="W112" s="187"/>
      <c r="Y112" s="195">
        <f t="shared" si="1"/>
        <v>0</v>
      </c>
      <c r="Z112" s="34"/>
      <c r="AA112" s="34"/>
      <c r="AB112" s="34"/>
      <c r="AC112" s="34"/>
      <c r="AD112" s="34"/>
      <c r="AE112" s="34"/>
      <c r="AF112" s="34"/>
      <c r="AG112" s="34"/>
      <c r="AH112" s="34"/>
      <c r="AI112" s="184"/>
      <c r="AJ112" s="184"/>
      <c r="AK112" s="184"/>
      <c r="AL112" s="141"/>
    </row>
    <row r="113" spans="1:38" ht="12.75" customHeight="1">
      <c r="A113" s="80"/>
      <c r="B113" s="43">
        <v>44</v>
      </c>
      <c r="C113" s="191"/>
      <c r="D113" s="192"/>
      <c r="F113" s="193">
        <f t="shared" si="0"/>
        <v>0</v>
      </c>
      <c r="G113" s="34"/>
      <c r="H113" s="34"/>
      <c r="I113" s="34"/>
      <c r="J113" s="34"/>
      <c r="K113" s="34"/>
      <c r="L113" s="34"/>
      <c r="M113" s="34"/>
      <c r="N113" s="34"/>
      <c r="O113" s="34"/>
      <c r="P113" s="34"/>
      <c r="Q113" s="34"/>
      <c r="S113" s="141"/>
      <c r="T113" s="80"/>
      <c r="U113" s="43">
        <v>44</v>
      </c>
      <c r="V113" s="186"/>
      <c r="W113" s="187"/>
      <c r="Y113" s="195">
        <f t="shared" si="1"/>
        <v>0</v>
      </c>
      <c r="Z113" s="34"/>
      <c r="AA113" s="34"/>
      <c r="AB113" s="34"/>
      <c r="AC113" s="34"/>
      <c r="AD113" s="34"/>
      <c r="AE113" s="34"/>
      <c r="AF113" s="34"/>
      <c r="AG113" s="34"/>
      <c r="AH113" s="34"/>
      <c r="AI113" s="184"/>
      <c r="AJ113" s="184"/>
      <c r="AK113" s="184"/>
      <c r="AL113" s="141"/>
    </row>
    <row r="114" spans="1:38" ht="12.75" customHeight="1">
      <c r="A114" s="80"/>
      <c r="B114" s="43">
        <v>45</v>
      </c>
      <c r="C114" s="191"/>
      <c r="D114" s="192"/>
      <c r="F114" s="193">
        <f t="shared" si="0"/>
        <v>0</v>
      </c>
      <c r="G114" s="34"/>
      <c r="H114" s="34"/>
      <c r="I114" s="34"/>
      <c r="J114" s="34"/>
      <c r="K114" s="34"/>
      <c r="L114" s="34"/>
      <c r="M114" s="34"/>
      <c r="N114" s="34"/>
      <c r="O114" s="34"/>
      <c r="P114" s="34"/>
      <c r="Q114" s="34"/>
      <c r="S114" s="141"/>
      <c r="T114" s="80"/>
      <c r="U114" s="43">
        <v>45</v>
      </c>
      <c r="V114" s="186"/>
      <c r="W114" s="187"/>
      <c r="Y114" s="195">
        <f t="shared" si="1"/>
        <v>0</v>
      </c>
      <c r="Z114" s="34"/>
      <c r="AA114" s="34"/>
      <c r="AB114" s="34"/>
      <c r="AC114" s="34"/>
      <c r="AD114" s="34"/>
      <c r="AE114" s="34"/>
      <c r="AF114" s="34"/>
      <c r="AG114" s="34"/>
      <c r="AH114" s="34"/>
      <c r="AI114" s="184"/>
      <c r="AJ114" s="184"/>
      <c r="AK114" s="184"/>
      <c r="AL114" s="141"/>
    </row>
    <row r="115" spans="1:38" ht="12.75" customHeight="1">
      <c r="A115" s="80"/>
      <c r="B115" s="43">
        <v>46</v>
      </c>
      <c r="C115" s="191"/>
      <c r="D115" s="192"/>
      <c r="F115" s="193">
        <f t="shared" si="0"/>
        <v>0</v>
      </c>
      <c r="G115" s="34"/>
      <c r="H115" s="34"/>
      <c r="I115" s="34"/>
      <c r="J115" s="34"/>
      <c r="K115" s="34"/>
      <c r="L115" s="34"/>
      <c r="M115" s="34"/>
      <c r="N115" s="34"/>
      <c r="O115" s="34"/>
      <c r="P115" s="34"/>
      <c r="Q115" s="34"/>
      <c r="S115" s="141"/>
      <c r="T115" s="80"/>
      <c r="U115" s="43">
        <v>46</v>
      </c>
      <c r="V115" s="186"/>
      <c r="W115" s="187"/>
      <c r="Y115" s="195">
        <f t="shared" si="1"/>
        <v>0</v>
      </c>
      <c r="Z115" s="34"/>
      <c r="AA115" s="34"/>
      <c r="AB115" s="34"/>
      <c r="AC115" s="34"/>
      <c r="AD115" s="34"/>
      <c r="AE115" s="34"/>
      <c r="AF115" s="34"/>
      <c r="AG115" s="34"/>
      <c r="AH115" s="34"/>
      <c r="AI115" s="184"/>
      <c r="AJ115" s="184"/>
      <c r="AK115" s="184"/>
      <c r="AL115" s="141"/>
    </row>
    <row r="116" spans="1:38" ht="12.75" customHeight="1">
      <c r="A116" s="80"/>
      <c r="B116" s="43">
        <v>47</v>
      </c>
      <c r="C116" s="191"/>
      <c r="D116" s="192"/>
      <c r="F116" s="193">
        <f t="shared" si="0"/>
        <v>0</v>
      </c>
      <c r="G116" s="34"/>
      <c r="H116" s="34"/>
      <c r="I116" s="34"/>
      <c r="J116" s="34"/>
      <c r="K116" s="34"/>
      <c r="L116" s="34"/>
      <c r="M116" s="34"/>
      <c r="N116" s="34"/>
      <c r="O116" s="34"/>
      <c r="P116" s="34"/>
      <c r="Q116" s="34"/>
      <c r="S116" s="141"/>
      <c r="T116" s="80"/>
      <c r="U116" s="43">
        <v>47</v>
      </c>
      <c r="V116" s="186"/>
      <c r="W116" s="187"/>
      <c r="Y116" s="195">
        <f t="shared" si="1"/>
        <v>0</v>
      </c>
      <c r="Z116" s="34"/>
      <c r="AA116" s="34"/>
      <c r="AB116" s="34"/>
      <c r="AC116" s="34"/>
      <c r="AD116" s="34"/>
      <c r="AE116" s="34"/>
      <c r="AF116" s="34"/>
      <c r="AG116" s="34"/>
      <c r="AH116" s="34"/>
      <c r="AI116" s="184"/>
      <c r="AJ116" s="184"/>
      <c r="AK116" s="184"/>
      <c r="AL116" s="141"/>
    </row>
    <row r="117" spans="1:38" ht="12.75" customHeight="1">
      <c r="A117" s="80"/>
      <c r="B117" s="43">
        <v>48</v>
      </c>
      <c r="C117" s="191"/>
      <c r="D117" s="192"/>
      <c r="F117" s="193">
        <f t="shared" si="0"/>
        <v>0</v>
      </c>
      <c r="G117" s="34"/>
      <c r="H117" s="34"/>
      <c r="I117" s="34"/>
      <c r="J117" s="34"/>
      <c r="K117" s="34"/>
      <c r="L117" s="34"/>
      <c r="M117" s="34"/>
      <c r="N117" s="34"/>
      <c r="O117" s="34"/>
      <c r="P117" s="34"/>
      <c r="Q117" s="34"/>
      <c r="S117" s="141"/>
      <c r="T117" s="80"/>
      <c r="U117" s="43">
        <v>48</v>
      </c>
      <c r="V117" s="186"/>
      <c r="W117" s="187"/>
      <c r="Y117" s="195">
        <f t="shared" si="1"/>
        <v>0</v>
      </c>
      <c r="Z117" s="34"/>
      <c r="AA117" s="34"/>
      <c r="AB117" s="34"/>
      <c r="AC117" s="34"/>
      <c r="AD117" s="34"/>
      <c r="AE117" s="34"/>
      <c r="AF117" s="34"/>
      <c r="AG117" s="34"/>
      <c r="AH117" s="34"/>
      <c r="AI117" s="184"/>
      <c r="AJ117" s="184"/>
      <c r="AK117" s="184"/>
      <c r="AL117" s="141"/>
    </row>
    <row r="118" spans="1:38" ht="12.75" customHeight="1">
      <c r="A118" s="80"/>
      <c r="B118" s="43">
        <v>49</v>
      </c>
      <c r="C118" s="191"/>
      <c r="D118" s="192"/>
      <c r="F118" s="193">
        <f t="shared" si="0"/>
        <v>0</v>
      </c>
      <c r="G118" s="34"/>
      <c r="H118" s="34"/>
      <c r="I118" s="34"/>
      <c r="J118" s="34"/>
      <c r="K118" s="34"/>
      <c r="L118" s="34"/>
      <c r="M118" s="34"/>
      <c r="N118" s="34"/>
      <c r="O118" s="34"/>
      <c r="P118" s="34"/>
      <c r="Q118" s="34"/>
      <c r="S118" s="141"/>
      <c r="T118" s="80"/>
      <c r="U118" s="43">
        <v>49</v>
      </c>
      <c r="V118" s="186"/>
      <c r="W118" s="187"/>
      <c r="Y118" s="195">
        <f t="shared" si="1"/>
        <v>0</v>
      </c>
      <c r="Z118" s="34"/>
      <c r="AA118" s="34"/>
      <c r="AB118" s="34"/>
      <c r="AC118" s="34"/>
      <c r="AD118" s="34"/>
      <c r="AE118" s="34"/>
      <c r="AF118" s="34"/>
      <c r="AG118" s="34"/>
      <c r="AH118" s="34"/>
      <c r="AI118" s="184"/>
      <c r="AJ118" s="184"/>
      <c r="AK118" s="184"/>
      <c r="AL118" s="141"/>
    </row>
    <row r="119" spans="1:38" ht="12.75" customHeight="1">
      <c r="A119" s="80"/>
      <c r="B119" s="43">
        <v>50</v>
      </c>
      <c r="C119" s="191"/>
      <c r="D119" s="192"/>
      <c r="F119" s="193">
        <f t="shared" si="0"/>
        <v>0</v>
      </c>
      <c r="G119" s="34"/>
      <c r="H119" s="34"/>
      <c r="I119" s="34"/>
      <c r="J119" s="34"/>
      <c r="K119" s="34"/>
      <c r="L119" s="34"/>
      <c r="M119" s="34"/>
      <c r="N119" s="34"/>
      <c r="O119" s="34"/>
      <c r="P119" s="34"/>
      <c r="Q119" s="34"/>
      <c r="S119" s="141"/>
      <c r="T119" s="80"/>
      <c r="U119" s="43">
        <v>50</v>
      </c>
      <c r="V119" s="186"/>
      <c r="W119" s="187"/>
      <c r="Y119" s="195">
        <f t="shared" si="1"/>
        <v>0</v>
      </c>
      <c r="Z119" s="34"/>
      <c r="AA119" s="34"/>
      <c r="AB119" s="34"/>
      <c r="AC119" s="34"/>
      <c r="AD119" s="34"/>
      <c r="AE119" s="34"/>
      <c r="AF119" s="34"/>
      <c r="AG119" s="34"/>
      <c r="AH119" s="34"/>
      <c r="AI119" s="184"/>
      <c r="AJ119" s="184"/>
      <c r="AK119" s="184"/>
      <c r="AL119" s="141"/>
    </row>
    <row r="120" spans="1:38" ht="12.75" customHeight="1">
      <c r="A120" s="80"/>
      <c r="B120" s="43">
        <v>51</v>
      </c>
      <c r="C120" s="191"/>
      <c r="D120" s="192"/>
      <c r="F120" s="193">
        <f t="shared" si="0"/>
        <v>0</v>
      </c>
      <c r="G120" s="34"/>
      <c r="H120" s="34"/>
      <c r="I120" s="34"/>
      <c r="J120" s="34"/>
      <c r="K120" s="34"/>
      <c r="L120" s="34"/>
      <c r="M120" s="34"/>
      <c r="N120" s="34"/>
      <c r="O120" s="34"/>
      <c r="P120" s="34"/>
      <c r="Q120" s="34"/>
      <c r="S120" s="141"/>
      <c r="T120" s="80"/>
      <c r="U120" s="43">
        <v>51</v>
      </c>
      <c r="V120" s="186"/>
      <c r="W120" s="187"/>
      <c r="Y120" s="195">
        <f t="shared" si="1"/>
        <v>0</v>
      </c>
      <c r="Z120" s="34"/>
      <c r="AA120" s="34"/>
      <c r="AB120" s="34"/>
      <c r="AC120" s="34"/>
      <c r="AD120" s="34"/>
      <c r="AE120" s="34"/>
      <c r="AF120" s="34"/>
      <c r="AG120" s="34"/>
      <c r="AH120" s="34"/>
      <c r="AI120" s="184"/>
      <c r="AJ120" s="184"/>
      <c r="AK120" s="184"/>
      <c r="AL120" s="141"/>
    </row>
    <row r="121" spans="1:38" ht="12.75" customHeight="1">
      <c r="A121" s="80"/>
      <c r="B121" s="43">
        <v>52</v>
      </c>
      <c r="C121" s="191"/>
      <c r="D121" s="192"/>
      <c r="F121" s="193">
        <f t="shared" si="0"/>
        <v>0</v>
      </c>
      <c r="G121" s="34"/>
      <c r="H121" s="34"/>
      <c r="I121" s="34"/>
      <c r="J121" s="34"/>
      <c r="K121" s="34"/>
      <c r="L121" s="34"/>
      <c r="M121" s="34"/>
      <c r="N121" s="34"/>
      <c r="O121" s="34"/>
      <c r="P121" s="34"/>
      <c r="Q121" s="34"/>
      <c r="S121" s="141"/>
      <c r="T121" s="80"/>
      <c r="U121" s="43">
        <v>52</v>
      </c>
      <c r="V121" s="186"/>
      <c r="W121" s="187"/>
      <c r="Y121" s="195">
        <f t="shared" si="1"/>
        <v>0</v>
      </c>
      <c r="Z121" s="34"/>
      <c r="AA121" s="34"/>
      <c r="AB121" s="34"/>
      <c r="AC121" s="34"/>
      <c r="AD121" s="34"/>
      <c r="AE121" s="34"/>
      <c r="AF121" s="34"/>
      <c r="AG121" s="34"/>
      <c r="AH121" s="34"/>
      <c r="AI121" s="184"/>
      <c r="AJ121" s="184"/>
      <c r="AK121" s="184"/>
      <c r="AL121" s="141"/>
    </row>
    <row r="122" spans="1:38" ht="12.75" customHeight="1">
      <c r="A122" s="80"/>
      <c r="B122" s="43">
        <v>53</v>
      </c>
      <c r="C122" s="191"/>
      <c r="D122" s="192"/>
      <c r="F122" s="193">
        <f t="shared" si="0"/>
        <v>0</v>
      </c>
      <c r="G122" s="34"/>
      <c r="H122" s="34"/>
      <c r="I122" s="34"/>
      <c r="J122" s="34"/>
      <c r="K122" s="34"/>
      <c r="L122" s="34"/>
      <c r="M122" s="34"/>
      <c r="N122" s="34"/>
      <c r="O122" s="34"/>
      <c r="P122" s="34"/>
      <c r="Q122" s="34"/>
      <c r="S122" s="141"/>
      <c r="T122" s="80"/>
      <c r="U122" s="43">
        <v>53</v>
      </c>
      <c r="V122" s="186"/>
      <c r="W122" s="187"/>
      <c r="Y122" s="195">
        <f t="shared" si="1"/>
        <v>0</v>
      </c>
      <c r="Z122" s="34"/>
      <c r="AA122" s="34"/>
      <c r="AB122" s="34"/>
      <c r="AC122" s="34"/>
      <c r="AD122" s="34"/>
      <c r="AE122" s="34"/>
      <c r="AF122" s="34"/>
      <c r="AG122" s="34"/>
      <c r="AH122" s="34"/>
      <c r="AI122" s="184"/>
      <c r="AJ122" s="184"/>
      <c r="AK122" s="184"/>
      <c r="AL122" s="141"/>
    </row>
    <row r="123" spans="1:38" ht="12.75" customHeight="1">
      <c r="A123" s="80"/>
      <c r="B123" s="43">
        <v>54</v>
      </c>
      <c r="C123" s="191"/>
      <c r="D123" s="192"/>
      <c r="F123" s="193">
        <f t="shared" si="0"/>
        <v>0</v>
      </c>
      <c r="G123" s="34"/>
      <c r="H123" s="34"/>
      <c r="I123" s="34"/>
      <c r="J123" s="34"/>
      <c r="K123" s="34"/>
      <c r="L123" s="34"/>
      <c r="M123" s="34"/>
      <c r="N123" s="34"/>
      <c r="O123" s="34"/>
      <c r="P123" s="34"/>
      <c r="Q123" s="34"/>
      <c r="S123" s="141"/>
      <c r="T123" s="80"/>
      <c r="U123" s="43">
        <v>54</v>
      </c>
      <c r="V123" s="186"/>
      <c r="W123" s="187"/>
      <c r="Y123" s="195">
        <f t="shared" si="1"/>
        <v>0</v>
      </c>
      <c r="Z123" s="34"/>
      <c r="AA123" s="34"/>
      <c r="AB123" s="34"/>
      <c r="AC123" s="34"/>
      <c r="AD123" s="34"/>
      <c r="AE123" s="34"/>
      <c r="AF123" s="34"/>
      <c r="AG123" s="34"/>
      <c r="AH123" s="34"/>
      <c r="AI123" s="184"/>
      <c r="AJ123" s="184"/>
      <c r="AK123" s="184"/>
      <c r="AL123" s="141"/>
    </row>
    <row r="124" spans="1:38" ht="12.75" customHeight="1">
      <c r="A124" s="80"/>
      <c r="B124" s="43">
        <v>55</v>
      </c>
      <c r="C124" s="191"/>
      <c r="D124" s="192"/>
      <c r="F124" s="193">
        <f t="shared" si="0"/>
        <v>0</v>
      </c>
      <c r="G124" s="34"/>
      <c r="H124" s="34"/>
      <c r="I124" s="34"/>
      <c r="J124" s="34"/>
      <c r="K124" s="34"/>
      <c r="L124" s="34"/>
      <c r="M124" s="34"/>
      <c r="N124" s="34"/>
      <c r="O124" s="34"/>
      <c r="P124" s="34"/>
      <c r="Q124" s="34"/>
      <c r="S124" s="141"/>
      <c r="T124" s="80"/>
      <c r="U124" s="43">
        <v>55</v>
      </c>
      <c r="V124" s="186"/>
      <c r="W124" s="187"/>
      <c r="Y124" s="195">
        <f t="shared" si="1"/>
        <v>0</v>
      </c>
      <c r="Z124" s="34"/>
      <c r="AA124" s="34"/>
      <c r="AB124" s="34"/>
      <c r="AC124" s="34"/>
      <c r="AD124" s="34"/>
      <c r="AE124" s="34"/>
      <c r="AF124" s="34"/>
      <c r="AG124" s="34"/>
      <c r="AH124" s="34"/>
      <c r="AI124" s="184"/>
      <c r="AJ124" s="184"/>
      <c r="AK124" s="184"/>
      <c r="AL124" s="141"/>
    </row>
    <row r="125" spans="1:38" ht="12.75" customHeight="1">
      <c r="A125" s="80"/>
      <c r="B125" s="43">
        <v>56</v>
      </c>
      <c r="C125" s="191"/>
      <c r="D125" s="192"/>
      <c r="F125" s="193">
        <f t="shared" si="0"/>
        <v>0</v>
      </c>
      <c r="G125" s="34"/>
      <c r="H125" s="34"/>
      <c r="I125" s="34"/>
      <c r="J125" s="34"/>
      <c r="K125" s="34"/>
      <c r="L125" s="34"/>
      <c r="M125" s="34"/>
      <c r="N125" s="34"/>
      <c r="O125" s="34"/>
      <c r="P125" s="34"/>
      <c r="Q125" s="34"/>
      <c r="S125" s="141"/>
      <c r="T125" s="80"/>
      <c r="U125" s="43">
        <v>56</v>
      </c>
      <c r="V125" s="186"/>
      <c r="W125" s="187"/>
      <c r="Y125" s="195">
        <f t="shared" si="1"/>
        <v>0</v>
      </c>
      <c r="Z125" s="34"/>
      <c r="AA125" s="34"/>
      <c r="AB125" s="34"/>
      <c r="AC125" s="34"/>
      <c r="AD125" s="34"/>
      <c r="AE125" s="34"/>
      <c r="AF125" s="34"/>
      <c r="AG125" s="34"/>
      <c r="AH125" s="34"/>
      <c r="AI125" s="184"/>
      <c r="AJ125" s="184"/>
      <c r="AK125" s="184"/>
      <c r="AL125" s="141"/>
    </row>
    <row r="126" spans="1:38" ht="12.75" customHeight="1">
      <c r="A126" s="80"/>
      <c r="B126" s="43">
        <v>57</v>
      </c>
      <c r="C126" s="191"/>
      <c r="D126" s="192"/>
      <c r="F126" s="193">
        <f t="shared" si="0"/>
        <v>0</v>
      </c>
      <c r="G126" s="34"/>
      <c r="H126" s="34"/>
      <c r="I126" s="34"/>
      <c r="J126" s="34"/>
      <c r="K126" s="34"/>
      <c r="L126" s="34"/>
      <c r="M126" s="34"/>
      <c r="N126" s="34"/>
      <c r="O126" s="34"/>
      <c r="P126" s="34"/>
      <c r="Q126" s="34"/>
      <c r="S126" s="141"/>
      <c r="T126" s="80"/>
      <c r="U126" s="43">
        <v>57</v>
      </c>
      <c r="V126" s="186"/>
      <c r="W126" s="187"/>
      <c r="Y126" s="195">
        <f t="shared" si="1"/>
        <v>0</v>
      </c>
      <c r="Z126" s="34"/>
      <c r="AA126" s="34"/>
      <c r="AB126" s="34"/>
      <c r="AC126" s="34"/>
      <c r="AD126" s="34"/>
      <c r="AE126" s="34"/>
      <c r="AF126" s="34"/>
      <c r="AG126" s="34"/>
      <c r="AH126" s="34"/>
      <c r="AI126" s="184"/>
      <c r="AJ126" s="184"/>
      <c r="AK126" s="184"/>
      <c r="AL126" s="141"/>
    </row>
    <row r="127" spans="1:38" ht="12.75" customHeight="1">
      <c r="A127" s="80"/>
      <c r="B127" s="43">
        <v>58</v>
      </c>
      <c r="C127" s="191"/>
      <c r="D127" s="192"/>
      <c r="F127" s="193">
        <f t="shared" si="0"/>
        <v>0</v>
      </c>
      <c r="G127" s="34"/>
      <c r="H127" s="34"/>
      <c r="I127" s="34"/>
      <c r="J127" s="34"/>
      <c r="K127" s="34"/>
      <c r="L127" s="34"/>
      <c r="M127" s="34"/>
      <c r="N127" s="34"/>
      <c r="O127" s="34"/>
      <c r="P127" s="34"/>
      <c r="Q127" s="34"/>
      <c r="S127" s="141"/>
      <c r="T127" s="80"/>
      <c r="U127" s="43">
        <v>58</v>
      </c>
      <c r="V127" s="186"/>
      <c r="W127" s="187"/>
      <c r="Y127" s="195">
        <f t="shared" si="1"/>
        <v>0</v>
      </c>
      <c r="Z127" s="34"/>
      <c r="AA127" s="34"/>
      <c r="AB127" s="34"/>
      <c r="AC127" s="34"/>
      <c r="AD127" s="34"/>
      <c r="AE127" s="34"/>
      <c r="AF127" s="34"/>
      <c r="AG127" s="34"/>
      <c r="AH127" s="34"/>
      <c r="AI127" s="184"/>
      <c r="AJ127" s="184"/>
      <c r="AK127" s="184"/>
      <c r="AL127" s="141"/>
    </row>
    <row r="128" spans="1:38" ht="12.75" customHeight="1">
      <c r="A128" s="80"/>
      <c r="B128" s="43">
        <v>59</v>
      </c>
      <c r="C128" s="191"/>
      <c r="D128" s="192"/>
      <c r="F128" s="193">
        <f t="shared" si="0"/>
        <v>0</v>
      </c>
      <c r="G128" s="34"/>
      <c r="H128" s="34"/>
      <c r="I128" s="34"/>
      <c r="J128" s="34"/>
      <c r="K128" s="34"/>
      <c r="L128" s="34"/>
      <c r="M128" s="34"/>
      <c r="N128" s="34"/>
      <c r="O128" s="34"/>
      <c r="P128" s="34"/>
      <c r="Q128" s="34"/>
      <c r="S128" s="141"/>
      <c r="T128" s="80"/>
      <c r="U128" s="43">
        <v>59</v>
      </c>
      <c r="V128" s="186"/>
      <c r="W128" s="187"/>
      <c r="Y128" s="195">
        <f t="shared" si="1"/>
        <v>0</v>
      </c>
      <c r="Z128" s="34"/>
      <c r="AA128" s="34"/>
      <c r="AB128" s="34"/>
      <c r="AC128" s="34"/>
      <c r="AD128" s="34"/>
      <c r="AE128" s="34"/>
      <c r="AF128" s="34"/>
      <c r="AG128" s="34"/>
      <c r="AH128" s="34"/>
      <c r="AI128" s="184"/>
      <c r="AJ128" s="184"/>
      <c r="AK128" s="184"/>
      <c r="AL128" s="141"/>
    </row>
    <row r="129" spans="1:38" ht="12.75" customHeight="1">
      <c r="A129" s="80"/>
      <c r="B129" s="43">
        <v>60</v>
      </c>
      <c r="C129" s="191"/>
      <c r="D129" s="192"/>
      <c r="F129" s="193">
        <f t="shared" si="0"/>
        <v>0</v>
      </c>
      <c r="G129" s="34"/>
      <c r="H129" s="34"/>
      <c r="I129" s="34"/>
      <c r="J129" s="34"/>
      <c r="K129" s="34"/>
      <c r="L129" s="34"/>
      <c r="M129" s="34"/>
      <c r="N129" s="34"/>
      <c r="O129" s="34"/>
      <c r="P129" s="34"/>
      <c r="Q129" s="34"/>
      <c r="S129" s="141"/>
      <c r="T129" s="80"/>
      <c r="U129" s="43">
        <v>60</v>
      </c>
      <c r="V129" s="186"/>
      <c r="W129" s="187"/>
      <c r="Y129" s="195">
        <f t="shared" si="1"/>
        <v>0</v>
      </c>
      <c r="Z129" s="34"/>
      <c r="AA129" s="34"/>
      <c r="AB129" s="34"/>
      <c r="AC129" s="34"/>
      <c r="AD129" s="34"/>
      <c r="AE129" s="34"/>
      <c r="AF129" s="34"/>
      <c r="AG129" s="34"/>
      <c r="AH129" s="34"/>
      <c r="AI129" s="184"/>
      <c r="AJ129" s="184"/>
      <c r="AK129" s="184"/>
      <c r="AL129" s="141"/>
    </row>
    <row r="130" spans="1:38" ht="12.75" customHeight="1">
      <c r="A130" s="80"/>
      <c r="B130" s="43">
        <v>61</v>
      </c>
      <c r="C130" s="191"/>
      <c r="D130" s="192"/>
      <c r="F130" s="193">
        <f t="shared" si="0"/>
        <v>0</v>
      </c>
      <c r="G130" s="34"/>
      <c r="H130" s="34"/>
      <c r="I130" s="34"/>
      <c r="J130" s="34"/>
      <c r="K130" s="34"/>
      <c r="L130" s="34"/>
      <c r="M130" s="34"/>
      <c r="N130" s="34"/>
      <c r="O130" s="34"/>
      <c r="P130" s="34"/>
      <c r="Q130" s="34"/>
      <c r="S130" s="141"/>
      <c r="T130" s="80"/>
      <c r="U130" s="43">
        <v>61</v>
      </c>
      <c r="V130" s="186"/>
      <c r="W130" s="187"/>
      <c r="Y130" s="195">
        <f t="shared" si="1"/>
        <v>0</v>
      </c>
      <c r="Z130" s="34"/>
      <c r="AA130" s="34"/>
      <c r="AB130" s="34"/>
      <c r="AC130" s="34"/>
      <c r="AD130" s="34"/>
      <c r="AE130" s="34"/>
      <c r="AF130" s="34"/>
      <c r="AG130" s="34"/>
      <c r="AH130" s="34"/>
      <c r="AI130" s="184"/>
      <c r="AJ130" s="184"/>
      <c r="AK130" s="184"/>
      <c r="AL130" s="141"/>
    </row>
    <row r="131" spans="1:38" ht="12.75" customHeight="1">
      <c r="A131" s="80"/>
      <c r="B131" s="43">
        <v>62</v>
      </c>
      <c r="C131" s="191"/>
      <c r="D131" s="192"/>
      <c r="F131" s="193">
        <f t="shared" si="0"/>
        <v>0</v>
      </c>
      <c r="G131" s="34"/>
      <c r="H131" s="34"/>
      <c r="I131" s="34"/>
      <c r="J131" s="34"/>
      <c r="K131" s="34"/>
      <c r="L131" s="34"/>
      <c r="M131" s="34"/>
      <c r="N131" s="34"/>
      <c r="O131" s="34"/>
      <c r="P131" s="34"/>
      <c r="Q131" s="34"/>
      <c r="S131" s="141"/>
      <c r="T131" s="80"/>
      <c r="U131" s="43">
        <v>62</v>
      </c>
      <c r="V131" s="186"/>
      <c r="W131" s="187"/>
      <c r="Y131" s="195">
        <f t="shared" si="1"/>
        <v>0</v>
      </c>
      <c r="Z131" s="34"/>
      <c r="AA131" s="34"/>
      <c r="AB131" s="34"/>
      <c r="AC131" s="34"/>
      <c r="AD131" s="34"/>
      <c r="AE131" s="34"/>
      <c r="AF131" s="34"/>
      <c r="AG131" s="34"/>
      <c r="AH131" s="34"/>
      <c r="AI131" s="184"/>
      <c r="AJ131" s="184"/>
      <c r="AK131" s="184"/>
      <c r="AL131" s="141"/>
    </row>
    <row r="132" spans="1:38" ht="12.75" customHeight="1">
      <c r="A132" s="80"/>
      <c r="B132" s="43">
        <v>63</v>
      </c>
      <c r="C132" s="191"/>
      <c r="D132" s="192"/>
      <c r="F132" s="193">
        <f t="shared" si="0"/>
        <v>0</v>
      </c>
      <c r="G132" s="34"/>
      <c r="H132" s="34"/>
      <c r="I132" s="34"/>
      <c r="J132" s="34"/>
      <c r="K132" s="34"/>
      <c r="L132" s="34"/>
      <c r="M132" s="34"/>
      <c r="N132" s="34"/>
      <c r="O132" s="34"/>
      <c r="P132" s="34"/>
      <c r="Q132" s="34"/>
      <c r="S132" s="141"/>
      <c r="T132" s="80"/>
      <c r="U132" s="43">
        <v>63</v>
      </c>
      <c r="V132" s="186"/>
      <c r="W132" s="187"/>
      <c r="Y132" s="195">
        <f t="shared" si="1"/>
        <v>0</v>
      </c>
      <c r="Z132" s="34"/>
      <c r="AA132" s="34"/>
      <c r="AB132" s="34"/>
      <c r="AC132" s="34"/>
      <c r="AD132" s="34"/>
      <c r="AE132" s="34"/>
      <c r="AF132" s="34"/>
      <c r="AG132" s="34"/>
      <c r="AH132" s="34"/>
      <c r="AI132" s="184"/>
      <c r="AJ132" s="184"/>
      <c r="AK132" s="184"/>
      <c r="AL132" s="141"/>
    </row>
    <row r="133" spans="1:38" ht="12.75" customHeight="1">
      <c r="A133" s="80"/>
      <c r="B133" s="43">
        <v>64</v>
      </c>
      <c r="C133" s="191"/>
      <c r="D133" s="192"/>
      <c r="F133" s="193">
        <f t="shared" si="0"/>
        <v>0</v>
      </c>
      <c r="G133" s="34"/>
      <c r="H133" s="34"/>
      <c r="I133" s="34"/>
      <c r="J133" s="34"/>
      <c r="K133" s="34"/>
      <c r="L133" s="34"/>
      <c r="M133" s="34"/>
      <c r="N133" s="34"/>
      <c r="O133" s="34"/>
      <c r="P133" s="34"/>
      <c r="Q133" s="34"/>
      <c r="S133" s="141"/>
      <c r="T133" s="80"/>
      <c r="U133" s="43">
        <v>64</v>
      </c>
      <c r="V133" s="186"/>
      <c r="W133" s="187"/>
      <c r="Y133" s="195">
        <f t="shared" si="1"/>
        <v>0</v>
      </c>
      <c r="Z133" s="34"/>
      <c r="AA133" s="34"/>
      <c r="AB133" s="34"/>
      <c r="AC133" s="34"/>
      <c r="AD133" s="34"/>
      <c r="AE133" s="34"/>
      <c r="AF133" s="34"/>
      <c r="AG133" s="34"/>
      <c r="AH133" s="34"/>
      <c r="AI133" s="184"/>
      <c r="AJ133" s="184"/>
      <c r="AK133" s="184"/>
      <c r="AL133" s="141"/>
    </row>
    <row r="134" spans="1:38" ht="12.75" customHeight="1">
      <c r="A134" s="80"/>
      <c r="B134" s="43">
        <v>65</v>
      </c>
      <c r="C134" s="191"/>
      <c r="D134" s="192"/>
      <c r="F134" s="193">
        <f t="shared" si="0"/>
        <v>0</v>
      </c>
      <c r="G134" s="34"/>
      <c r="H134" s="34"/>
      <c r="I134" s="34"/>
      <c r="J134" s="34"/>
      <c r="K134" s="34"/>
      <c r="L134" s="34"/>
      <c r="M134" s="34"/>
      <c r="N134" s="34"/>
      <c r="O134" s="34"/>
      <c r="P134" s="34"/>
      <c r="Q134" s="34"/>
      <c r="S134" s="141"/>
      <c r="T134" s="80"/>
      <c r="U134" s="43">
        <v>65</v>
      </c>
      <c r="V134" s="186"/>
      <c r="W134" s="187"/>
      <c r="Y134" s="195">
        <f t="shared" si="1"/>
        <v>0</v>
      </c>
      <c r="Z134" s="34"/>
      <c r="AA134" s="34"/>
      <c r="AB134" s="34"/>
      <c r="AC134" s="34"/>
      <c r="AD134" s="34"/>
      <c r="AE134" s="34"/>
      <c r="AF134" s="34"/>
      <c r="AG134" s="34"/>
      <c r="AH134" s="34"/>
      <c r="AI134" s="184"/>
      <c r="AJ134" s="184"/>
      <c r="AK134" s="184"/>
      <c r="AL134" s="141"/>
    </row>
    <row r="135" spans="1:38" ht="12.75" customHeight="1">
      <c r="A135" s="80"/>
      <c r="B135" s="43">
        <v>66</v>
      </c>
      <c r="C135" s="191"/>
      <c r="D135" s="192"/>
      <c r="F135" s="193">
        <f t="shared" si="0"/>
        <v>0</v>
      </c>
      <c r="G135" s="34"/>
      <c r="H135" s="34"/>
      <c r="I135" s="34"/>
      <c r="J135" s="34"/>
      <c r="K135" s="34"/>
      <c r="L135" s="34"/>
      <c r="M135" s="34"/>
      <c r="N135" s="34"/>
      <c r="O135" s="34"/>
      <c r="P135" s="34"/>
      <c r="Q135" s="34"/>
      <c r="S135" s="141"/>
      <c r="T135" s="80"/>
      <c r="U135" s="43">
        <v>66</v>
      </c>
      <c r="V135" s="186"/>
      <c r="W135" s="187"/>
      <c r="Y135" s="195">
        <f t="shared" si="1"/>
        <v>0</v>
      </c>
      <c r="Z135" s="34"/>
      <c r="AA135" s="34"/>
      <c r="AB135" s="34"/>
      <c r="AC135" s="34"/>
      <c r="AD135" s="34"/>
      <c r="AE135" s="34"/>
      <c r="AF135" s="34"/>
      <c r="AG135" s="34"/>
      <c r="AH135" s="34"/>
      <c r="AI135" s="184"/>
      <c r="AJ135" s="184"/>
      <c r="AK135" s="184"/>
      <c r="AL135" s="141"/>
    </row>
    <row r="136" spans="1:38" ht="12.75" customHeight="1">
      <c r="A136" s="80"/>
      <c r="B136" s="43">
        <v>67</v>
      </c>
      <c r="C136" s="191"/>
      <c r="D136" s="192"/>
      <c r="F136" s="193">
        <f t="shared" si="0"/>
        <v>0</v>
      </c>
      <c r="G136" s="34"/>
      <c r="H136" s="34"/>
      <c r="I136" s="34"/>
      <c r="J136" s="34"/>
      <c r="K136" s="34"/>
      <c r="L136" s="34"/>
      <c r="M136" s="34"/>
      <c r="N136" s="34"/>
      <c r="O136" s="34"/>
      <c r="P136" s="34"/>
      <c r="Q136" s="34"/>
      <c r="S136" s="141"/>
      <c r="T136" s="80"/>
      <c r="U136" s="43">
        <v>67</v>
      </c>
      <c r="V136" s="186"/>
      <c r="W136" s="187"/>
      <c r="Y136" s="195">
        <f t="shared" si="1"/>
        <v>0</v>
      </c>
      <c r="Z136" s="34"/>
      <c r="AA136" s="34"/>
      <c r="AB136" s="34"/>
      <c r="AC136" s="34"/>
      <c r="AD136" s="34"/>
      <c r="AE136" s="34"/>
      <c r="AF136" s="34"/>
      <c r="AG136" s="34"/>
      <c r="AH136" s="34"/>
      <c r="AI136" s="184"/>
      <c r="AJ136" s="184"/>
      <c r="AK136" s="184"/>
      <c r="AL136" s="141"/>
    </row>
    <row r="137" spans="1:38" ht="12.75" customHeight="1">
      <c r="A137" s="80"/>
      <c r="B137" s="43">
        <v>68</v>
      </c>
      <c r="C137" s="191"/>
      <c r="D137" s="192"/>
      <c r="F137" s="193">
        <f t="shared" si="0"/>
        <v>0</v>
      </c>
      <c r="G137" s="34"/>
      <c r="H137" s="34"/>
      <c r="I137" s="34"/>
      <c r="J137" s="34"/>
      <c r="K137" s="34"/>
      <c r="L137" s="34"/>
      <c r="M137" s="34"/>
      <c r="N137" s="34"/>
      <c r="O137" s="34"/>
      <c r="P137" s="34"/>
      <c r="Q137" s="34"/>
      <c r="S137" s="141"/>
      <c r="T137" s="80"/>
      <c r="U137" s="43">
        <v>68</v>
      </c>
      <c r="V137" s="186"/>
      <c r="W137" s="187"/>
      <c r="Y137" s="195">
        <f t="shared" si="1"/>
        <v>0</v>
      </c>
      <c r="Z137" s="34"/>
      <c r="AA137" s="34"/>
      <c r="AB137" s="34"/>
      <c r="AC137" s="34"/>
      <c r="AD137" s="34"/>
      <c r="AE137" s="34"/>
      <c r="AF137" s="34"/>
      <c r="AG137" s="34"/>
      <c r="AH137" s="34"/>
      <c r="AI137" s="184"/>
      <c r="AJ137" s="184"/>
      <c r="AK137" s="184"/>
      <c r="AL137" s="141"/>
    </row>
    <row r="138" spans="1:38" ht="12.75" customHeight="1">
      <c r="A138" s="80"/>
      <c r="B138" s="43">
        <v>69</v>
      </c>
      <c r="C138" s="191"/>
      <c r="D138" s="192"/>
      <c r="F138" s="193">
        <f t="shared" si="0"/>
        <v>0</v>
      </c>
      <c r="G138" s="34"/>
      <c r="H138" s="34"/>
      <c r="I138" s="34"/>
      <c r="J138" s="34"/>
      <c r="K138" s="34"/>
      <c r="L138" s="34"/>
      <c r="M138" s="34"/>
      <c r="N138" s="34"/>
      <c r="O138" s="34"/>
      <c r="P138" s="34"/>
      <c r="Q138" s="34"/>
      <c r="S138" s="141"/>
      <c r="T138" s="80"/>
      <c r="U138" s="43">
        <v>69</v>
      </c>
      <c r="V138" s="186"/>
      <c r="W138" s="187"/>
      <c r="Y138" s="195">
        <f t="shared" si="1"/>
        <v>0</v>
      </c>
      <c r="Z138" s="34"/>
      <c r="AA138" s="34"/>
      <c r="AB138" s="34"/>
      <c r="AC138" s="34"/>
      <c r="AD138" s="34"/>
      <c r="AE138" s="34"/>
      <c r="AF138" s="34"/>
      <c r="AG138" s="34"/>
      <c r="AH138" s="34"/>
      <c r="AI138" s="184"/>
      <c r="AJ138" s="184"/>
      <c r="AK138" s="184"/>
      <c r="AL138" s="141"/>
    </row>
    <row r="139" spans="1:38" ht="12.75" customHeight="1">
      <c r="A139" s="80"/>
      <c r="B139" s="43">
        <v>70</v>
      </c>
      <c r="C139" s="191"/>
      <c r="D139" s="192"/>
      <c r="F139" s="193">
        <f t="shared" si="0"/>
        <v>0</v>
      </c>
      <c r="G139" s="34"/>
      <c r="H139" s="34"/>
      <c r="I139" s="34"/>
      <c r="J139" s="34"/>
      <c r="K139" s="34"/>
      <c r="L139" s="34"/>
      <c r="M139" s="34"/>
      <c r="N139" s="34"/>
      <c r="O139" s="34"/>
      <c r="P139" s="34"/>
      <c r="Q139" s="34"/>
      <c r="S139" s="141"/>
      <c r="T139" s="80"/>
      <c r="U139" s="43">
        <v>70</v>
      </c>
      <c r="V139" s="186"/>
      <c r="W139" s="187"/>
      <c r="Y139" s="195">
        <f t="shared" si="1"/>
        <v>0</v>
      </c>
      <c r="Z139" s="34"/>
      <c r="AA139" s="34"/>
      <c r="AB139" s="34"/>
      <c r="AC139" s="34"/>
      <c r="AD139" s="34"/>
      <c r="AE139" s="34"/>
      <c r="AF139" s="34"/>
      <c r="AG139" s="34"/>
      <c r="AH139" s="34"/>
      <c r="AI139" s="184"/>
      <c r="AJ139" s="184"/>
      <c r="AK139" s="184"/>
      <c r="AL139" s="141"/>
    </row>
    <row r="140" spans="1:38" ht="12.75" customHeight="1">
      <c r="A140" s="80"/>
      <c r="B140" s="43">
        <v>71</v>
      </c>
      <c r="C140" s="191"/>
      <c r="D140" s="192"/>
      <c r="F140" s="193">
        <f t="shared" si="0"/>
        <v>0</v>
      </c>
      <c r="G140" s="34"/>
      <c r="H140" s="34"/>
      <c r="I140" s="34"/>
      <c r="J140" s="34"/>
      <c r="K140" s="34"/>
      <c r="L140" s="34"/>
      <c r="M140" s="34"/>
      <c r="N140" s="34"/>
      <c r="O140" s="34"/>
      <c r="P140" s="34"/>
      <c r="Q140" s="34"/>
      <c r="S140" s="141"/>
      <c r="T140" s="80"/>
      <c r="U140" s="43">
        <v>71</v>
      </c>
      <c r="V140" s="186"/>
      <c r="W140" s="187"/>
      <c r="Y140" s="195">
        <f t="shared" si="1"/>
        <v>0</v>
      </c>
      <c r="Z140" s="34"/>
      <c r="AA140" s="34"/>
      <c r="AB140" s="34"/>
      <c r="AC140" s="34"/>
      <c r="AD140" s="34"/>
      <c r="AE140" s="34"/>
      <c r="AF140" s="34"/>
      <c r="AG140" s="34"/>
      <c r="AH140" s="34"/>
      <c r="AI140" s="184"/>
      <c r="AJ140" s="184"/>
      <c r="AK140" s="184"/>
      <c r="AL140" s="141"/>
    </row>
    <row r="141" spans="1:38" ht="12.75" customHeight="1">
      <c r="A141" s="80"/>
      <c r="B141" s="43">
        <v>72</v>
      </c>
      <c r="C141" s="191"/>
      <c r="D141" s="192"/>
      <c r="F141" s="193">
        <f t="shared" si="0"/>
        <v>0</v>
      </c>
      <c r="G141" s="34"/>
      <c r="H141" s="34"/>
      <c r="I141" s="34"/>
      <c r="J141" s="34"/>
      <c r="K141" s="34"/>
      <c r="L141" s="34"/>
      <c r="M141" s="34"/>
      <c r="N141" s="34"/>
      <c r="O141" s="34"/>
      <c r="P141" s="34"/>
      <c r="Q141" s="34"/>
      <c r="S141" s="141"/>
      <c r="T141" s="80"/>
      <c r="U141" s="43">
        <v>72</v>
      </c>
      <c r="V141" s="186"/>
      <c r="W141" s="187"/>
      <c r="Y141" s="195">
        <f t="shared" si="1"/>
        <v>0</v>
      </c>
      <c r="Z141" s="34"/>
      <c r="AA141" s="34"/>
      <c r="AB141" s="34"/>
      <c r="AC141" s="34"/>
      <c r="AD141" s="34"/>
      <c r="AE141" s="34"/>
      <c r="AF141" s="34"/>
      <c r="AG141" s="34"/>
      <c r="AH141" s="34"/>
      <c r="AI141" s="184"/>
      <c r="AJ141" s="184"/>
      <c r="AK141" s="184"/>
      <c r="AL141" s="141"/>
    </row>
    <row r="142" spans="1:38" ht="12.75" customHeight="1">
      <c r="A142" s="80"/>
      <c r="B142" s="43">
        <v>73</v>
      </c>
      <c r="C142" s="191"/>
      <c r="D142" s="192"/>
      <c r="F142" s="193">
        <f t="shared" si="0"/>
        <v>0</v>
      </c>
      <c r="G142" s="34"/>
      <c r="H142" s="34"/>
      <c r="I142" s="34"/>
      <c r="J142" s="34"/>
      <c r="K142" s="34"/>
      <c r="L142" s="34"/>
      <c r="M142" s="34"/>
      <c r="N142" s="34"/>
      <c r="O142" s="34"/>
      <c r="P142" s="34"/>
      <c r="Q142" s="34"/>
      <c r="S142" s="141"/>
      <c r="T142" s="80"/>
      <c r="U142" s="43">
        <v>73</v>
      </c>
      <c r="V142" s="186"/>
      <c r="W142" s="187"/>
      <c r="Y142" s="195">
        <f t="shared" si="1"/>
        <v>0</v>
      </c>
      <c r="Z142" s="34"/>
      <c r="AA142" s="34"/>
      <c r="AB142" s="34"/>
      <c r="AC142" s="34"/>
      <c r="AD142" s="34"/>
      <c r="AE142" s="34"/>
      <c r="AF142" s="34"/>
      <c r="AG142" s="34"/>
      <c r="AH142" s="34"/>
      <c r="AI142" s="184"/>
      <c r="AJ142" s="184"/>
      <c r="AK142" s="184"/>
      <c r="AL142" s="141"/>
    </row>
    <row r="143" spans="1:38" ht="12.75" customHeight="1">
      <c r="A143" s="80"/>
      <c r="B143" s="43">
        <v>74</v>
      </c>
      <c r="C143" s="191"/>
      <c r="D143" s="192"/>
      <c r="F143" s="193">
        <f t="shared" si="0"/>
        <v>0</v>
      </c>
      <c r="G143" s="34"/>
      <c r="H143" s="34"/>
      <c r="I143" s="34"/>
      <c r="J143" s="34"/>
      <c r="K143" s="34"/>
      <c r="L143" s="34"/>
      <c r="M143" s="34"/>
      <c r="N143" s="34"/>
      <c r="O143" s="34"/>
      <c r="P143" s="34"/>
      <c r="Q143" s="34"/>
      <c r="S143" s="141"/>
      <c r="T143" s="80"/>
      <c r="U143" s="43">
        <v>74</v>
      </c>
      <c r="V143" s="186"/>
      <c r="W143" s="187"/>
      <c r="Y143" s="195">
        <f t="shared" si="1"/>
        <v>0</v>
      </c>
      <c r="Z143" s="34"/>
      <c r="AA143" s="34"/>
      <c r="AB143" s="34"/>
      <c r="AC143" s="34"/>
      <c r="AD143" s="34"/>
      <c r="AE143" s="34"/>
      <c r="AF143" s="34"/>
      <c r="AG143" s="34"/>
      <c r="AH143" s="34"/>
      <c r="AI143" s="184"/>
      <c r="AJ143" s="184"/>
      <c r="AK143" s="184"/>
      <c r="AL143" s="141"/>
    </row>
    <row r="144" spans="1:38" ht="12.75" customHeight="1">
      <c r="A144" s="80"/>
      <c r="B144" s="43">
        <v>75</v>
      </c>
      <c r="C144" s="191"/>
      <c r="D144" s="192"/>
      <c r="F144" s="193">
        <f t="shared" si="0"/>
        <v>0</v>
      </c>
      <c r="G144" s="34"/>
      <c r="H144" s="34"/>
      <c r="I144" s="34"/>
      <c r="J144" s="34"/>
      <c r="K144" s="34"/>
      <c r="L144" s="34"/>
      <c r="M144" s="34"/>
      <c r="N144" s="34"/>
      <c r="O144" s="34"/>
      <c r="P144" s="34"/>
      <c r="Q144" s="34"/>
      <c r="S144" s="141"/>
      <c r="T144" s="80"/>
      <c r="U144" s="43">
        <v>75</v>
      </c>
      <c r="V144" s="186"/>
      <c r="W144" s="187"/>
      <c r="Y144" s="195">
        <f t="shared" si="1"/>
        <v>0</v>
      </c>
      <c r="Z144" s="34"/>
      <c r="AA144" s="34"/>
      <c r="AB144" s="34"/>
      <c r="AC144" s="34"/>
      <c r="AD144" s="34"/>
      <c r="AE144" s="34"/>
      <c r="AF144" s="34"/>
      <c r="AG144" s="34"/>
      <c r="AH144" s="34"/>
      <c r="AI144" s="184"/>
      <c r="AJ144" s="184"/>
      <c r="AK144" s="184"/>
      <c r="AL144" s="141"/>
    </row>
    <row r="145" spans="1:38" ht="12.75" customHeight="1">
      <c r="A145" s="80"/>
      <c r="B145" s="43">
        <v>76</v>
      </c>
      <c r="C145" s="191"/>
      <c r="D145" s="192"/>
      <c r="F145" s="193">
        <f t="shared" si="0"/>
        <v>0</v>
      </c>
      <c r="G145" s="34"/>
      <c r="H145" s="34"/>
      <c r="I145" s="34"/>
      <c r="J145" s="34"/>
      <c r="K145" s="34"/>
      <c r="L145" s="34"/>
      <c r="M145" s="34"/>
      <c r="N145" s="34"/>
      <c r="O145" s="34"/>
      <c r="P145" s="34"/>
      <c r="Q145" s="34"/>
      <c r="S145" s="141"/>
      <c r="T145" s="80"/>
      <c r="U145" s="43">
        <v>76</v>
      </c>
      <c r="V145" s="186"/>
      <c r="W145" s="187"/>
      <c r="Y145" s="195">
        <f t="shared" si="1"/>
        <v>0</v>
      </c>
      <c r="Z145" s="34"/>
      <c r="AA145" s="34"/>
      <c r="AB145" s="34"/>
      <c r="AC145" s="34"/>
      <c r="AD145" s="34"/>
      <c r="AE145" s="34"/>
      <c r="AF145" s="34"/>
      <c r="AG145" s="34"/>
      <c r="AH145" s="34"/>
      <c r="AI145" s="184"/>
      <c r="AJ145" s="184"/>
      <c r="AK145" s="184"/>
      <c r="AL145" s="141"/>
    </row>
    <row r="146" spans="1:38" ht="12.75" customHeight="1">
      <c r="A146" s="80"/>
      <c r="B146" s="43">
        <v>77</v>
      </c>
      <c r="C146" s="191"/>
      <c r="D146" s="192"/>
      <c r="F146" s="193">
        <f t="shared" si="0"/>
        <v>0</v>
      </c>
      <c r="G146" s="34"/>
      <c r="H146" s="34"/>
      <c r="I146" s="34"/>
      <c r="J146" s="34"/>
      <c r="K146" s="34"/>
      <c r="L146" s="34"/>
      <c r="M146" s="34"/>
      <c r="N146" s="34"/>
      <c r="O146" s="34"/>
      <c r="P146" s="34"/>
      <c r="Q146" s="34"/>
      <c r="S146" s="141"/>
      <c r="T146" s="80"/>
      <c r="U146" s="43">
        <v>77</v>
      </c>
      <c r="V146" s="186"/>
      <c r="W146" s="187"/>
      <c r="Y146" s="195">
        <f t="shared" si="1"/>
        <v>0</v>
      </c>
      <c r="Z146" s="34"/>
      <c r="AA146" s="34"/>
      <c r="AB146" s="34"/>
      <c r="AC146" s="34"/>
      <c r="AD146" s="34"/>
      <c r="AE146" s="34"/>
      <c r="AF146" s="34"/>
      <c r="AG146" s="34"/>
      <c r="AH146" s="34"/>
      <c r="AI146" s="184"/>
      <c r="AJ146" s="184"/>
      <c r="AK146" s="184"/>
      <c r="AL146" s="141"/>
    </row>
    <row r="147" spans="1:38" ht="12.75" customHeight="1">
      <c r="A147" s="80"/>
      <c r="B147" s="43">
        <v>78</v>
      </c>
      <c r="C147" s="191"/>
      <c r="D147" s="192"/>
      <c r="F147" s="193">
        <f t="shared" si="0"/>
        <v>0</v>
      </c>
      <c r="G147" s="34"/>
      <c r="H147" s="34"/>
      <c r="I147" s="34"/>
      <c r="J147" s="34"/>
      <c r="K147" s="34"/>
      <c r="L147" s="34"/>
      <c r="M147" s="34"/>
      <c r="N147" s="34"/>
      <c r="O147" s="34"/>
      <c r="P147" s="34"/>
      <c r="Q147" s="34"/>
      <c r="S147" s="141"/>
      <c r="T147" s="80"/>
      <c r="U147" s="43">
        <v>78</v>
      </c>
      <c r="V147" s="186"/>
      <c r="W147" s="187"/>
      <c r="Y147" s="195">
        <f t="shared" si="1"/>
        <v>0</v>
      </c>
      <c r="Z147" s="34"/>
      <c r="AA147" s="34"/>
      <c r="AB147" s="34"/>
      <c r="AC147" s="34"/>
      <c r="AD147" s="34"/>
      <c r="AE147" s="34"/>
      <c r="AF147" s="34"/>
      <c r="AG147" s="34"/>
      <c r="AH147" s="34"/>
      <c r="AI147" s="184"/>
      <c r="AJ147" s="184"/>
      <c r="AK147" s="184"/>
      <c r="AL147" s="141"/>
    </row>
    <row r="148" spans="1:38" ht="12.75" customHeight="1">
      <c r="A148" s="80"/>
      <c r="B148" s="43">
        <v>79</v>
      </c>
      <c r="C148" s="191"/>
      <c r="D148" s="192"/>
      <c r="F148" s="193">
        <f t="shared" si="0"/>
        <v>0</v>
      </c>
      <c r="G148" s="34"/>
      <c r="H148" s="34"/>
      <c r="I148" s="34"/>
      <c r="J148" s="34"/>
      <c r="K148" s="34"/>
      <c r="L148" s="34"/>
      <c r="M148" s="34"/>
      <c r="N148" s="34"/>
      <c r="O148" s="34"/>
      <c r="P148" s="34"/>
      <c r="Q148" s="34"/>
      <c r="S148" s="141"/>
      <c r="T148" s="80"/>
      <c r="U148" s="43">
        <v>79</v>
      </c>
      <c r="V148" s="186"/>
      <c r="W148" s="187"/>
      <c r="Y148" s="195">
        <f t="shared" si="1"/>
        <v>0</v>
      </c>
      <c r="Z148" s="34"/>
      <c r="AA148" s="34"/>
      <c r="AB148" s="34"/>
      <c r="AC148" s="34"/>
      <c r="AD148" s="34"/>
      <c r="AE148" s="34"/>
      <c r="AF148" s="34"/>
      <c r="AG148" s="34"/>
      <c r="AH148" s="34"/>
      <c r="AI148" s="184"/>
      <c r="AJ148" s="184"/>
      <c r="AK148" s="184"/>
      <c r="AL148" s="141"/>
    </row>
    <row r="149" spans="1:38" ht="12.75" customHeight="1">
      <c r="A149" s="80"/>
      <c r="B149" s="43">
        <v>80</v>
      </c>
      <c r="C149" s="191"/>
      <c r="D149" s="192"/>
      <c r="F149" s="193">
        <f t="shared" si="0"/>
        <v>0</v>
      </c>
      <c r="G149" s="34"/>
      <c r="H149" s="34"/>
      <c r="I149" s="34"/>
      <c r="J149" s="34"/>
      <c r="K149" s="34"/>
      <c r="L149" s="34"/>
      <c r="M149" s="34"/>
      <c r="N149" s="34"/>
      <c r="O149" s="34"/>
      <c r="P149" s="34"/>
      <c r="Q149" s="34"/>
      <c r="S149" s="141"/>
      <c r="T149" s="80"/>
      <c r="U149" s="43">
        <v>80</v>
      </c>
      <c r="V149" s="186"/>
      <c r="W149" s="187"/>
      <c r="Y149" s="195">
        <f t="shared" si="1"/>
        <v>0</v>
      </c>
      <c r="Z149" s="34"/>
      <c r="AA149" s="34"/>
      <c r="AB149" s="34"/>
      <c r="AC149" s="34"/>
      <c r="AD149" s="34"/>
      <c r="AE149" s="34"/>
      <c r="AF149" s="34"/>
      <c r="AG149" s="34"/>
      <c r="AH149" s="34"/>
      <c r="AI149" s="184"/>
      <c r="AJ149" s="184"/>
      <c r="AK149" s="184"/>
      <c r="AL149" s="141"/>
    </row>
    <row r="150" spans="1:38" ht="12.75" customHeight="1">
      <c r="A150" s="80"/>
      <c r="B150" s="43">
        <v>81</v>
      </c>
      <c r="C150" s="191"/>
      <c r="D150" s="192"/>
      <c r="F150" s="193">
        <f t="shared" si="0"/>
        <v>0</v>
      </c>
      <c r="G150" s="34"/>
      <c r="H150" s="34"/>
      <c r="I150" s="34"/>
      <c r="J150" s="34"/>
      <c r="K150" s="34"/>
      <c r="L150" s="34"/>
      <c r="M150" s="34"/>
      <c r="N150" s="34"/>
      <c r="O150" s="34"/>
      <c r="P150" s="34"/>
      <c r="Q150" s="34"/>
      <c r="S150" s="141"/>
      <c r="T150" s="80"/>
      <c r="U150" s="43">
        <v>81</v>
      </c>
      <c r="V150" s="186"/>
      <c r="W150" s="187"/>
      <c r="Y150" s="195">
        <f t="shared" si="1"/>
        <v>0</v>
      </c>
      <c r="Z150" s="34"/>
      <c r="AA150" s="34"/>
      <c r="AB150" s="34"/>
      <c r="AC150" s="34"/>
      <c r="AD150" s="34"/>
      <c r="AE150" s="34"/>
      <c r="AF150" s="34"/>
      <c r="AG150" s="34"/>
      <c r="AH150" s="34"/>
      <c r="AI150" s="184"/>
      <c r="AJ150" s="184"/>
      <c r="AK150" s="184"/>
      <c r="AL150" s="141"/>
    </row>
    <row r="151" spans="1:38" ht="12.75" customHeight="1">
      <c r="A151" s="80"/>
      <c r="B151" s="43">
        <v>82</v>
      </c>
      <c r="C151" s="191"/>
      <c r="D151" s="192"/>
      <c r="F151" s="193">
        <f t="shared" si="0"/>
        <v>0</v>
      </c>
      <c r="G151" s="34"/>
      <c r="H151" s="34"/>
      <c r="I151" s="34"/>
      <c r="J151" s="34"/>
      <c r="K151" s="34"/>
      <c r="L151" s="34"/>
      <c r="M151" s="34"/>
      <c r="N151" s="34"/>
      <c r="O151" s="34"/>
      <c r="P151" s="34"/>
      <c r="Q151" s="34"/>
      <c r="S151" s="141"/>
      <c r="T151" s="80"/>
      <c r="U151" s="43">
        <v>82</v>
      </c>
      <c r="V151" s="186"/>
      <c r="W151" s="187"/>
      <c r="Y151" s="195">
        <f t="shared" si="1"/>
        <v>0</v>
      </c>
      <c r="Z151" s="34"/>
      <c r="AA151" s="34"/>
      <c r="AB151" s="34"/>
      <c r="AC151" s="34"/>
      <c r="AD151" s="34"/>
      <c r="AE151" s="34"/>
      <c r="AF151" s="34"/>
      <c r="AG151" s="34"/>
      <c r="AH151" s="34"/>
      <c r="AI151" s="184"/>
      <c r="AJ151" s="184"/>
      <c r="AK151" s="184"/>
      <c r="AL151" s="141"/>
    </row>
    <row r="152" spans="1:38" ht="12.75" customHeight="1">
      <c r="A152" s="80"/>
      <c r="B152" s="43">
        <v>83</v>
      </c>
      <c r="C152" s="191"/>
      <c r="D152" s="192"/>
      <c r="F152" s="193">
        <f t="shared" si="0"/>
        <v>0</v>
      </c>
      <c r="G152" s="34"/>
      <c r="H152" s="34"/>
      <c r="I152" s="34"/>
      <c r="J152" s="34"/>
      <c r="K152" s="34"/>
      <c r="L152" s="34"/>
      <c r="M152" s="34"/>
      <c r="N152" s="34"/>
      <c r="O152" s="34"/>
      <c r="P152" s="34"/>
      <c r="Q152" s="34"/>
      <c r="S152" s="141"/>
      <c r="T152" s="80"/>
      <c r="U152" s="43">
        <v>83</v>
      </c>
      <c r="V152" s="186"/>
      <c r="W152" s="187"/>
      <c r="Y152" s="195">
        <f t="shared" si="1"/>
        <v>0</v>
      </c>
      <c r="Z152" s="34"/>
      <c r="AA152" s="34"/>
      <c r="AB152" s="34"/>
      <c r="AC152" s="34"/>
      <c r="AD152" s="34"/>
      <c r="AE152" s="34"/>
      <c r="AF152" s="34"/>
      <c r="AG152" s="34"/>
      <c r="AH152" s="34"/>
      <c r="AI152" s="184"/>
      <c r="AJ152" s="184"/>
      <c r="AK152" s="184"/>
      <c r="AL152" s="141"/>
    </row>
    <row r="153" spans="1:38" ht="12.75" customHeight="1">
      <c r="A153" s="80"/>
      <c r="B153" s="43">
        <v>84</v>
      </c>
      <c r="C153" s="191"/>
      <c r="D153" s="192"/>
      <c r="F153" s="193">
        <f t="shared" si="0"/>
        <v>0</v>
      </c>
      <c r="G153" s="34"/>
      <c r="H153" s="34"/>
      <c r="I153" s="34"/>
      <c r="J153" s="34"/>
      <c r="K153" s="34"/>
      <c r="L153" s="34"/>
      <c r="M153" s="34"/>
      <c r="N153" s="34"/>
      <c r="O153" s="34"/>
      <c r="P153" s="34"/>
      <c r="Q153" s="34"/>
      <c r="S153" s="141"/>
      <c r="T153" s="80"/>
      <c r="U153" s="43">
        <v>84</v>
      </c>
      <c r="V153" s="186"/>
      <c r="W153" s="187"/>
      <c r="Y153" s="195">
        <f t="shared" si="1"/>
        <v>0</v>
      </c>
      <c r="Z153" s="34"/>
      <c r="AA153" s="34"/>
      <c r="AB153" s="34"/>
      <c r="AC153" s="34"/>
      <c r="AD153" s="34"/>
      <c r="AE153" s="34"/>
      <c r="AF153" s="34"/>
      <c r="AG153" s="34"/>
      <c r="AH153" s="34"/>
      <c r="AI153" s="184"/>
      <c r="AJ153" s="184"/>
      <c r="AK153" s="184"/>
      <c r="AL153" s="141"/>
    </row>
    <row r="154" spans="1:38" ht="12.75" customHeight="1">
      <c r="A154" s="80"/>
      <c r="B154" s="43">
        <v>85</v>
      </c>
      <c r="C154" s="191"/>
      <c r="D154" s="192"/>
      <c r="F154" s="193">
        <f t="shared" si="0"/>
        <v>0</v>
      </c>
      <c r="G154" s="34"/>
      <c r="H154" s="34"/>
      <c r="I154" s="34"/>
      <c r="J154" s="34"/>
      <c r="K154" s="34"/>
      <c r="L154" s="34"/>
      <c r="M154" s="34"/>
      <c r="N154" s="34"/>
      <c r="O154" s="34"/>
      <c r="P154" s="34"/>
      <c r="Q154" s="34"/>
      <c r="S154" s="141"/>
      <c r="T154" s="80"/>
      <c r="U154" s="43">
        <v>85</v>
      </c>
      <c r="V154" s="186"/>
      <c r="W154" s="187"/>
      <c r="Y154" s="195">
        <f t="shared" si="1"/>
        <v>0</v>
      </c>
      <c r="Z154" s="34"/>
      <c r="AA154" s="34"/>
      <c r="AB154" s="34"/>
      <c r="AC154" s="34"/>
      <c r="AD154" s="34"/>
      <c r="AE154" s="34"/>
      <c r="AF154" s="34"/>
      <c r="AG154" s="34"/>
      <c r="AH154" s="34"/>
      <c r="AI154" s="184"/>
      <c r="AJ154" s="184"/>
      <c r="AK154" s="184"/>
      <c r="AL154" s="141"/>
    </row>
    <row r="155" spans="1:38" ht="12.75" customHeight="1">
      <c r="A155" s="80"/>
      <c r="B155" s="43">
        <v>86</v>
      </c>
      <c r="C155" s="191"/>
      <c r="D155" s="192"/>
      <c r="F155" s="193">
        <f t="shared" si="0"/>
        <v>0</v>
      </c>
      <c r="G155" s="34"/>
      <c r="H155" s="34"/>
      <c r="I155" s="34"/>
      <c r="J155" s="34"/>
      <c r="K155" s="34"/>
      <c r="L155" s="34"/>
      <c r="M155" s="34"/>
      <c r="N155" s="34"/>
      <c r="O155" s="34"/>
      <c r="P155" s="34"/>
      <c r="Q155" s="34"/>
      <c r="S155" s="141"/>
      <c r="T155" s="80"/>
      <c r="U155" s="43">
        <v>86</v>
      </c>
      <c r="V155" s="186"/>
      <c r="W155" s="187"/>
      <c r="Y155" s="195">
        <f t="shared" si="1"/>
        <v>0</v>
      </c>
      <c r="Z155" s="34"/>
      <c r="AA155" s="34"/>
      <c r="AB155" s="34"/>
      <c r="AC155" s="34"/>
      <c r="AD155" s="34"/>
      <c r="AE155" s="34"/>
      <c r="AF155" s="34"/>
      <c r="AG155" s="34"/>
      <c r="AH155" s="34"/>
      <c r="AI155" s="184"/>
      <c r="AJ155" s="184"/>
      <c r="AK155" s="184"/>
      <c r="AL155" s="141"/>
    </row>
    <row r="156" spans="1:38" ht="12.75" customHeight="1">
      <c r="A156" s="80"/>
      <c r="B156" s="43">
        <v>87</v>
      </c>
      <c r="C156" s="191"/>
      <c r="D156" s="192"/>
      <c r="F156" s="193">
        <f t="shared" si="0"/>
        <v>0</v>
      </c>
      <c r="G156" s="34"/>
      <c r="H156" s="34"/>
      <c r="I156" s="34"/>
      <c r="J156" s="34"/>
      <c r="K156" s="34"/>
      <c r="L156" s="34"/>
      <c r="M156" s="34"/>
      <c r="N156" s="34"/>
      <c r="O156" s="34"/>
      <c r="P156" s="34"/>
      <c r="Q156" s="34"/>
      <c r="S156" s="141"/>
      <c r="T156" s="80"/>
      <c r="U156" s="43">
        <v>87</v>
      </c>
      <c r="V156" s="186"/>
      <c r="W156" s="187"/>
      <c r="Y156" s="195">
        <f t="shared" si="1"/>
        <v>0</v>
      </c>
      <c r="Z156" s="34"/>
      <c r="AA156" s="34"/>
      <c r="AB156" s="34"/>
      <c r="AC156" s="34"/>
      <c r="AD156" s="34"/>
      <c r="AE156" s="34"/>
      <c r="AF156" s="34"/>
      <c r="AG156" s="34"/>
      <c r="AH156" s="34"/>
      <c r="AI156" s="184"/>
      <c r="AJ156" s="184"/>
      <c r="AK156" s="184"/>
      <c r="AL156" s="141"/>
    </row>
    <row r="157" spans="1:38" ht="12.75" customHeight="1">
      <c r="A157" s="80"/>
      <c r="B157" s="43">
        <v>88</v>
      </c>
      <c r="C157" s="191"/>
      <c r="D157" s="192"/>
      <c r="F157" s="193">
        <f t="shared" si="0"/>
        <v>0</v>
      </c>
      <c r="G157" s="34"/>
      <c r="H157" s="34"/>
      <c r="I157" s="34"/>
      <c r="J157" s="34"/>
      <c r="K157" s="34"/>
      <c r="L157" s="34"/>
      <c r="M157" s="34"/>
      <c r="N157" s="34"/>
      <c r="O157" s="34"/>
      <c r="P157" s="34"/>
      <c r="Q157" s="34"/>
      <c r="S157" s="141"/>
      <c r="T157" s="80"/>
      <c r="U157" s="43">
        <v>88</v>
      </c>
      <c r="V157" s="186"/>
      <c r="W157" s="187"/>
      <c r="Y157" s="195">
        <f t="shared" si="1"/>
        <v>0</v>
      </c>
      <c r="Z157" s="34"/>
      <c r="AA157" s="34"/>
      <c r="AB157" s="34"/>
      <c r="AC157" s="34"/>
      <c r="AD157" s="34"/>
      <c r="AE157" s="34"/>
      <c r="AF157" s="34"/>
      <c r="AG157" s="34"/>
      <c r="AH157" s="34"/>
      <c r="AI157" s="184"/>
      <c r="AJ157" s="184"/>
      <c r="AK157" s="184"/>
      <c r="AL157" s="141"/>
    </row>
    <row r="158" spans="1:38" ht="12.75" customHeight="1">
      <c r="A158" s="80"/>
      <c r="B158" s="43">
        <v>89</v>
      </c>
      <c r="C158" s="191"/>
      <c r="D158" s="192"/>
      <c r="F158" s="193">
        <f t="shared" si="0"/>
        <v>0</v>
      </c>
      <c r="G158" s="34"/>
      <c r="H158" s="34"/>
      <c r="I158" s="34"/>
      <c r="J158" s="34"/>
      <c r="K158" s="34"/>
      <c r="L158" s="34"/>
      <c r="M158" s="34"/>
      <c r="N158" s="34"/>
      <c r="O158" s="34"/>
      <c r="P158" s="34"/>
      <c r="Q158" s="34"/>
      <c r="S158" s="141"/>
      <c r="T158" s="80"/>
      <c r="U158" s="43">
        <v>89</v>
      </c>
      <c r="V158" s="186"/>
      <c r="W158" s="187"/>
      <c r="Y158" s="195">
        <f t="shared" si="1"/>
        <v>0</v>
      </c>
      <c r="Z158" s="34"/>
      <c r="AA158" s="34"/>
      <c r="AB158" s="34"/>
      <c r="AC158" s="34"/>
      <c r="AD158" s="34"/>
      <c r="AE158" s="34"/>
      <c r="AF158" s="34"/>
      <c r="AG158" s="34"/>
      <c r="AH158" s="34"/>
      <c r="AI158" s="184"/>
      <c r="AJ158" s="184"/>
      <c r="AK158" s="184"/>
      <c r="AL158" s="141"/>
    </row>
    <row r="159" spans="1:38" ht="12.75" customHeight="1">
      <c r="A159" s="80"/>
      <c r="B159" s="43">
        <v>90</v>
      </c>
      <c r="C159" s="191"/>
      <c r="D159" s="192"/>
      <c r="F159" s="193">
        <f t="shared" si="0"/>
        <v>0</v>
      </c>
      <c r="G159" s="34"/>
      <c r="H159" s="34"/>
      <c r="I159" s="34"/>
      <c r="J159" s="34"/>
      <c r="K159" s="34"/>
      <c r="L159" s="34"/>
      <c r="M159" s="34"/>
      <c r="N159" s="34"/>
      <c r="O159" s="34"/>
      <c r="P159" s="34"/>
      <c r="Q159" s="34"/>
      <c r="S159" s="141"/>
      <c r="T159" s="80"/>
      <c r="U159" s="43">
        <v>90</v>
      </c>
      <c r="V159" s="186"/>
      <c r="W159" s="187"/>
      <c r="Y159" s="195">
        <f t="shared" si="1"/>
        <v>0</v>
      </c>
      <c r="Z159" s="34"/>
      <c r="AA159" s="34"/>
      <c r="AB159" s="34"/>
      <c r="AC159" s="34"/>
      <c r="AD159" s="34"/>
      <c r="AE159" s="34"/>
      <c r="AF159" s="34"/>
      <c r="AG159" s="34"/>
      <c r="AH159" s="34"/>
      <c r="AI159" s="184"/>
      <c r="AJ159" s="184"/>
      <c r="AK159" s="184"/>
      <c r="AL159" s="141"/>
    </row>
    <row r="160" spans="1:38" ht="12.75" customHeight="1">
      <c r="A160" s="80"/>
      <c r="B160" s="43">
        <v>91</v>
      </c>
      <c r="C160" s="191"/>
      <c r="D160" s="192"/>
      <c r="F160" s="193">
        <f t="shared" si="0"/>
        <v>0</v>
      </c>
      <c r="G160" s="34"/>
      <c r="H160" s="34"/>
      <c r="I160" s="34"/>
      <c r="J160" s="34"/>
      <c r="K160" s="34"/>
      <c r="L160" s="34"/>
      <c r="M160" s="34"/>
      <c r="N160" s="34"/>
      <c r="O160" s="34"/>
      <c r="P160" s="34"/>
      <c r="Q160" s="34"/>
      <c r="S160" s="141"/>
      <c r="T160" s="80"/>
      <c r="U160" s="43">
        <v>91</v>
      </c>
      <c r="V160" s="186"/>
      <c r="W160" s="187"/>
      <c r="Y160" s="195">
        <f t="shared" si="1"/>
        <v>0</v>
      </c>
      <c r="Z160" s="34"/>
      <c r="AA160" s="34"/>
      <c r="AB160" s="34"/>
      <c r="AC160" s="34"/>
      <c r="AD160" s="34"/>
      <c r="AE160" s="34"/>
      <c r="AF160" s="34"/>
      <c r="AG160" s="34"/>
      <c r="AH160" s="34"/>
      <c r="AI160" s="184"/>
      <c r="AJ160" s="184"/>
      <c r="AK160" s="184"/>
      <c r="AL160" s="141"/>
    </row>
    <row r="161" spans="1:38" ht="12.75" customHeight="1">
      <c r="A161" s="80"/>
      <c r="B161" s="43">
        <v>92</v>
      </c>
      <c r="C161" s="191"/>
      <c r="D161" s="192"/>
      <c r="F161" s="193">
        <f t="shared" si="0"/>
        <v>0</v>
      </c>
      <c r="G161" s="34"/>
      <c r="H161" s="34"/>
      <c r="I161" s="34"/>
      <c r="J161" s="34"/>
      <c r="K161" s="34"/>
      <c r="L161" s="34"/>
      <c r="M161" s="34"/>
      <c r="N161" s="34"/>
      <c r="O161" s="34"/>
      <c r="P161" s="34"/>
      <c r="Q161" s="34"/>
      <c r="S161" s="141"/>
      <c r="T161" s="80"/>
      <c r="U161" s="43">
        <v>92</v>
      </c>
      <c r="V161" s="186"/>
      <c r="W161" s="187"/>
      <c r="Y161" s="195">
        <f t="shared" si="1"/>
        <v>0</v>
      </c>
      <c r="Z161" s="34"/>
      <c r="AA161" s="34"/>
      <c r="AB161" s="34"/>
      <c r="AC161" s="34"/>
      <c r="AD161" s="34"/>
      <c r="AE161" s="34"/>
      <c r="AF161" s="34"/>
      <c r="AG161" s="34"/>
      <c r="AH161" s="34"/>
      <c r="AI161" s="184"/>
      <c r="AJ161" s="184"/>
      <c r="AK161" s="184"/>
      <c r="AL161" s="141"/>
    </row>
    <row r="162" spans="1:38" ht="12.75" customHeight="1">
      <c r="A162" s="80"/>
      <c r="B162" s="43">
        <v>93</v>
      </c>
      <c r="C162" s="191"/>
      <c r="D162" s="192"/>
      <c r="F162" s="193">
        <f t="shared" si="0"/>
        <v>0</v>
      </c>
      <c r="G162" s="34"/>
      <c r="H162" s="34"/>
      <c r="I162" s="34"/>
      <c r="J162" s="34"/>
      <c r="K162" s="34"/>
      <c r="L162" s="34"/>
      <c r="M162" s="34"/>
      <c r="N162" s="34"/>
      <c r="O162" s="34"/>
      <c r="P162" s="34"/>
      <c r="Q162" s="34"/>
      <c r="S162" s="141"/>
      <c r="T162" s="80"/>
      <c r="U162" s="43">
        <v>93</v>
      </c>
      <c r="V162" s="186"/>
      <c r="W162" s="187"/>
      <c r="Y162" s="195">
        <f t="shared" si="1"/>
        <v>0</v>
      </c>
      <c r="Z162" s="34"/>
      <c r="AA162" s="34"/>
      <c r="AB162" s="34"/>
      <c r="AC162" s="34"/>
      <c r="AD162" s="34"/>
      <c r="AE162" s="34"/>
      <c r="AF162" s="34"/>
      <c r="AG162" s="34"/>
      <c r="AH162" s="34"/>
      <c r="AI162" s="184"/>
      <c r="AJ162" s="184"/>
      <c r="AK162" s="184"/>
      <c r="AL162" s="141"/>
    </row>
    <row r="163" spans="1:38" ht="12.75" customHeight="1">
      <c r="A163" s="80"/>
      <c r="B163" s="43">
        <v>94</v>
      </c>
      <c r="C163" s="191"/>
      <c r="D163" s="192"/>
      <c r="F163" s="193">
        <f t="shared" si="0"/>
        <v>0</v>
      </c>
      <c r="G163" s="34"/>
      <c r="H163" s="34"/>
      <c r="I163" s="34"/>
      <c r="J163" s="34"/>
      <c r="K163" s="34"/>
      <c r="L163" s="34"/>
      <c r="M163" s="34"/>
      <c r="N163" s="34"/>
      <c r="O163" s="34"/>
      <c r="P163" s="34"/>
      <c r="Q163" s="34"/>
      <c r="S163" s="141"/>
      <c r="T163" s="80"/>
      <c r="U163" s="43">
        <v>94</v>
      </c>
      <c r="V163" s="186"/>
      <c r="W163" s="187"/>
      <c r="Y163" s="195">
        <f t="shared" si="1"/>
        <v>0</v>
      </c>
      <c r="Z163" s="34"/>
      <c r="AA163" s="34"/>
      <c r="AB163" s="34"/>
      <c r="AC163" s="34"/>
      <c r="AD163" s="34"/>
      <c r="AE163" s="34"/>
      <c r="AF163" s="34"/>
      <c r="AG163" s="34"/>
      <c r="AH163" s="34"/>
      <c r="AI163" s="184"/>
      <c r="AJ163" s="184"/>
      <c r="AK163" s="184"/>
      <c r="AL163" s="141"/>
    </row>
    <row r="164" spans="1:38" ht="12.75" customHeight="1">
      <c r="A164" s="80"/>
      <c r="B164" s="43">
        <v>95</v>
      </c>
      <c r="C164" s="191"/>
      <c r="D164" s="192"/>
      <c r="F164" s="193">
        <f t="shared" si="0"/>
        <v>0</v>
      </c>
      <c r="G164" s="34"/>
      <c r="H164" s="34"/>
      <c r="I164" s="34"/>
      <c r="J164" s="34"/>
      <c r="K164" s="34"/>
      <c r="L164" s="34"/>
      <c r="M164" s="34"/>
      <c r="N164" s="34"/>
      <c r="O164" s="34"/>
      <c r="P164" s="34"/>
      <c r="Q164" s="34"/>
      <c r="S164" s="141"/>
      <c r="T164" s="80"/>
      <c r="U164" s="43">
        <v>95</v>
      </c>
      <c r="V164" s="186"/>
      <c r="W164" s="187"/>
      <c r="Y164" s="195">
        <f t="shared" si="1"/>
        <v>0</v>
      </c>
      <c r="Z164" s="34"/>
      <c r="AA164" s="34"/>
      <c r="AB164" s="34"/>
      <c r="AC164" s="34"/>
      <c r="AD164" s="34"/>
      <c r="AE164" s="34"/>
      <c r="AF164" s="34"/>
      <c r="AG164" s="34"/>
      <c r="AH164" s="34"/>
      <c r="AI164" s="184"/>
      <c r="AJ164" s="184"/>
      <c r="AK164" s="184"/>
      <c r="AL164" s="141"/>
    </row>
    <row r="165" spans="1:38" ht="12.75" customHeight="1">
      <c r="A165" s="80"/>
      <c r="B165" s="43">
        <v>96</v>
      </c>
      <c r="C165" s="191"/>
      <c r="D165" s="192"/>
      <c r="F165" s="193">
        <f t="shared" si="0"/>
        <v>0</v>
      </c>
      <c r="G165" s="34"/>
      <c r="H165" s="34"/>
      <c r="I165" s="34"/>
      <c r="J165" s="34"/>
      <c r="K165" s="34"/>
      <c r="L165" s="34"/>
      <c r="M165" s="34"/>
      <c r="N165" s="34"/>
      <c r="O165" s="34"/>
      <c r="P165" s="34"/>
      <c r="Q165" s="34"/>
      <c r="S165" s="141"/>
      <c r="T165" s="80"/>
      <c r="U165" s="43">
        <v>96</v>
      </c>
      <c r="V165" s="186"/>
      <c r="W165" s="187"/>
      <c r="Y165" s="195">
        <f t="shared" si="1"/>
        <v>0</v>
      </c>
      <c r="Z165" s="34"/>
      <c r="AA165" s="34"/>
      <c r="AB165" s="34"/>
      <c r="AC165" s="34"/>
      <c r="AD165" s="34"/>
      <c r="AE165" s="34"/>
      <c r="AF165" s="34"/>
      <c r="AG165" s="34"/>
      <c r="AH165" s="34"/>
      <c r="AI165" s="184"/>
      <c r="AJ165" s="184"/>
      <c r="AK165" s="184"/>
      <c r="AL165" s="141"/>
    </row>
    <row r="166" spans="1:38" ht="12.75" customHeight="1">
      <c r="A166" s="80"/>
      <c r="B166" s="43">
        <v>97</v>
      </c>
      <c r="C166" s="191"/>
      <c r="D166" s="192"/>
      <c r="F166" s="193">
        <f t="shared" si="0"/>
        <v>0</v>
      </c>
      <c r="G166" s="34"/>
      <c r="H166" s="34"/>
      <c r="I166" s="34"/>
      <c r="J166" s="34"/>
      <c r="K166" s="34"/>
      <c r="L166" s="34"/>
      <c r="M166" s="34"/>
      <c r="N166" s="34"/>
      <c r="O166" s="34"/>
      <c r="P166" s="34"/>
      <c r="Q166" s="34"/>
      <c r="S166" s="141"/>
      <c r="T166" s="80"/>
      <c r="U166" s="43">
        <v>97</v>
      </c>
      <c r="V166" s="186"/>
      <c r="W166" s="187"/>
      <c r="Y166" s="195">
        <f t="shared" si="1"/>
        <v>0</v>
      </c>
      <c r="Z166" s="34"/>
      <c r="AA166" s="34"/>
      <c r="AB166" s="34"/>
      <c r="AC166" s="34"/>
      <c r="AD166" s="34"/>
      <c r="AE166" s="34"/>
      <c r="AF166" s="34"/>
      <c r="AG166" s="34"/>
      <c r="AH166" s="34"/>
      <c r="AI166" s="184"/>
      <c r="AJ166" s="184"/>
      <c r="AK166" s="184"/>
      <c r="AL166" s="141"/>
    </row>
    <row r="167" spans="1:38" ht="12.75" customHeight="1">
      <c r="A167" s="80"/>
      <c r="B167" s="43">
        <v>98</v>
      </c>
      <c r="C167" s="191"/>
      <c r="D167" s="192"/>
      <c r="F167" s="193">
        <f t="shared" si="0"/>
        <v>0</v>
      </c>
      <c r="G167" s="34"/>
      <c r="H167" s="34"/>
      <c r="I167" s="34"/>
      <c r="J167" s="34"/>
      <c r="K167" s="34"/>
      <c r="L167" s="34"/>
      <c r="M167" s="34"/>
      <c r="N167" s="34"/>
      <c r="O167" s="34"/>
      <c r="P167" s="34"/>
      <c r="Q167" s="34"/>
      <c r="S167" s="141"/>
      <c r="T167" s="80"/>
      <c r="U167" s="43">
        <v>98</v>
      </c>
      <c r="V167" s="186"/>
      <c r="W167" s="187"/>
      <c r="Y167" s="195">
        <f t="shared" si="1"/>
        <v>0</v>
      </c>
      <c r="Z167" s="34"/>
      <c r="AA167" s="34"/>
      <c r="AB167" s="34"/>
      <c r="AC167" s="34"/>
      <c r="AD167" s="34"/>
      <c r="AE167" s="34"/>
      <c r="AF167" s="34"/>
      <c r="AG167" s="34"/>
      <c r="AH167" s="34"/>
      <c r="AI167" s="184"/>
      <c r="AJ167" s="184"/>
      <c r="AK167" s="184"/>
      <c r="AL167" s="141"/>
    </row>
    <row r="168" spans="1:38" ht="12.75" customHeight="1">
      <c r="A168" s="80"/>
      <c r="B168" s="43">
        <v>99</v>
      </c>
      <c r="C168" s="191"/>
      <c r="D168" s="192"/>
      <c r="F168" s="193">
        <f t="shared" si="0"/>
        <v>0</v>
      </c>
      <c r="G168" s="34"/>
      <c r="H168" s="34"/>
      <c r="I168" s="34"/>
      <c r="J168" s="34"/>
      <c r="K168" s="34"/>
      <c r="L168" s="34"/>
      <c r="M168" s="34"/>
      <c r="N168" s="34"/>
      <c r="O168" s="34"/>
      <c r="P168" s="34"/>
      <c r="Q168" s="34"/>
      <c r="S168" s="141"/>
      <c r="T168" s="80"/>
      <c r="U168" s="43">
        <v>99</v>
      </c>
      <c r="V168" s="186"/>
      <c r="W168" s="187"/>
      <c r="Y168" s="195">
        <f t="shared" si="1"/>
        <v>0</v>
      </c>
      <c r="Z168" s="34"/>
      <c r="AA168" s="34"/>
      <c r="AB168" s="34"/>
      <c r="AC168" s="34"/>
      <c r="AD168" s="34"/>
      <c r="AE168" s="34"/>
      <c r="AF168" s="34"/>
      <c r="AG168" s="34"/>
      <c r="AH168" s="34"/>
      <c r="AI168" s="184"/>
      <c r="AJ168" s="184"/>
      <c r="AK168" s="184"/>
      <c r="AL168" s="141"/>
    </row>
    <row r="169" spans="1:38" ht="12.75" customHeight="1">
      <c r="A169" s="80"/>
      <c r="B169" s="43">
        <v>100</v>
      </c>
      <c r="C169" s="191"/>
      <c r="D169" s="192"/>
      <c r="F169" s="193">
        <f t="shared" si="0"/>
        <v>0</v>
      </c>
      <c r="G169" s="34"/>
      <c r="H169" s="34"/>
      <c r="I169" s="34"/>
      <c r="J169" s="34"/>
      <c r="K169" s="34"/>
      <c r="L169" s="34"/>
      <c r="M169" s="34"/>
      <c r="N169" s="34"/>
      <c r="O169" s="34"/>
      <c r="P169" s="34"/>
      <c r="Q169" s="34"/>
      <c r="S169" s="141"/>
      <c r="T169" s="80"/>
      <c r="U169" s="43">
        <v>100</v>
      </c>
      <c r="V169" s="186"/>
      <c r="W169" s="187"/>
      <c r="Y169" s="195">
        <f t="shared" si="1"/>
        <v>0</v>
      </c>
      <c r="Z169" s="34"/>
      <c r="AA169" s="34"/>
      <c r="AB169" s="34"/>
      <c r="AC169" s="34"/>
      <c r="AD169" s="34"/>
      <c r="AE169" s="34"/>
      <c r="AF169" s="34"/>
      <c r="AG169" s="34"/>
      <c r="AH169" s="34"/>
      <c r="AI169" s="184"/>
      <c r="AJ169" s="184"/>
      <c r="AK169" s="184"/>
      <c r="AL169" s="141"/>
    </row>
    <row r="170" spans="1:38" ht="12.75" customHeight="1">
      <c r="A170" s="80"/>
      <c r="B170" s="43">
        <v>101</v>
      </c>
      <c r="C170" s="191"/>
      <c r="D170" s="192"/>
      <c r="F170" s="193">
        <f t="shared" si="0"/>
        <v>0</v>
      </c>
      <c r="G170" s="34"/>
      <c r="H170" s="34"/>
      <c r="I170" s="34"/>
      <c r="J170" s="34"/>
      <c r="K170" s="34"/>
      <c r="L170" s="34"/>
      <c r="M170" s="34"/>
      <c r="N170" s="34"/>
      <c r="O170" s="34"/>
      <c r="P170" s="34"/>
      <c r="Q170" s="34"/>
      <c r="S170" s="141"/>
      <c r="T170" s="80"/>
      <c r="U170" s="43">
        <v>101</v>
      </c>
      <c r="V170" s="186"/>
      <c r="W170" s="187"/>
      <c r="Y170" s="195">
        <f t="shared" si="1"/>
        <v>0</v>
      </c>
      <c r="Z170" s="34"/>
      <c r="AA170" s="34"/>
      <c r="AB170" s="34"/>
      <c r="AC170" s="34"/>
      <c r="AD170" s="34"/>
      <c r="AE170" s="34"/>
      <c r="AF170" s="34"/>
      <c r="AG170" s="34"/>
      <c r="AH170" s="34"/>
      <c r="AI170" s="184"/>
      <c r="AJ170" s="184"/>
      <c r="AK170" s="184"/>
      <c r="AL170" s="141"/>
    </row>
    <row r="171" spans="1:38" ht="12.75" customHeight="1">
      <c r="A171" s="80"/>
      <c r="B171" s="43">
        <v>102</v>
      </c>
      <c r="C171" s="191"/>
      <c r="D171" s="192"/>
      <c r="F171" s="193">
        <f t="shared" si="0"/>
        <v>0</v>
      </c>
      <c r="G171" s="34"/>
      <c r="H171" s="34"/>
      <c r="I171" s="34"/>
      <c r="J171" s="34"/>
      <c r="K171" s="34"/>
      <c r="L171" s="34"/>
      <c r="M171" s="34"/>
      <c r="N171" s="34"/>
      <c r="O171" s="34"/>
      <c r="P171" s="34"/>
      <c r="Q171" s="34"/>
      <c r="S171" s="141"/>
      <c r="T171" s="80"/>
      <c r="U171" s="43">
        <v>102</v>
      </c>
      <c r="V171" s="186"/>
      <c r="W171" s="187"/>
      <c r="Y171" s="195">
        <f t="shared" si="1"/>
        <v>0</v>
      </c>
      <c r="Z171" s="34"/>
      <c r="AA171" s="34"/>
      <c r="AB171" s="34"/>
      <c r="AC171" s="34"/>
      <c r="AD171" s="34"/>
      <c r="AE171" s="34"/>
      <c r="AF171" s="34"/>
      <c r="AG171" s="34"/>
      <c r="AH171" s="34"/>
      <c r="AI171" s="184"/>
      <c r="AJ171" s="184"/>
      <c r="AK171" s="184"/>
      <c r="AL171" s="141"/>
    </row>
    <row r="172" spans="1:38" ht="12.75" customHeight="1">
      <c r="A172" s="80"/>
      <c r="B172" s="43">
        <v>103</v>
      </c>
      <c r="C172" s="186"/>
      <c r="D172" s="187"/>
      <c r="F172" s="193">
        <f t="shared" si="0"/>
        <v>0</v>
      </c>
      <c r="G172" s="34"/>
      <c r="H172" s="34"/>
      <c r="I172" s="34"/>
      <c r="J172" s="34"/>
      <c r="K172" s="34"/>
      <c r="L172" s="34"/>
      <c r="M172" s="34"/>
      <c r="N172" s="34"/>
      <c r="O172" s="34"/>
      <c r="P172" s="34"/>
      <c r="Q172" s="34"/>
      <c r="S172" s="141"/>
      <c r="T172" s="80"/>
      <c r="U172" s="43">
        <v>103</v>
      </c>
      <c r="V172" s="186"/>
      <c r="W172" s="187"/>
      <c r="Y172" s="195">
        <f t="shared" si="1"/>
        <v>0</v>
      </c>
      <c r="Z172" s="34"/>
      <c r="AA172" s="34"/>
      <c r="AB172" s="34"/>
      <c r="AC172" s="34"/>
      <c r="AD172" s="34"/>
      <c r="AE172" s="34"/>
      <c r="AF172" s="34"/>
      <c r="AG172" s="34"/>
      <c r="AH172" s="34"/>
      <c r="AI172" s="184"/>
      <c r="AJ172" s="184"/>
      <c r="AK172" s="184"/>
      <c r="AL172" s="141"/>
    </row>
    <row r="173" spans="1:38" ht="12.75" customHeight="1">
      <c r="A173" s="80"/>
      <c r="B173" s="43">
        <v>104</v>
      </c>
      <c r="C173" s="186"/>
      <c r="D173" s="187"/>
      <c r="F173" s="193">
        <f t="shared" si="0"/>
        <v>0</v>
      </c>
      <c r="G173" s="34"/>
      <c r="H173" s="34"/>
      <c r="I173" s="34"/>
      <c r="J173" s="34"/>
      <c r="K173" s="34"/>
      <c r="L173" s="34"/>
      <c r="M173" s="34"/>
      <c r="N173" s="34"/>
      <c r="O173" s="34"/>
      <c r="P173" s="34"/>
      <c r="Q173" s="34"/>
      <c r="S173" s="141"/>
      <c r="T173" s="80"/>
      <c r="U173" s="43">
        <v>104</v>
      </c>
      <c r="V173" s="186"/>
      <c r="W173" s="187"/>
      <c r="Y173" s="195">
        <f t="shared" si="1"/>
        <v>0</v>
      </c>
      <c r="Z173" s="34"/>
      <c r="AA173" s="34"/>
      <c r="AB173" s="34"/>
      <c r="AC173" s="34"/>
      <c r="AD173" s="34"/>
      <c r="AE173" s="34"/>
      <c r="AF173" s="34"/>
      <c r="AG173" s="34"/>
      <c r="AH173" s="34"/>
      <c r="AI173" s="184"/>
      <c r="AJ173" s="184"/>
      <c r="AK173" s="184"/>
      <c r="AL173" s="141"/>
    </row>
    <row r="174" spans="1:38" ht="12.75" customHeight="1">
      <c r="A174" s="80"/>
      <c r="B174" s="43">
        <v>105</v>
      </c>
      <c r="C174" s="186"/>
      <c r="D174" s="187"/>
      <c r="F174" s="193">
        <f t="shared" si="0"/>
        <v>0</v>
      </c>
      <c r="G174" s="34"/>
      <c r="H174" s="34"/>
      <c r="I174" s="34"/>
      <c r="J174" s="34"/>
      <c r="K174" s="34"/>
      <c r="L174" s="34"/>
      <c r="M174" s="34"/>
      <c r="N174" s="34"/>
      <c r="O174" s="34"/>
      <c r="P174" s="34"/>
      <c r="Q174" s="34"/>
      <c r="S174" s="141"/>
      <c r="T174" s="80"/>
      <c r="U174" s="43">
        <v>105</v>
      </c>
      <c r="V174" s="186"/>
      <c r="W174" s="187"/>
      <c r="Y174" s="195">
        <f t="shared" si="1"/>
        <v>0</v>
      </c>
      <c r="Z174" s="34"/>
      <c r="AA174" s="34"/>
      <c r="AB174" s="34"/>
      <c r="AC174" s="34"/>
      <c r="AD174" s="34"/>
      <c r="AE174" s="34"/>
      <c r="AF174" s="34"/>
      <c r="AG174" s="34"/>
      <c r="AH174" s="34"/>
      <c r="AI174" s="184"/>
      <c r="AJ174" s="184"/>
      <c r="AK174" s="184"/>
      <c r="AL174" s="141"/>
    </row>
    <row r="175" spans="1:38" ht="12.75" customHeight="1">
      <c r="A175" s="80"/>
      <c r="B175" s="43">
        <v>106</v>
      </c>
      <c r="C175" s="186"/>
      <c r="D175" s="187"/>
      <c r="F175" s="193">
        <f t="shared" si="0"/>
        <v>0</v>
      </c>
      <c r="G175" s="34"/>
      <c r="H175" s="34"/>
      <c r="I175" s="34"/>
      <c r="J175" s="34"/>
      <c r="K175" s="34"/>
      <c r="L175" s="34"/>
      <c r="M175" s="34"/>
      <c r="N175" s="34"/>
      <c r="O175" s="34"/>
      <c r="P175" s="34"/>
      <c r="Q175" s="34"/>
      <c r="S175" s="141"/>
      <c r="T175" s="80"/>
      <c r="U175" s="43">
        <v>106</v>
      </c>
      <c r="V175" s="186"/>
      <c r="W175" s="187"/>
      <c r="Y175" s="195">
        <f t="shared" si="1"/>
        <v>0</v>
      </c>
      <c r="Z175" s="34"/>
      <c r="AA175" s="34"/>
      <c r="AB175" s="34"/>
      <c r="AC175" s="34"/>
      <c r="AD175" s="34"/>
      <c r="AE175" s="34"/>
      <c r="AF175" s="34"/>
      <c r="AG175" s="34"/>
      <c r="AH175" s="34"/>
      <c r="AI175" s="184"/>
      <c r="AJ175" s="184"/>
      <c r="AK175" s="184"/>
      <c r="AL175" s="141"/>
    </row>
    <row r="176" spans="1:38" ht="12.75" customHeight="1">
      <c r="A176" s="80"/>
      <c r="B176" s="43">
        <v>107</v>
      </c>
      <c r="C176" s="186"/>
      <c r="D176" s="187"/>
      <c r="F176" s="193">
        <f t="shared" si="0"/>
        <v>0</v>
      </c>
      <c r="G176" s="34"/>
      <c r="H176" s="34"/>
      <c r="I176" s="34"/>
      <c r="J176" s="34"/>
      <c r="K176" s="34"/>
      <c r="L176" s="34"/>
      <c r="M176" s="34"/>
      <c r="N176" s="34"/>
      <c r="O176" s="34"/>
      <c r="P176" s="34"/>
      <c r="Q176" s="34"/>
      <c r="S176" s="141"/>
      <c r="T176" s="80"/>
      <c r="U176" s="43">
        <v>107</v>
      </c>
      <c r="V176" s="186"/>
      <c r="W176" s="187"/>
      <c r="Y176" s="195">
        <f t="shared" si="1"/>
        <v>0</v>
      </c>
      <c r="Z176" s="34"/>
      <c r="AA176" s="34"/>
      <c r="AB176" s="34"/>
      <c r="AC176" s="34"/>
      <c r="AD176" s="34"/>
      <c r="AE176" s="34"/>
      <c r="AF176" s="34"/>
      <c r="AG176" s="34"/>
      <c r="AH176" s="34"/>
      <c r="AI176" s="184"/>
      <c r="AJ176" s="184"/>
      <c r="AK176" s="184"/>
      <c r="AL176" s="141"/>
    </row>
    <row r="177" spans="1:38" ht="12.75" customHeight="1">
      <c r="A177" s="80"/>
      <c r="B177" s="43">
        <v>108</v>
      </c>
      <c r="C177" s="186"/>
      <c r="D177" s="187"/>
      <c r="F177" s="193">
        <f t="shared" si="0"/>
        <v>0</v>
      </c>
      <c r="G177" s="34"/>
      <c r="H177" s="34"/>
      <c r="I177" s="34"/>
      <c r="J177" s="34"/>
      <c r="K177" s="34"/>
      <c r="L177" s="34"/>
      <c r="M177" s="34"/>
      <c r="N177" s="34"/>
      <c r="O177" s="34"/>
      <c r="P177" s="34"/>
      <c r="Q177" s="34"/>
      <c r="S177" s="141"/>
      <c r="T177" s="80"/>
      <c r="U177" s="43">
        <v>108</v>
      </c>
      <c r="V177" s="186"/>
      <c r="W177" s="187"/>
      <c r="Y177" s="195">
        <f t="shared" si="1"/>
        <v>0</v>
      </c>
      <c r="Z177" s="34"/>
      <c r="AA177" s="34"/>
      <c r="AB177" s="34"/>
      <c r="AC177" s="34"/>
      <c r="AD177" s="34"/>
      <c r="AE177" s="34"/>
      <c r="AF177" s="34"/>
      <c r="AG177" s="34"/>
      <c r="AH177" s="34"/>
      <c r="AI177" s="184"/>
      <c r="AJ177" s="184"/>
      <c r="AK177" s="184"/>
      <c r="AL177" s="141"/>
    </row>
    <row r="178" spans="1:38" ht="12.75" customHeight="1">
      <c r="A178" s="80"/>
      <c r="B178" s="43">
        <v>109</v>
      </c>
      <c r="C178" s="186"/>
      <c r="D178" s="187"/>
      <c r="F178" s="193">
        <f t="shared" si="0"/>
        <v>0</v>
      </c>
      <c r="G178" s="34"/>
      <c r="H178" s="34"/>
      <c r="I178" s="34"/>
      <c r="J178" s="34"/>
      <c r="K178" s="34"/>
      <c r="L178" s="34"/>
      <c r="M178" s="34"/>
      <c r="N178" s="34"/>
      <c r="O178" s="34"/>
      <c r="P178" s="34"/>
      <c r="Q178" s="34"/>
      <c r="S178" s="141"/>
      <c r="T178" s="80"/>
      <c r="U178" s="43">
        <v>109</v>
      </c>
      <c r="V178" s="186"/>
      <c r="W178" s="187"/>
      <c r="Y178" s="195">
        <f t="shared" si="1"/>
        <v>0</v>
      </c>
      <c r="Z178" s="34"/>
      <c r="AA178" s="34"/>
      <c r="AB178" s="34"/>
      <c r="AC178" s="34"/>
      <c r="AD178" s="34"/>
      <c r="AE178" s="34"/>
      <c r="AF178" s="34"/>
      <c r="AG178" s="34"/>
      <c r="AH178" s="34"/>
      <c r="AI178" s="184"/>
      <c r="AJ178" s="184"/>
      <c r="AK178" s="184"/>
      <c r="AL178" s="141"/>
    </row>
    <row r="179" spans="1:38" ht="12.75" customHeight="1">
      <c r="A179" s="80"/>
      <c r="B179" s="43">
        <v>110</v>
      </c>
      <c r="C179" s="186"/>
      <c r="D179" s="187"/>
      <c r="F179" s="193">
        <f t="shared" si="0"/>
        <v>0</v>
      </c>
      <c r="G179" s="34"/>
      <c r="H179" s="34"/>
      <c r="I179" s="34"/>
      <c r="J179" s="34"/>
      <c r="K179" s="34"/>
      <c r="L179" s="34"/>
      <c r="M179" s="34"/>
      <c r="N179" s="34"/>
      <c r="O179" s="34"/>
      <c r="P179" s="34"/>
      <c r="Q179" s="34"/>
      <c r="S179" s="141"/>
      <c r="T179" s="80"/>
      <c r="U179" s="43">
        <v>110</v>
      </c>
      <c r="V179" s="186"/>
      <c r="W179" s="187"/>
      <c r="Y179" s="195">
        <f t="shared" si="1"/>
        <v>0</v>
      </c>
      <c r="Z179" s="34"/>
      <c r="AA179" s="34"/>
      <c r="AB179" s="34"/>
      <c r="AC179" s="34"/>
      <c r="AD179" s="34"/>
      <c r="AE179" s="34"/>
      <c r="AF179" s="34"/>
      <c r="AG179" s="34"/>
      <c r="AH179" s="34"/>
      <c r="AI179" s="184"/>
      <c r="AJ179" s="184"/>
      <c r="AK179" s="184"/>
      <c r="AL179" s="141"/>
    </row>
    <row r="180" spans="1:38" ht="12.75" customHeight="1">
      <c r="A180" s="80"/>
      <c r="B180" s="43">
        <v>111</v>
      </c>
      <c r="C180" s="186"/>
      <c r="D180" s="187"/>
      <c r="F180" s="193">
        <f t="shared" si="0"/>
        <v>0</v>
      </c>
      <c r="G180" s="34"/>
      <c r="H180" s="34"/>
      <c r="I180" s="34"/>
      <c r="J180" s="34"/>
      <c r="K180" s="34"/>
      <c r="L180" s="34"/>
      <c r="M180" s="34"/>
      <c r="N180" s="34"/>
      <c r="O180" s="34"/>
      <c r="P180" s="34"/>
      <c r="Q180" s="34"/>
      <c r="S180" s="141"/>
      <c r="T180" s="80"/>
      <c r="U180" s="43">
        <v>111</v>
      </c>
      <c r="V180" s="186"/>
      <c r="W180" s="187"/>
      <c r="Y180" s="195">
        <f t="shared" si="1"/>
        <v>0</v>
      </c>
      <c r="Z180" s="34"/>
      <c r="AA180" s="34"/>
      <c r="AB180" s="34"/>
      <c r="AC180" s="34"/>
      <c r="AD180" s="34"/>
      <c r="AE180" s="34"/>
      <c r="AF180" s="34"/>
      <c r="AG180" s="34"/>
      <c r="AH180" s="34"/>
      <c r="AI180" s="184"/>
      <c r="AJ180" s="184"/>
      <c r="AK180" s="184"/>
      <c r="AL180" s="141"/>
    </row>
    <row r="181" spans="1:38" ht="12.75" customHeight="1">
      <c r="A181" s="80"/>
      <c r="B181" s="43">
        <v>112</v>
      </c>
      <c r="C181" s="186"/>
      <c r="D181" s="187"/>
      <c r="F181" s="193">
        <f t="shared" si="0"/>
        <v>0</v>
      </c>
      <c r="G181" s="34"/>
      <c r="H181" s="34"/>
      <c r="I181" s="34"/>
      <c r="J181" s="34"/>
      <c r="K181" s="34"/>
      <c r="L181" s="34"/>
      <c r="M181" s="34"/>
      <c r="N181" s="34"/>
      <c r="O181" s="34"/>
      <c r="P181" s="34"/>
      <c r="Q181" s="34"/>
      <c r="S181" s="141"/>
      <c r="T181" s="80"/>
      <c r="U181" s="43">
        <v>112</v>
      </c>
      <c r="V181" s="186"/>
      <c r="W181" s="187"/>
      <c r="Y181" s="195">
        <f t="shared" si="1"/>
        <v>0</v>
      </c>
      <c r="Z181" s="34"/>
      <c r="AA181" s="34"/>
      <c r="AB181" s="34"/>
      <c r="AC181" s="34"/>
      <c r="AD181" s="34"/>
      <c r="AE181" s="34"/>
      <c r="AF181" s="34"/>
      <c r="AG181" s="34"/>
      <c r="AH181" s="34"/>
      <c r="AI181" s="184"/>
      <c r="AJ181" s="184"/>
      <c r="AK181" s="184"/>
      <c r="AL181" s="141"/>
    </row>
    <row r="182" spans="1:38" ht="12.75" customHeight="1">
      <c r="A182" s="80"/>
      <c r="B182" s="43">
        <v>113</v>
      </c>
      <c r="C182" s="186"/>
      <c r="D182" s="187"/>
      <c r="F182" s="193">
        <f t="shared" si="0"/>
        <v>0</v>
      </c>
      <c r="G182" s="34"/>
      <c r="H182" s="34"/>
      <c r="I182" s="34"/>
      <c r="J182" s="34"/>
      <c r="K182" s="34"/>
      <c r="L182" s="34"/>
      <c r="M182" s="34"/>
      <c r="N182" s="34"/>
      <c r="O182" s="34"/>
      <c r="P182" s="34"/>
      <c r="Q182" s="34"/>
      <c r="S182" s="141"/>
      <c r="T182" s="80"/>
      <c r="U182" s="43">
        <v>113</v>
      </c>
      <c r="V182" s="186"/>
      <c r="W182" s="187"/>
      <c r="Y182" s="195">
        <f t="shared" si="1"/>
        <v>0</v>
      </c>
      <c r="Z182" s="34"/>
      <c r="AA182" s="34"/>
      <c r="AB182" s="34"/>
      <c r="AC182" s="34"/>
      <c r="AD182" s="34"/>
      <c r="AE182" s="34"/>
      <c r="AF182" s="34"/>
      <c r="AG182" s="34"/>
      <c r="AH182" s="34"/>
      <c r="AI182" s="184"/>
      <c r="AJ182" s="184"/>
      <c r="AK182" s="184"/>
      <c r="AL182" s="141"/>
    </row>
    <row r="183" spans="1:38" ht="12.75" customHeight="1">
      <c r="A183" s="80"/>
      <c r="B183" s="43">
        <v>114</v>
      </c>
      <c r="C183" s="186"/>
      <c r="D183" s="187"/>
      <c r="F183" s="193">
        <f t="shared" si="0"/>
        <v>0</v>
      </c>
      <c r="G183" s="34"/>
      <c r="H183" s="34"/>
      <c r="I183" s="34"/>
      <c r="J183" s="34"/>
      <c r="K183" s="34"/>
      <c r="L183" s="34"/>
      <c r="M183" s="34"/>
      <c r="N183" s="34"/>
      <c r="O183" s="34"/>
      <c r="P183" s="34"/>
      <c r="Q183" s="34"/>
      <c r="S183" s="141"/>
      <c r="T183" s="80"/>
      <c r="U183" s="43">
        <v>114</v>
      </c>
      <c r="V183" s="186"/>
      <c r="W183" s="187"/>
      <c r="Y183" s="195">
        <f t="shared" si="1"/>
        <v>0</v>
      </c>
      <c r="Z183" s="34"/>
      <c r="AA183" s="34"/>
      <c r="AB183" s="34"/>
      <c r="AC183" s="34"/>
      <c r="AD183" s="34"/>
      <c r="AE183" s="34"/>
      <c r="AF183" s="34"/>
      <c r="AG183" s="34"/>
      <c r="AH183" s="34"/>
      <c r="AI183" s="184"/>
      <c r="AJ183" s="184"/>
      <c r="AK183" s="184"/>
      <c r="AL183" s="141"/>
    </row>
    <row r="184" spans="1:38" ht="12.75" customHeight="1">
      <c r="A184" s="80"/>
      <c r="B184" s="43">
        <v>115</v>
      </c>
      <c r="C184" s="186"/>
      <c r="D184" s="187"/>
      <c r="F184" s="193">
        <f t="shared" si="0"/>
        <v>0</v>
      </c>
      <c r="G184" s="34"/>
      <c r="H184" s="34"/>
      <c r="I184" s="34"/>
      <c r="J184" s="34"/>
      <c r="K184" s="34"/>
      <c r="L184" s="34"/>
      <c r="M184" s="34"/>
      <c r="N184" s="34"/>
      <c r="O184" s="34"/>
      <c r="P184" s="34"/>
      <c r="Q184" s="34"/>
      <c r="S184" s="141"/>
      <c r="T184" s="80"/>
      <c r="U184" s="43">
        <v>115</v>
      </c>
      <c r="V184" s="186"/>
      <c r="W184" s="187"/>
      <c r="Y184" s="195">
        <f t="shared" si="1"/>
        <v>0</v>
      </c>
      <c r="Z184" s="34"/>
      <c r="AA184" s="34"/>
      <c r="AB184" s="34"/>
      <c r="AC184" s="34"/>
      <c r="AD184" s="34"/>
      <c r="AE184" s="34"/>
      <c r="AF184" s="34"/>
      <c r="AG184" s="34"/>
      <c r="AH184" s="34"/>
      <c r="AI184" s="184"/>
      <c r="AJ184" s="184"/>
      <c r="AK184" s="184"/>
      <c r="AL184" s="141"/>
    </row>
    <row r="185" spans="1:38" ht="12.75" customHeight="1">
      <c r="A185" s="80"/>
      <c r="B185" s="43">
        <v>116</v>
      </c>
      <c r="C185" s="186"/>
      <c r="D185" s="187"/>
      <c r="F185" s="193">
        <f t="shared" si="0"/>
        <v>0</v>
      </c>
      <c r="G185" s="34"/>
      <c r="H185" s="34"/>
      <c r="I185" s="34"/>
      <c r="J185" s="34"/>
      <c r="K185" s="34"/>
      <c r="L185" s="34"/>
      <c r="M185" s="34"/>
      <c r="N185" s="34"/>
      <c r="O185" s="34"/>
      <c r="P185" s="34"/>
      <c r="Q185" s="34"/>
      <c r="S185" s="141"/>
      <c r="T185" s="80"/>
      <c r="U185" s="43">
        <v>116</v>
      </c>
      <c r="V185" s="186"/>
      <c r="W185" s="187"/>
      <c r="Y185" s="195">
        <f t="shared" si="1"/>
        <v>0</v>
      </c>
      <c r="Z185" s="34"/>
      <c r="AA185" s="34"/>
      <c r="AB185" s="34"/>
      <c r="AC185" s="34"/>
      <c r="AD185" s="34"/>
      <c r="AE185" s="34"/>
      <c r="AF185" s="34"/>
      <c r="AG185" s="34"/>
      <c r="AH185" s="34"/>
      <c r="AI185" s="184"/>
      <c r="AJ185" s="184"/>
      <c r="AK185" s="184"/>
      <c r="AL185" s="141"/>
    </row>
    <row r="186" spans="1:38" ht="12.75" customHeight="1">
      <c r="A186" s="80"/>
      <c r="B186" s="43">
        <v>117</v>
      </c>
      <c r="C186" s="186"/>
      <c r="D186" s="187"/>
      <c r="F186" s="193">
        <f t="shared" si="0"/>
        <v>0</v>
      </c>
      <c r="G186" s="34"/>
      <c r="H186" s="34"/>
      <c r="I186" s="34"/>
      <c r="J186" s="34"/>
      <c r="K186" s="34"/>
      <c r="L186" s="34"/>
      <c r="M186" s="34"/>
      <c r="N186" s="34"/>
      <c r="O186" s="34"/>
      <c r="P186" s="34"/>
      <c r="Q186" s="34"/>
      <c r="S186" s="141"/>
      <c r="T186" s="80"/>
      <c r="U186" s="43">
        <v>117</v>
      </c>
      <c r="V186" s="186"/>
      <c r="W186" s="187"/>
      <c r="Y186" s="195">
        <f t="shared" si="1"/>
        <v>0</v>
      </c>
      <c r="Z186" s="34"/>
      <c r="AA186" s="34"/>
      <c r="AB186" s="34"/>
      <c r="AC186" s="34"/>
      <c r="AD186" s="34"/>
      <c r="AE186" s="34"/>
      <c r="AF186" s="34"/>
      <c r="AG186" s="34"/>
      <c r="AH186" s="34"/>
      <c r="AI186" s="184"/>
      <c r="AJ186" s="184"/>
      <c r="AK186" s="184"/>
      <c r="AL186" s="141"/>
    </row>
    <row r="187" spans="1:38" ht="12.75" customHeight="1">
      <c r="A187" s="80"/>
      <c r="B187" s="43">
        <v>118</v>
      </c>
      <c r="C187" s="186"/>
      <c r="D187" s="187"/>
      <c r="F187" s="193">
        <f t="shared" si="0"/>
        <v>0</v>
      </c>
      <c r="G187" s="34"/>
      <c r="H187" s="34"/>
      <c r="I187" s="34"/>
      <c r="J187" s="34"/>
      <c r="K187" s="34"/>
      <c r="L187" s="34"/>
      <c r="M187" s="34"/>
      <c r="N187" s="34"/>
      <c r="O187" s="34"/>
      <c r="P187" s="34"/>
      <c r="Q187" s="34"/>
      <c r="S187" s="141"/>
      <c r="T187" s="80"/>
      <c r="U187" s="43">
        <v>118</v>
      </c>
      <c r="V187" s="186"/>
      <c r="W187" s="187"/>
      <c r="Y187" s="195">
        <f t="shared" si="1"/>
        <v>0</v>
      </c>
      <c r="Z187" s="34"/>
      <c r="AA187" s="34"/>
      <c r="AB187" s="34"/>
      <c r="AC187" s="34"/>
      <c r="AD187" s="34"/>
      <c r="AE187" s="34"/>
      <c r="AF187" s="34"/>
      <c r="AG187" s="34"/>
      <c r="AH187" s="34"/>
      <c r="AI187" s="184"/>
      <c r="AJ187" s="184"/>
      <c r="AK187" s="184"/>
      <c r="AL187" s="141"/>
    </row>
    <row r="188" spans="1:38" ht="12.75" customHeight="1">
      <c r="A188" s="80"/>
      <c r="B188" s="43">
        <v>119</v>
      </c>
      <c r="C188" s="186"/>
      <c r="D188" s="187"/>
      <c r="F188" s="193">
        <f t="shared" si="0"/>
        <v>0</v>
      </c>
      <c r="G188" s="34"/>
      <c r="H188" s="34"/>
      <c r="I188" s="34"/>
      <c r="J188" s="34"/>
      <c r="K188" s="34"/>
      <c r="L188" s="34"/>
      <c r="M188" s="34"/>
      <c r="N188" s="34"/>
      <c r="O188" s="34"/>
      <c r="P188" s="34"/>
      <c r="Q188" s="34"/>
      <c r="S188" s="141"/>
      <c r="T188" s="80"/>
      <c r="U188" s="43">
        <v>119</v>
      </c>
      <c r="V188" s="186"/>
      <c r="W188" s="187"/>
      <c r="Y188" s="195">
        <f t="shared" si="1"/>
        <v>0</v>
      </c>
      <c r="Z188" s="34"/>
      <c r="AA188" s="34"/>
      <c r="AB188" s="34"/>
      <c r="AC188" s="34"/>
      <c r="AD188" s="34"/>
      <c r="AE188" s="34"/>
      <c r="AF188" s="34"/>
      <c r="AG188" s="34"/>
      <c r="AH188" s="34"/>
      <c r="AI188" s="184"/>
      <c r="AJ188" s="184"/>
      <c r="AK188" s="184"/>
      <c r="AL188" s="141"/>
    </row>
    <row r="189" spans="1:38" ht="12.75" customHeight="1">
      <c r="A189" s="80"/>
      <c r="B189" s="43">
        <v>120</v>
      </c>
      <c r="C189" s="186"/>
      <c r="D189" s="187"/>
      <c r="F189" s="193">
        <f t="shared" si="0"/>
        <v>0</v>
      </c>
      <c r="G189" s="34"/>
      <c r="H189" s="34"/>
      <c r="I189" s="34"/>
      <c r="J189" s="34"/>
      <c r="K189" s="34"/>
      <c r="L189" s="34"/>
      <c r="M189" s="34"/>
      <c r="N189" s="34"/>
      <c r="O189" s="34"/>
      <c r="P189" s="34"/>
      <c r="Q189" s="34"/>
      <c r="S189" s="141"/>
      <c r="T189" s="80"/>
      <c r="U189" s="43">
        <v>120</v>
      </c>
      <c r="V189" s="186"/>
      <c r="W189" s="187"/>
      <c r="Y189" s="195">
        <f t="shared" si="1"/>
        <v>0</v>
      </c>
      <c r="Z189" s="34"/>
      <c r="AA189" s="34"/>
      <c r="AB189" s="34"/>
      <c r="AC189" s="34"/>
      <c r="AD189" s="34"/>
      <c r="AE189" s="34"/>
      <c r="AF189" s="34"/>
      <c r="AG189" s="34"/>
      <c r="AH189" s="34"/>
      <c r="AI189" s="184"/>
      <c r="AJ189" s="184"/>
      <c r="AK189" s="184"/>
      <c r="AL189" s="141"/>
    </row>
    <row r="190" spans="1:38" ht="12.75" customHeight="1">
      <c r="B190" s="43">
        <v>121</v>
      </c>
      <c r="C190" s="186"/>
      <c r="D190" s="187"/>
      <c r="F190" s="193">
        <f t="shared" si="0"/>
        <v>0</v>
      </c>
      <c r="G190" s="34"/>
      <c r="H190" s="34"/>
      <c r="I190" s="34"/>
      <c r="J190" s="34"/>
      <c r="K190" s="34"/>
      <c r="L190" s="34"/>
      <c r="M190" s="34"/>
      <c r="N190" s="34"/>
      <c r="O190" s="34"/>
      <c r="P190" s="34"/>
      <c r="Q190" s="34"/>
      <c r="S190" s="141"/>
      <c r="U190" s="43">
        <v>121</v>
      </c>
      <c r="V190" s="186"/>
      <c r="W190" s="187"/>
      <c r="Y190" s="195">
        <f t="shared" si="1"/>
        <v>0</v>
      </c>
      <c r="Z190" s="34"/>
      <c r="AA190" s="34"/>
      <c r="AB190" s="34"/>
      <c r="AC190" s="34"/>
      <c r="AD190" s="34"/>
      <c r="AE190" s="34"/>
      <c r="AF190" s="34"/>
      <c r="AG190" s="34"/>
      <c r="AH190" s="34"/>
      <c r="AI190" s="184"/>
      <c r="AJ190" s="184"/>
      <c r="AK190" s="184"/>
      <c r="AL190" s="141"/>
    </row>
    <row r="191" spans="1:38" ht="12.75" customHeight="1">
      <c r="B191" s="43">
        <v>122</v>
      </c>
      <c r="C191" s="186"/>
      <c r="D191" s="187"/>
      <c r="F191" s="193">
        <f t="shared" si="0"/>
        <v>0</v>
      </c>
      <c r="G191" s="34"/>
      <c r="H191" s="34"/>
      <c r="I191" s="34"/>
      <c r="J191" s="34"/>
      <c r="K191" s="34"/>
      <c r="L191" s="34"/>
      <c r="M191" s="34"/>
      <c r="N191" s="34"/>
      <c r="O191" s="34"/>
      <c r="P191" s="34"/>
      <c r="Q191" s="34"/>
      <c r="S191" s="141"/>
      <c r="U191" s="43">
        <v>122</v>
      </c>
      <c r="V191" s="186"/>
      <c r="W191" s="187"/>
      <c r="Y191" s="195">
        <f t="shared" si="1"/>
        <v>0</v>
      </c>
      <c r="Z191" s="34"/>
      <c r="AA191" s="34"/>
      <c r="AB191" s="34"/>
      <c r="AC191" s="34"/>
      <c r="AD191" s="34"/>
      <c r="AE191" s="34"/>
      <c r="AF191" s="34"/>
      <c r="AG191" s="34"/>
      <c r="AH191" s="34"/>
      <c r="AI191" s="184"/>
      <c r="AJ191" s="184"/>
      <c r="AK191" s="184"/>
      <c r="AL191" s="141"/>
    </row>
    <row r="192" spans="1:38" ht="12.75" customHeight="1">
      <c r="B192" s="43">
        <v>123</v>
      </c>
      <c r="C192" s="186"/>
      <c r="D192" s="187"/>
      <c r="F192" s="193">
        <f t="shared" si="0"/>
        <v>0</v>
      </c>
      <c r="G192" s="34"/>
      <c r="H192" s="34"/>
      <c r="I192" s="34"/>
      <c r="J192" s="34"/>
      <c r="K192" s="34"/>
      <c r="L192" s="34"/>
      <c r="M192" s="34"/>
      <c r="N192" s="34"/>
      <c r="O192" s="34"/>
      <c r="P192" s="34"/>
      <c r="Q192" s="34"/>
      <c r="S192" s="141"/>
      <c r="U192" s="43">
        <v>123</v>
      </c>
      <c r="V192" s="186"/>
      <c r="W192" s="187"/>
      <c r="Y192" s="195">
        <f t="shared" si="1"/>
        <v>0</v>
      </c>
      <c r="Z192" s="34"/>
      <c r="AA192" s="34"/>
      <c r="AB192" s="34"/>
      <c r="AC192" s="34"/>
      <c r="AD192" s="34"/>
      <c r="AE192" s="34"/>
      <c r="AF192" s="34"/>
      <c r="AG192" s="34"/>
      <c r="AH192" s="34"/>
      <c r="AI192" s="184"/>
      <c r="AJ192" s="184"/>
      <c r="AK192" s="184"/>
      <c r="AL192" s="141"/>
    </row>
    <row r="193" spans="2:38" ht="12.75" customHeight="1">
      <c r="B193" s="43">
        <v>124</v>
      </c>
      <c r="C193" s="186"/>
      <c r="D193" s="187"/>
      <c r="F193" s="193">
        <f t="shared" si="0"/>
        <v>0</v>
      </c>
      <c r="G193" s="34"/>
      <c r="H193" s="34"/>
      <c r="I193" s="34"/>
      <c r="J193" s="34"/>
      <c r="K193" s="34"/>
      <c r="L193" s="34"/>
      <c r="M193" s="34"/>
      <c r="N193" s="34"/>
      <c r="O193" s="34"/>
      <c r="P193" s="34"/>
      <c r="Q193" s="34"/>
      <c r="S193" s="141"/>
      <c r="U193" s="43">
        <v>124</v>
      </c>
      <c r="V193" s="186"/>
      <c r="W193" s="187"/>
      <c r="Y193" s="195">
        <f t="shared" si="1"/>
        <v>0</v>
      </c>
      <c r="Z193" s="34"/>
      <c r="AA193" s="34"/>
      <c r="AB193" s="34"/>
      <c r="AC193" s="34"/>
      <c r="AD193" s="34"/>
      <c r="AE193" s="34"/>
      <c r="AF193" s="34"/>
      <c r="AG193" s="34"/>
      <c r="AH193" s="34"/>
      <c r="AI193" s="184"/>
      <c r="AJ193" s="184"/>
      <c r="AK193" s="184"/>
      <c r="AL193" s="141"/>
    </row>
    <row r="194" spans="2:38" ht="12.75" customHeight="1">
      <c r="B194" s="43">
        <v>125</v>
      </c>
      <c r="C194" s="186"/>
      <c r="D194" s="187"/>
      <c r="F194" s="193">
        <f t="shared" si="0"/>
        <v>0</v>
      </c>
      <c r="G194" s="34"/>
      <c r="H194" s="34"/>
      <c r="I194" s="34"/>
      <c r="J194" s="34"/>
      <c r="K194" s="34"/>
      <c r="L194" s="34"/>
      <c r="M194" s="34"/>
      <c r="N194" s="34"/>
      <c r="O194" s="34"/>
      <c r="P194" s="34"/>
      <c r="Q194" s="34"/>
      <c r="S194" s="141"/>
      <c r="U194" s="43">
        <v>125</v>
      </c>
      <c r="V194" s="186"/>
      <c r="W194" s="187"/>
      <c r="Y194" s="195">
        <f t="shared" si="1"/>
        <v>0</v>
      </c>
      <c r="Z194" s="34"/>
      <c r="AA194" s="34"/>
      <c r="AB194" s="34"/>
      <c r="AC194" s="34"/>
      <c r="AD194" s="34"/>
      <c r="AE194" s="34"/>
      <c r="AF194" s="34"/>
      <c r="AG194" s="34"/>
      <c r="AH194" s="34"/>
      <c r="AI194" s="184"/>
      <c r="AJ194" s="184"/>
      <c r="AK194" s="184"/>
      <c r="AL194" s="141"/>
    </row>
    <row r="195" spans="2:38" ht="12.75" customHeight="1">
      <c r="B195" s="43">
        <v>126</v>
      </c>
      <c r="C195" s="186"/>
      <c r="D195" s="187"/>
      <c r="F195" s="193">
        <f t="shared" si="0"/>
        <v>0</v>
      </c>
      <c r="G195" s="34"/>
      <c r="H195" s="34"/>
      <c r="I195" s="34"/>
      <c r="J195" s="34"/>
      <c r="K195" s="34"/>
      <c r="L195" s="34"/>
      <c r="M195" s="34"/>
      <c r="N195" s="34"/>
      <c r="O195" s="34"/>
      <c r="P195" s="34"/>
      <c r="Q195" s="34"/>
      <c r="S195" s="141"/>
      <c r="U195" s="43">
        <v>126</v>
      </c>
      <c r="V195" s="186"/>
      <c r="W195" s="187"/>
      <c r="Y195" s="195">
        <f t="shared" si="1"/>
        <v>0</v>
      </c>
      <c r="Z195" s="34"/>
      <c r="AA195" s="34"/>
      <c r="AB195" s="34"/>
      <c r="AC195" s="34"/>
      <c r="AD195" s="34"/>
      <c r="AE195" s="34"/>
      <c r="AF195" s="34"/>
      <c r="AG195" s="34"/>
      <c r="AH195" s="34"/>
      <c r="AI195" s="184"/>
      <c r="AJ195" s="184"/>
      <c r="AK195" s="184"/>
      <c r="AL195" s="141"/>
    </row>
    <row r="196" spans="2:38" ht="12.75" customHeight="1">
      <c r="B196" s="43">
        <v>127</v>
      </c>
      <c r="C196" s="186"/>
      <c r="D196" s="187"/>
      <c r="F196" s="193">
        <f t="shared" si="0"/>
        <v>0</v>
      </c>
      <c r="G196" s="34"/>
      <c r="H196" s="34"/>
      <c r="I196" s="34"/>
      <c r="J196" s="34"/>
      <c r="K196" s="34"/>
      <c r="L196" s="34"/>
      <c r="M196" s="34"/>
      <c r="N196" s="34"/>
      <c r="O196" s="34"/>
      <c r="P196" s="34"/>
      <c r="Q196" s="34"/>
      <c r="S196" s="141"/>
      <c r="U196" s="43">
        <v>127</v>
      </c>
      <c r="V196" s="186"/>
      <c r="W196" s="187"/>
      <c r="Y196" s="195">
        <f t="shared" si="1"/>
        <v>0</v>
      </c>
      <c r="Z196" s="34"/>
      <c r="AA196" s="34"/>
      <c r="AB196" s="34"/>
      <c r="AC196" s="34"/>
      <c r="AD196" s="34"/>
      <c r="AE196" s="34"/>
      <c r="AF196" s="34"/>
      <c r="AG196" s="34"/>
      <c r="AH196" s="34"/>
      <c r="AI196" s="184"/>
      <c r="AJ196" s="184"/>
      <c r="AK196" s="184"/>
      <c r="AL196" s="141"/>
    </row>
    <row r="197" spans="2:38" ht="12.75" customHeight="1">
      <c r="B197" s="43">
        <v>128</v>
      </c>
      <c r="C197" s="186"/>
      <c r="D197" s="187"/>
      <c r="F197" s="193">
        <f t="shared" si="0"/>
        <v>0</v>
      </c>
      <c r="G197" s="34"/>
      <c r="H197" s="34"/>
      <c r="I197" s="34"/>
      <c r="J197" s="34"/>
      <c r="K197" s="34"/>
      <c r="L197" s="34"/>
      <c r="M197" s="34"/>
      <c r="N197" s="34"/>
      <c r="O197" s="34"/>
      <c r="P197" s="34"/>
      <c r="Q197" s="34"/>
      <c r="S197" s="141"/>
      <c r="U197" s="43">
        <v>128</v>
      </c>
      <c r="V197" s="186"/>
      <c r="W197" s="187"/>
      <c r="Y197" s="195">
        <f t="shared" si="1"/>
        <v>0</v>
      </c>
      <c r="Z197" s="34"/>
      <c r="AA197" s="34"/>
      <c r="AB197" s="34"/>
      <c r="AC197" s="34"/>
      <c r="AD197" s="34"/>
      <c r="AE197" s="34"/>
      <c r="AF197" s="34"/>
      <c r="AG197" s="34"/>
      <c r="AH197" s="34"/>
      <c r="AI197" s="184"/>
      <c r="AJ197" s="184"/>
      <c r="AK197" s="184"/>
      <c r="AL197" s="141"/>
    </row>
    <row r="198" spans="2:38" ht="12.75" customHeight="1">
      <c r="B198" s="43">
        <v>129</v>
      </c>
      <c r="C198" s="186"/>
      <c r="D198" s="187"/>
      <c r="F198" s="193">
        <f t="shared" si="0"/>
        <v>0</v>
      </c>
      <c r="G198" s="34"/>
      <c r="H198" s="34"/>
      <c r="I198" s="34"/>
      <c r="J198" s="34"/>
      <c r="K198" s="34"/>
      <c r="L198" s="34"/>
      <c r="M198" s="34"/>
      <c r="N198" s="34"/>
      <c r="O198" s="34"/>
      <c r="P198" s="34"/>
      <c r="Q198" s="34"/>
      <c r="S198" s="141"/>
      <c r="U198" s="43">
        <v>129</v>
      </c>
      <c r="V198" s="186"/>
      <c r="W198" s="187"/>
      <c r="Y198" s="195">
        <f t="shared" si="1"/>
        <v>0</v>
      </c>
      <c r="Z198" s="34"/>
      <c r="AA198" s="34"/>
      <c r="AB198" s="34"/>
      <c r="AC198" s="34"/>
      <c r="AD198" s="34"/>
      <c r="AE198" s="34"/>
      <c r="AF198" s="34"/>
      <c r="AG198" s="34"/>
      <c r="AH198" s="34"/>
      <c r="AI198" s="184"/>
      <c r="AJ198" s="184"/>
      <c r="AK198" s="184"/>
      <c r="AL198" s="141"/>
    </row>
    <row r="199" spans="2:38" ht="12.75" customHeight="1">
      <c r="B199" s="43">
        <v>130</v>
      </c>
      <c r="C199" s="186"/>
      <c r="D199" s="187"/>
      <c r="F199" s="193">
        <f t="shared" si="0"/>
        <v>0</v>
      </c>
      <c r="G199" s="34"/>
      <c r="H199" s="34"/>
      <c r="I199" s="34"/>
      <c r="J199" s="34"/>
      <c r="K199" s="34"/>
      <c r="L199" s="34"/>
      <c r="M199" s="34"/>
      <c r="N199" s="34"/>
      <c r="O199" s="34"/>
      <c r="P199" s="34"/>
      <c r="Q199" s="34"/>
      <c r="S199" s="141"/>
      <c r="U199" s="43">
        <v>130</v>
      </c>
      <c r="V199" s="186"/>
      <c r="W199" s="187"/>
      <c r="Y199" s="195">
        <f t="shared" si="1"/>
        <v>0</v>
      </c>
      <c r="Z199" s="34"/>
      <c r="AA199" s="34"/>
      <c r="AB199" s="34"/>
      <c r="AC199" s="34"/>
      <c r="AD199" s="34"/>
      <c r="AE199" s="34"/>
      <c r="AF199" s="34"/>
      <c r="AG199" s="34"/>
      <c r="AH199" s="34"/>
      <c r="AI199" s="184"/>
      <c r="AJ199" s="184"/>
      <c r="AK199" s="184"/>
      <c r="AL199" s="141"/>
    </row>
    <row r="200" spans="2:38" ht="12.75" customHeight="1">
      <c r="B200" s="43">
        <v>131</v>
      </c>
      <c r="C200" s="186"/>
      <c r="D200" s="187"/>
      <c r="F200" s="193">
        <f t="shared" si="0"/>
        <v>0</v>
      </c>
      <c r="G200" s="34"/>
      <c r="H200" s="34"/>
      <c r="I200" s="34"/>
      <c r="J200" s="34"/>
      <c r="K200" s="34"/>
      <c r="L200" s="34"/>
      <c r="M200" s="34"/>
      <c r="N200" s="34"/>
      <c r="O200" s="34"/>
      <c r="P200" s="34"/>
      <c r="Q200" s="34"/>
      <c r="S200" s="141"/>
      <c r="U200" s="43">
        <v>131</v>
      </c>
      <c r="V200" s="186"/>
      <c r="W200" s="187"/>
      <c r="Y200" s="195">
        <f t="shared" si="1"/>
        <v>0</v>
      </c>
      <c r="Z200" s="34"/>
      <c r="AA200" s="34"/>
      <c r="AB200" s="34"/>
      <c r="AC200" s="34"/>
      <c r="AD200" s="34"/>
      <c r="AE200" s="34"/>
      <c r="AF200" s="34"/>
      <c r="AG200" s="34"/>
      <c r="AH200" s="34"/>
      <c r="AI200" s="184"/>
      <c r="AJ200" s="184"/>
      <c r="AK200" s="184"/>
      <c r="AL200" s="141"/>
    </row>
    <row r="201" spans="2:38" ht="12.75" customHeight="1">
      <c r="B201" s="43">
        <v>132</v>
      </c>
      <c r="C201" s="186"/>
      <c r="D201" s="187"/>
      <c r="F201" s="193">
        <f t="shared" si="0"/>
        <v>0</v>
      </c>
      <c r="G201" s="34"/>
      <c r="H201" s="34"/>
      <c r="I201" s="34"/>
      <c r="J201" s="34"/>
      <c r="K201" s="34"/>
      <c r="L201" s="34"/>
      <c r="M201" s="34"/>
      <c r="N201" s="34"/>
      <c r="O201" s="34"/>
      <c r="P201" s="34"/>
      <c r="Q201" s="34"/>
      <c r="S201" s="141"/>
      <c r="U201" s="43">
        <v>132</v>
      </c>
      <c r="V201" s="186"/>
      <c r="W201" s="187"/>
      <c r="Y201" s="195">
        <f t="shared" si="1"/>
        <v>0</v>
      </c>
      <c r="Z201" s="34"/>
      <c r="AA201" s="34"/>
      <c r="AB201" s="34"/>
      <c r="AC201" s="34"/>
      <c r="AD201" s="34"/>
      <c r="AE201" s="34"/>
      <c r="AF201" s="34"/>
      <c r="AG201" s="34"/>
      <c r="AH201" s="34"/>
      <c r="AI201" s="184"/>
      <c r="AJ201" s="184"/>
      <c r="AK201" s="184"/>
      <c r="AL201" s="141"/>
    </row>
    <row r="202" spans="2:38" ht="12.75" customHeight="1">
      <c r="B202" s="43">
        <v>133</v>
      </c>
      <c r="C202" s="186"/>
      <c r="D202" s="187"/>
      <c r="F202" s="193">
        <f t="shared" si="0"/>
        <v>0</v>
      </c>
      <c r="G202" s="34"/>
      <c r="H202" s="34"/>
      <c r="I202" s="34"/>
      <c r="J202" s="34"/>
      <c r="K202" s="34"/>
      <c r="L202" s="34"/>
      <c r="M202" s="34"/>
      <c r="N202" s="34"/>
      <c r="O202" s="34"/>
      <c r="P202" s="34"/>
      <c r="Q202" s="34"/>
      <c r="S202" s="141"/>
      <c r="U202" s="43">
        <v>133</v>
      </c>
      <c r="V202" s="186"/>
      <c r="W202" s="187"/>
      <c r="Y202" s="195">
        <f t="shared" si="1"/>
        <v>0</v>
      </c>
      <c r="Z202" s="34"/>
      <c r="AA202" s="34"/>
      <c r="AB202" s="34"/>
      <c r="AC202" s="34"/>
      <c r="AD202" s="34"/>
      <c r="AE202" s="34"/>
      <c r="AF202" s="34"/>
      <c r="AG202" s="34"/>
      <c r="AH202" s="34"/>
      <c r="AI202" s="184"/>
      <c r="AJ202" s="184"/>
      <c r="AK202" s="184"/>
      <c r="AL202" s="141"/>
    </row>
    <row r="203" spans="2:38" ht="12.75" customHeight="1">
      <c r="B203" s="43">
        <v>134</v>
      </c>
      <c r="C203" s="186"/>
      <c r="D203" s="187"/>
      <c r="F203" s="193">
        <f t="shared" si="0"/>
        <v>0</v>
      </c>
      <c r="G203" s="34"/>
      <c r="H203" s="34"/>
      <c r="I203" s="34"/>
      <c r="J203" s="34"/>
      <c r="K203" s="34"/>
      <c r="L203" s="34"/>
      <c r="M203" s="34"/>
      <c r="N203" s="34"/>
      <c r="O203" s="34"/>
      <c r="P203" s="34"/>
      <c r="Q203" s="34"/>
      <c r="S203" s="141"/>
      <c r="U203" s="43">
        <v>134</v>
      </c>
      <c r="V203" s="186"/>
      <c r="W203" s="187"/>
      <c r="Y203" s="195">
        <f t="shared" si="1"/>
        <v>0</v>
      </c>
      <c r="Z203" s="34"/>
      <c r="AA203" s="34"/>
      <c r="AB203" s="34"/>
      <c r="AC203" s="34"/>
      <c r="AD203" s="34"/>
      <c r="AE203" s="34"/>
      <c r="AF203" s="34"/>
      <c r="AG203" s="34"/>
      <c r="AH203" s="34"/>
      <c r="AI203" s="184"/>
      <c r="AJ203" s="184"/>
      <c r="AK203" s="184"/>
      <c r="AL203" s="141"/>
    </row>
    <row r="204" spans="2:38" ht="12.75" customHeight="1">
      <c r="B204" s="43">
        <v>135</v>
      </c>
      <c r="C204" s="186"/>
      <c r="D204" s="187"/>
      <c r="F204" s="193">
        <f t="shared" si="0"/>
        <v>0</v>
      </c>
      <c r="G204" s="34"/>
      <c r="H204" s="34"/>
      <c r="I204" s="34"/>
      <c r="J204" s="34"/>
      <c r="K204" s="34"/>
      <c r="L204" s="34"/>
      <c r="M204" s="34"/>
      <c r="N204" s="34"/>
      <c r="O204" s="34"/>
      <c r="P204" s="34"/>
      <c r="Q204" s="34"/>
      <c r="S204" s="141"/>
      <c r="U204" s="43">
        <v>135</v>
      </c>
      <c r="V204" s="186"/>
      <c r="W204" s="187"/>
      <c r="Y204" s="195">
        <f t="shared" si="1"/>
        <v>0</v>
      </c>
      <c r="Z204" s="34"/>
      <c r="AA204" s="34"/>
      <c r="AB204" s="34"/>
      <c r="AC204" s="34"/>
      <c r="AD204" s="34"/>
      <c r="AE204" s="34"/>
      <c r="AF204" s="34"/>
      <c r="AG204" s="34"/>
      <c r="AH204" s="34"/>
      <c r="AI204" s="184"/>
      <c r="AJ204" s="184"/>
      <c r="AK204" s="184"/>
      <c r="AL204" s="141"/>
    </row>
    <row r="205" spans="2:38" ht="12.75" customHeight="1">
      <c r="B205" s="43">
        <v>136</v>
      </c>
      <c r="C205" s="186"/>
      <c r="D205" s="187"/>
      <c r="F205" s="193">
        <f t="shared" si="0"/>
        <v>0</v>
      </c>
      <c r="G205" s="34"/>
      <c r="H205" s="34"/>
      <c r="I205" s="34"/>
      <c r="J205" s="34"/>
      <c r="K205" s="34"/>
      <c r="L205" s="34"/>
      <c r="M205" s="34"/>
      <c r="N205" s="34"/>
      <c r="O205" s="34"/>
      <c r="P205" s="34"/>
      <c r="Q205" s="34"/>
      <c r="S205" s="141"/>
      <c r="U205" s="43">
        <v>136</v>
      </c>
      <c r="V205" s="186"/>
      <c r="W205" s="187"/>
      <c r="Y205" s="195">
        <f t="shared" si="1"/>
        <v>0</v>
      </c>
      <c r="Z205" s="34"/>
      <c r="AA205" s="34"/>
      <c r="AB205" s="34"/>
      <c r="AC205" s="34"/>
      <c r="AD205" s="34"/>
      <c r="AE205" s="34"/>
      <c r="AF205" s="34"/>
      <c r="AG205" s="34"/>
      <c r="AH205" s="34"/>
      <c r="AI205" s="184"/>
      <c r="AJ205" s="184"/>
      <c r="AK205" s="184"/>
      <c r="AL205" s="141"/>
    </row>
    <row r="206" spans="2:38" ht="12.75" customHeight="1">
      <c r="B206" s="43">
        <v>137</v>
      </c>
      <c r="C206" s="186"/>
      <c r="D206" s="187"/>
      <c r="F206" s="193">
        <f t="shared" si="0"/>
        <v>0</v>
      </c>
      <c r="G206" s="34"/>
      <c r="H206" s="34"/>
      <c r="I206" s="34"/>
      <c r="J206" s="34"/>
      <c r="K206" s="34"/>
      <c r="L206" s="34"/>
      <c r="M206" s="34"/>
      <c r="N206" s="34"/>
      <c r="O206" s="34"/>
      <c r="P206" s="34"/>
      <c r="Q206" s="34"/>
      <c r="S206" s="141"/>
      <c r="U206" s="43">
        <v>137</v>
      </c>
      <c r="V206" s="186"/>
      <c r="W206" s="187"/>
      <c r="Y206" s="195">
        <f t="shared" si="1"/>
        <v>0</v>
      </c>
      <c r="Z206" s="34"/>
      <c r="AA206" s="34"/>
      <c r="AB206" s="34"/>
      <c r="AC206" s="34"/>
      <c r="AD206" s="34"/>
      <c r="AE206" s="34"/>
      <c r="AF206" s="34"/>
      <c r="AG206" s="34"/>
      <c r="AH206" s="34"/>
      <c r="AI206" s="184"/>
      <c r="AJ206" s="184"/>
      <c r="AK206" s="184"/>
      <c r="AL206" s="141"/>
    </row>
    <row r="207" spans="2:38" ht="12.75" customHeight="1">
      <c r="B207" s="43">
        <v>138</v>
      </c>
      <c r="C207" s="186"/>
      <c r="D207" s="187"/>
      <c r="F207" s="193">
        <f t="shared" si="0"/>
        <v>0</v>
      </c>
      <c r="G207" s="34"/>
      <c r="H207" s="34"/>
      <c r="I207" s="34"/>
      <c r="J207" s="34"/>
      <c r="K207" s="34"/>
      <c r="L207" s="34"/>
      <c r="M207" s="34"/>
      <c r="N207" s="34"/>
      <c r="O207" s="34"/>
      <c r="P207" s="34"/>
      <c r="Q207" s="34"/>
      <c r="S207" s="141"/>
      <c r="U207" s="43">
        <v>138</v>
      </c>
      <c r="V207" s="186"/>
      <c r="W207" s="187"/>
      <c r="Y207" s="195">
        <f t="shared" si="1"/>
        <v>0</v>
      </c>
      <c r="Z207" s="34"/>
      <c r="AA207" s="34"/>
      <c r="AB207" s="34"/>
      <c r="AC207" s="34"/>
      <c r="AD207" s="34"/>
      <c r="AE207" s="34"/>
      <c r="AF207" s="34"/>
      <c r="AG207" s="34"/>
      <c r="AH207" s="34"/>
      <c r="AI207" s="184"/>
      <c r="AJ207" s="184"/>
      <c r="AK207" s="184"/>
      <c r="AL207" s="141"/>
    </row>
    <row r="208" spans="2:38" ht="12.75" customHeight="1">
      <c r="B208" s="43">
        <v>139</v>
      </c>
      <c r="C208" s="186"/>
      <c r="D208" s="187"/>
      <c r="F208" s="193">
        <f t="shared" si="0"/>
        <v>0</v>
      </c>
      <c r="G208" s="34"/>
      <c r="H208" s="34"/>
      <c r="I208" s="34"/>
      <c r="J208" s="34"/>
      <c r="K208" s="34"/>
      <c r="L208" s="34"/>
      <c r="M208" s="34"/>
      <c r="N208" s="34"/>
      <c r="O208" s="34"/>
      <c r="P208" s="34"/>
      <c r="Q208" s="34"/>
      <c r="S208" s="141"/>
      <c r="U208" s="43">
        <v>139</v>
      </c>
      <c r="V208" s="186"/>
      <c r="W208" s="187"/>
      <c r="Y208" s="195">
        <f t="shared" si="1"/>
        <v>0</v>
      </c>
      <c r="Z208" s="34"/>
      <c r="AA208" s="34"/>
      <c r="AB208" s="34"/>
      <c r="AC208" s="34"/>
      <c r="AD208" s="34"/>
      <c r="AE208" s="34"/>
      <c r="AF208" s="34"/>
      <c r="AG208" s="34"/>
      <c r="AH208" s="34"/>
      <c r="AI208" s="184"/>
      <c r="AJ208" s="184"/>
      <c r="AK208" s="184"/>
      <c r="AL208" s="141"/>
    </row>
    <row r="209" spans="2:38" ht="12.75" customHeight="1">
      <c r="B209" s="43">
        <v>140</v>
      </c>
      <c r="C209" s="186"/>
      <c r="D209" s="187"/>
      <c r="F209" s="193">
        <f t="shared" si="0"/>
        <v>0</v>
      </c>
      <c r="G209" s="34"/>
      <c r="H209" s="34"/>
      <c r="I209" s="34"/>
      <c r="J209" s="34"/>
      <c r="K209" s="34"/>
      <c r="L209" s="34"/>
      <c r="M209" s="34"/>
      <c r="N209" s="34"/>
      <c r="O209" s="34"/>
      <c r="P209" s="34"/>
      <c r="Q209" s="34"/>
      <c r="S209" s="141"/>
      <c r="U209" s="43">
        <v>140</v>
      </c>
      <c r="V209" s="186"/>
      <c r="W209" s="187"/>
      <c r="Y209" s="195">
        <f t="shared" si="1"/>
        <v>0</v>
      </c>
      <c r="Z209" s="34"/>
      <c r="AA209" s="34"/>
      <c r="AB209" s="34"/>
      <c r="AC209" s="34"/>
      <c r="AD209" s="34"/>
      <c r="AE209" s="34"/>
      <c r="AF209" s="34"/>
      <c r="AG209" s="34"/>
      <c r="AH209" s="34"/>
      <c r="AI209" s="184"/>
      <c r="AJ209" s="184"/>
      <c r="AK209" s="184"/>
      <c r="AL209" s="141"/>
    </row>
    <row r="210" spans="2:38" ht="12.75" customHeight="1">
      <c r="B210" s="43">
        <v>141</v>
      </c>
      <c r="C210" s="186"/>
      <c r="D210" s="187"/>
      <c r="F210" s="193">
        <f t="shared" si="0"/>
        <v>0</v>
      </c>
      <c r="G210" s="34"/>
      <c r="H210" s="34"/>
      <c r="I210" s="34"/>
      <c r="J210" s="34"/>
      <c r="K210" s="34"/>
      <c r="L210" s="34"/>
      <c r="M210" s="34"/>
      <c r="N210" s="34"/>
      <c r="O210" s="34"/>
      <c r="P210" s="34"/>
      <c r="Q210" s="34"/>
      <c r="S210" s="141"/>
      <c r="U210" s="43">
        <v>141</v>
      </c>
      <c r="V210" s="186"/>
      <c r="W210" s="187"/>
      <c r="Y210" s="195">
        <f t="shared" si="1"/>
        <v>0</v>
      </c>
      <c r="Z210" s="34"/>
      <c r="AA210" s="34"/>
      <c r="AB210" s="34"/>
      <c r="AC210" s="34"/>
      <c r="AD210" s="34"/>
      <c r="AE210" s="34"/>
      <c r="AF210" s="34"/>
      <c r="AG210" s="34"/>
      <c r="AH210" s="34"/>
      <c r="AI210" s="184"/>
      <c r="AJ210" s="184"/>
      <c r="AK210" s="184"/>
      <c r="AL210" s="141"/>
    </row>
    <row r="211" spans="2:38" ht="12.75" customHeight="1">
      <c r="B211" s="43">
        <v>142</v>
      </c>
      <c r="C211" s="186"/>
      <c r="D211" s="187"/>
      <c r="F211" s="193">
        <f t="shared" si="0"/>
        <v>0</v>
      </c>
      <c r="G211" s="34"/>
      <c r="H211" s="34"/>
      <c r="I211" s="34"/>
      <c r="J211" s="34"/>
      <c r="K211" s="34"/>
      <c r="L211" s="34"/>
      <c r="M211" s="34"/>
      <c r="N211" s="34"/>
      <c r="O211" s="34"/>
      <c r="P211" s="34"/>
      <c r="Q211" s="34"/>
      <c r="S211" s="141"/>
      <c r="U211" s="43">
        <v>142</v>
      </c>
      <c r="V211" s="186"/>
      <c r="W211" s="187"/>
      <c r="Y211" s="195">
        <f t="shared" si="1"/>
        <v>0</v>
      </c>
      <c r="Z211" s="34"/>
      <c r="AA211" s="34"/>
      <c r="AB211" s="34"/>
      <c r="AC211" s="34"/>
      <c r="AD211" s="34"/>
      <c r="AE211" s="34"/>
      <c r="AF211" s="34"/>
      <c r="AG211" s="34"/>
      <c r="AH211" s="34"/>
      <c r="AI211" s="184"/>
      <c r="AJ211" s="184"/>
      <c r="AK211" s="184"/>
      <c r="AL211" s="141"/>
    </row>
    <row r="212" spans="2:38" ht="12.75" customHeight="1">
      <c r="B212" s="43">
        <v>143</v>
      </c>
      <c r="C212" s="186"/>
      <c r="D212" s="187"/>
      <c r="F212" s="193">
        <f t="shared" si="0"/>
        <v>0</v>
      </c>
      <c r="G212" s="34"/>
      <c r="H212" s="34"/>
      <c r="I212" s="34"/>
      <c r="J212" s="34"/>
      <c r="K212" s="34"/>
      <c r="L212" s="34"/>
      <c r="M212" s="34"/>
      <c r="N212" s="34"/>
      <c r="O212" s="34"/>
      <c r="P212" s="34"/>
      <c r="Q212" s="34"/>
      <c r="S212" s="141"/>
      <c r="U212" s="43">
        <v>143</v>
      </c>
      <c r="V212" s="186"/>
      <c r="W212" s="187"/>
      <c r="Y212" s="195">
        <f t="shared" si="1"/>
        <v>0</v>
      </c>
      <c r="Z212" s="34"/>
      <c r="AA212" s="34"/>
      <c r="AB212" s="34"/>
      <c r="AC212" s="34"/>
      <c r="AD212" s="34"/>
      <c r="AE212" s="34"/>
      <c r="AF212" s="34"/>
      <c r="AG212" s="34"/>
      <c r="AH212" s="34"/>
      <c r="AI212" s="184"/>
      <c r="AJ212" s="184"/>
      <c r="AK212" s="184"/>
      <c r="AL212" s="141"/>
    </row>
    <row r="213" spans="2:38" ht="12.75" customHeight="1">
      <c r="B213" s="43">
        <v>144</v>
      </c>
      <c r="C213" s="186"/>
      <c r="D213" s="187"/>
      <c r="F213" s="193">
        <f t="shared" si="0"/>
        <v>0</v>
      </c>
      <c r="G213" s="34"/>
      <c r="H213" s="34"/>
      <c r="I213" s="34"/>
      <c r="J213" s="34"/>
      <c r="K213" s="34"/>
      <c r="L213" s="34"/>
      <c r="M213" s="34"/>
      <c r="N213" s="34"/>
      <c r="O213" s="34"/>
      <c r="P213" s="34"/>
      <c r="Q213" s="34"/>
      <c r="S213" s="141"/>
      <c r="U213" s="43">
        <v>144</v>
      </c>
      <c r="V213" s="186"/>
      <c r="W213" s="187"/>
      <c r="Y213" s="195">
        <f t="shared" si="1"/>
        <v>0</v>
      </c>
      <c r="Z213" s="34"/>
      <c r="AA213" s="34"/>
      <c r="AB213" s="34"/>
      <c r="AC213" s="34"/>
      <c r="AD213" s="34"/>
      <c r="AE213" s="34"/>
      <c r="AF213" s="34"/>
      <c r="AG213" s="34"/>
      <c r="AH213" s="34"/>
      <c r="AI213" s="184"/>
      <c r="AJ213" s="184"/>
      <c r="AK213" s="184"/>
      <c r="AL213" s="141"/>
    </row>
    <row r="214" spans="2:38" ht="12.75" customHeight="1">
      <c r="B214" s="43">
        <v>145</v>
      </c>
      <c r="C214" s="186"/>
      <c r="D214" s="187"/>
      <c r="F214" s="193">
        <f t="shared" si="0"/>
        <v>0</v>
      </c>
      <c r="G214" s="34"/>
      <c r="H214" s="34"/>
      <c r="I214" s="34"/>
      <c r="J214" s="34"/>
      <c r="K214" s="34"/>
      <c r="L214" s="34"/>
      <c r="M214" s="34"/>
      <c r="N214" s="34"/>
      <c r="O214" s="34"/>
      <c r="P214" s="34"/>
      <c r="Q214" s="34"/>
      <c r="S214" s="141"/>
      <c r="U214" s="43">
        <v>145</v>
      </c>
      <c r="V214" s="186"/>
      <c r="W214" s="187"/>
      <c r="Y214" s="195">
        <f t="shared" si="1"/>
        <v>0</v>
      </c>
      <c r="Z214" s="34"/>
      <c r="AA214" s="34"/>
      <c r="AB214" s="34"/>
      <c r="AC214" s="34"/>
      <c r="AD214" s="34"/>
      <c r="AE214" s="34"/>
      <c r="AF214" s="34"/>
      <c r="AG214" s="34"/>
      <c r="AH214" s="34"/>
      <c r="AI214" s="184"/>
      <c r="AJ214" s="184"/>
      <c r="AK214" s="184"/>
      <c r="AL214" s="141"/>
    </row>
    <row r="215" spans="2:38" ht="12.75" customHeight="1">
      <c r="B215" s="43">
        <v>146</v>
      </c>
      <c r="C215" s="186"/>
      <c r="D215" s="187"/>
      <c r="F215" s="193">
        <f t="shared" si="0"/>
        <v>0</v>
      </c>
      <c r="G215" s="34"/>
      <c r="H215" s="34"/>
      <c r="I215" s="34"/>
      <c r="J215" s="34"/>
      <c r="K215" s="34"/>
      <c r="L215" s="34"/>
      <c r="M215" s="34"/>
      <c r="N215" s="34"/>
      <c r="O215" s="34"/>
      <c r="P215" s="34"/>
      <c r="Q215" s="34"/>
      <c r="S215" s="141"/>
      <c r="U215" s="43">
        <v>146</v>
      </c>
      <c r="V215" s="186"/>
      <c r="W215" s="187"/>
      <c r="Y215" s="195">
        <f t="shared" si="1"/>
        <v>0</v>
      </c>
      <c r="Z215" s="34"/>
      <c r="AA215" s="34"/>
      <c r="AB215" s="34"/>
      <c r="AC215" s="34"/>
      <c r="AD215" s="34"/>
      <c r="AE215" s="34"/>
      <c r="AF215" s="34"/>
      <c r="AG215" s="34"/>
      <c r="AH215" s="34"/>
      <c r="AI215" s="184"/>
      <c r="AJ215" s="184"/>
      <c r="AK215" s="184"/>
      <c r="AL215" s="141"/>
    </row>
    <row r="216" spans="2:38" ht="12.75" customHeight="1">
      <c r="B216" s="43">
        <v>147</v>
      </c>
      <c r="C216" s="186"/>
      <c r="D216" s="187"/>
      <c r="F216" s="193">
        <f t="shared" si="0"/>
        <v>0</v>
      </c>
      <c r="G216" s="34"/>
      <c r="H216" s="34"/>
      <c r="I216" s="34"/>
      <c r="J216" s="34"/>
      <c r="K216" s="34"/>
      <c r="L216" s="34"/>
      <c r="M216" s="34"/>
      <c r="N216" s="34"/>
      <c r="O216" s="34"/>
      <c r="P216" s="34"/>
      <c r="Q216" s="34"/>
      <c r="S216" s="141"/>
      <c r="U216" s="43">
        <v>147</v>
      </c>
      <c r="V216" s="186"/>
      <c r="W216" s="187"/>
      <c r="Y216" s="195">
        <f t="shared" si="1"/>
        <v>0</v>
      </c>
      <c r="Z216" s="34"/>
      <c r="AA216" s="34"/>
      <c r="AB216" s="34"/>
      <c r="AC216" s="34"/>
      <c r="AD216" s="34"/>
      <c r="AE216" s="34"/>
      <c r="AF216" s="34"/>
      <c r="AG216" s="34"/>
      <c r="AH216" s="34"/>
      <c r="AI216" s="184"/>
      <c r="AJ216" s="184"/>
      <c r="AK216" s="184"/>
      <c r="AL216" s="141"/>
    </row>
    <row r="217" spans="2:38" ht="12.75" customHeight="1">
      <c r="B217" s="43">
        <v>148</v>
      </c>
      <c r="C217" s="186"/>
      <c r="D217" s="187"/>
      <c r="F217" s="193">
        <f t="shared" si="0"/>
        <v>0</v>
      </c>
      <c r="G217" s="34"/>
      <c r="H217" s="34"/>
      <c r="I217" s="34"/>
      <c r="J217" s="34"/>
      <c r="K217" s="34"/>
      <c r="L217" s="34"/>
      <c r="M217" s="34"/>
      <c r="N217" s="34"/>
      <c r="O217" s="34"/>
      <c r="P217" s="34"/>
      <c r="Q217" s="34"/>
      <c r="S217" s="141"/>
      <c r="U217" s="43">
        <v>148</v>
      </c>
      <c r="V217" s="186"/>
      <c r="W217" s="187"/>
      <c r="Y217" s="195">
        <f t="shared" si="1"/>
        <v>0</v>
      </c>
      <c r="Z217" s="34"/>
      <c r="AA217" s="34"/>
      <c r="AB217" s="34"/>
      <c r="AC217" s="34"/>
      <c r="AD217" s="34"/>
      <c r="AE217" s="34"/>
      <c r="AF217" s="34"/>
      <c r="AG217" s="34"/>
      <c r="AH217" s="34"/>
      <c r="AI217" s="184"/>
      <c r="AJ217" s="184"/>
      <c r="AK217" s="184"/>
      <c r="AL217" s="141"/>
    </row>
    <row r="218" spans="2:38" ht="12.75" customHeight="1">
      <c r="B218" s="43">
        <v>149</v>
      </c>
      <c r="C218" s="186"/>
      <c r="D218" s="187"/>
      <c r="F218" s="193">
        <f t="shared" si="0"/>
        <v>0</v>
      </c>
      <c r="G218" s="34"/>
      <c r="H218" s="34"/>
      <c r="I218" s="34"/>
      <c r="J218" s="34"/>
      <c r="K218" s="34"/>
      <c r="L218" s="34"/>
      <c r="M218" s="34"/>
      <c r="N218" s="34"/>
      <c r="O218" s="34"/>
      <c r="P218" s="34"/>
      <c r="Q218" s="34"/>
      <c r="S218" s="141"/>
      <c r="U218" s="43">
        <v>149</v>
      </c>
      <c r="V218" s="186"/>
      <c r="W218" s="187"/>
      <c r="Y218" s="195">
        <f t="shared" si="1"/>
        <v>0</v>
      </c>
      <c r="Z218" s="34"/>
      <c r="AA218" s="34"/>
      <c r="AB218" s="34"/>
      <c r="AC218" s="34"/>
      <c r="AD218" s="34"/>
      <c r="AE218" s="34"/>
      <c r="AF218" s="34"/>
      <c r="AG218" s="34"/>
      <c r="AH218" s="34"/>
      <c r="AI218" s="184"/>
      <c r="AJ218" s="184"/>
      <c r="AK218" s="184"/>
      <c r="AL218" s="141"/>
    </row>
    <row r="219" spans="2:38" ht="12.75" customHeight="1">
      <c r="B219" s="43">
        <v>150</v>
      </c>
      <c r="C219" s="186"/>
      <c r="D219" s="187"/>
      <c r="F219" s="193">
        <f t="shared" si="0"/>
        <v>0</v>
      </c>
      <c r="G219" s="34"/>
      <c r="H219" s="34"/>
      <c r="I219" s="34"/>
      <c r="J219" s="34"/>
      <c r="K219" s="34"/>
      <c r="L219" s="34"/>
      <c r="M219" s="34"/>
      <c r="N219" s="34"/>
      <c r="O219" s="34"/>
      <c r="P219" s="34"/>
      <c r="Q219" s="34"/>
      <c r="S219" s="141"/>
      <c r="U219" s="43">
        <v>150</v>
      </c>
      <c r="V219" s="186"/>
      <c r="W219" s="187"/>
      <c r="Y219" s="195">
        <f t="shared" si="1"/>
        <v>0</v>
      </c>
      <c r="Z219" s="34"/>
      <c r="AA219" s="34"/>
      <c r="AB219" s="34"/>
      <c r="AC219" s="34"/>
      <c r="AD219" s="34"/>
      <c r="AE219" s="34"/>
      <c r="AF219" s="34"/>
      <c r="AG219" s="34"/>
      <c r="AH219" s="34"/>
      <c r="AI219" s="184"/>
      <c r="AJ219" s="184"/>
      <c r="AK219" s="184"/>
      <c r="AL219" s="141"/>
    </row>
    <row r="220" spans="2:38" ht="12.75" customHeight="1">
      <c r="B220" s="43">
        <v>151</v>
      </c>
      <c r="C220" s="186"/>
      <c r="D220" s="187"/>
      <c r="F220" s="193">
        <f t="shared" si="0"/>
        <v>0</v>
      </c>
      <c r="G220" s="34"/>
      <c r="H220" s="34"/>
      <c r="I220" s="34"/>
      <c r="J220" s="34"/>
      <c r="K220" s="34"/>
      <c r="L220" s="34"/>
      <c r="M220" s="34"/>
      <c r="N220" s="34"/>
      <c r="O220" s="34"/>
      <c r="P220" s="34"/>
      <c r="Q220" s="34"/>
      <c r="S220" s="141"/>
      <c r="U220" s="43">
        <v>151</v>
      </c>
      <c r="V220" s="186"/>
      <c r="W220" s="187"/>
      <c r="Y220" s="195">
        <f t="shared" si="1"/>
        <v>0</v>
      </c>
      <c r="Z220" s="34"/>
      <c r="AA220" s="34"/>
      <c r="AB220" s="34"/>
      <c r="AC220" s="34"/>
      <c r="AD220" s="34"/>
      <c r="AE220" s="34"/>
      <c r="AF220" s="34"/>
      <c r="AG220" s="34"/>
      <c r="AH220" s="34"/>
      <c r="AI220" s="184"/>
      <c r="AJ220" s="184"/>
      <c r="AK220" s="184"/>
      <c r="AL220" s="141"/>
    </row>
    <row r="221" spans="2:38" ht="12.75" customHeight="1">
      <c r="B221" s="43">
        <v>152</v>
      </c>
      <c r="C221" s="186"/>
      <c r="D221" s="187"/>
      <c r="F221" s="193">
        <f t="shared" si="0"/>
        <v>0</v>
      </c>
      <c r="G221" s="34"/>
      <c r="H221" s="34"/>
      <c r="I221" s="34"/>
      <c r="J221" s="34"/>
      <c r="K221" s="34"/>
      <c r="L221" s="34"/>
      <c r="M221" s="34"/>
      <c r="N221" s="34"/>
      <c r="O221" s="34"/>
      <c r="P221" s="34"/>
      <c r="Q221" s="34"/>
      <c r="S221" s="141"/>
      <c r="U221" s="43">
        <v>152</v>
      </c>
      <c r="V221" s="186"/>
      <c r="W221" s="187"/>
      <c r="Y221" s="195">
        <f t="shared" si="1"/>
        <v>0</v>
      </c>
      <c r="Z221" s="34"/>
      <c r="AA221" s="34"/>
      <c r="AB221" s="34"/>
      <c r="AC221" s="34"/>
      <c r="AD221" s="34"/>
      <c r="AE221" s="34"/>
      <c r="AF221" s="34"/>
      <c r="AG221" s="34"/>
      <c r="AH221" s="34"/>
      <c r="AI221" s="184"/>
      <c r="AJ221" s="184"/>
      <c r="AK221" s="184"/>
      <c r="AL221" s="141"/>
    </row>
    <row r="222" spans="2:38" ht="12.75" customHeight="1">
      <c r="B222" s="43">
        <v>153</v>
      </c>
      <c r="C222" s="186"/>
      <c r="D222" s="187"/>
      <c r="F222" s="193">
        <f t="shared" si="0"/>
        <v>0</v>
      </c>
      <c r="G222" s="34"/>
      <c r="H222" s="34"/>
      <c r="I222" s="34"/>
      <c r="J222" s="34"/>
      <c r="K222" s="34"/>
      <c r="L222" s="34"/>
      <c r="M222" s="34"/>
      <c r="N222" s="34"/>
      <c r="O222" s="34"/>
      <c r="P222" s="34"/>
      <c r="Q222" s="34"/>
      <c r="S222" s="141"/>
      <c r="U222" s="43">
        <v>153</v>
      </c>
      <c r="V222" s="186"/>
      <c r="W222" s="187"/>
      <c r="Y222" s="195">
        <f t="shared" si="1"/>
        <v>0</v>
      </c>
      <c r="Z222" s="34"/>
      <c r="AA222" s="34"/>
      <c r="AB222" s="34"/>
      <c r="AC222" s="34"/>
      <c r="AD222" s="34"/>
      <c r="AE222" s="34"/>
      <c r="AF222" s="34"/>
      <c r="AG222" s="34"/>
      <c r="AH222" s="34"/>
      <c r="AI222" s="184"/>
      <c r="AJ222" s="184"/>
      <c r="AK222" s="184"/>
      <c r="AL222" s="141"/>
    </row>
    <row r="223" spans="2:38" ht="12.75" customHeight="1">
      <c r="B223" s="43">
        <v>154</v>
      </c>
      <c r="C223" s="186"/>
      <c r="D223" s="187"/>
      <c r="F223" s="193">
        <f t="shared" si="0"/>
        <v>0</v>
      </c>
      <c r="G223" s="34"/>
      <c r="H223" s="34"/>
      <c r="I223" s="34"/>
      <c r="J223" s="34"/>
      <c r="K223" s="34"/>
      <c r="L223" s="34"/>
      <c r="M223" s="34"/>
      <c r="N223" s="34"/>
      <c r="O223" s="34"/>
      <c r="P223" s="34"/>
      <c r="Q223" s="34"/>
      <c r="S223" s="141"/>
      <c r="U223" s="43">
        <v>154</v>
      </c>
      <c r="V223" s="186"/>
      <c r="W223" s="187"/>
      <c r="Y223" s="195">
        <f t="shared" si="1"/>
        <v>0</v>
      </c>
      <c r="Z223" s="34"/>
      <c r="AA223" s="34"/>
      <c r="AB223" s="34"/>
      <c r="AC223" s="34"/>
      <c r="AD223" s="34"/>
      <c r="AE223" s="34"/>
      <c r="AF223" s="34"/>
      <c r="AG223" s="34"/>
      <c r="AH223" s="34"/>
      <c r="AI223" s="184"/>
      <c r="AJ223" s="184"/>
      <c r="AK223" s="184"/>
      <c r="AL223" s="141"/>
    </row>
    <row r="224" spans="2:38" ht="12.75" customHeight="1">
      <c r="B224" s="43">
        <v>155</v>
      </c>
      <c r="C224" s="186"/>
      <c r="D224" s="187"/>
      <c r="F224" s="193">
        <f t="shared" si="0"/>
        <v>0</v>
      </c>
      <c r="G224" s="34"/>
      <c r="H224" s="34"/>
      <c r="I224" s="34"/>
      <c r="J224" s="34"/>
      <c r="K224" s="34"/>
      <c r="L224" s="34"/>
      <c r="M224" s="34"/>
      <c r="N224" s="34"/>
      <c r="O224" s="34"/>
      <c r="P224" s="34"/>
      <c r="Q224" s="34"/>
      <c r="S224" s="141"/>
      <c r="U224" s="43">
        <v>155</v>
      </c>
      <c r="V224" s="186"/>
      <c r="W224" s="187"/>
      <c r="Y224" s="195">
        <f t="shared" si="1"/>
        <v>0</v>
      </c>
      <c r="Z224" s="34"/>
      <c r="AA224" s="34"/>
      <c r="AB224" s="34"/>
      <c r="AC224" s="34"/>
      <c r="AD224" s="34"/>
      <c r="AE224" s="34"/>
      <c r="AF224" s="34"/>
      <c r="AG224" s="34"/>
      <c r="AH224" s="34"/>
      <c r="AI224" s="184"/>
      <c r="AJ224" s="184"/>
      <c r="AK224" s="184"/>
      <c r="AL224" s="141"/>
    </row>
    <row r="225" spans="2:38" ht="12.75" customHeight="1">
      <c r="B225" s="43">
        <v>156</v>
      </c>
      <c r="C225" s="186"/>
      <c r="D225" s="187"/>
      <c r="F225" s="193">
        <f t="shared" si="0"/>
        <v>0</v>
      </c>
      <c r="G225" s="34"/>
      <c r="H225" s="34"/>
      <c r="I225" s="34"/>
      <c r="J225" s="34"/>
      <c r="K225" s="34"/>
      <c r="L225" s="34"/>
      <c r="M225" s="34"/>
      <c r="N225" s="34"/>
      <c r="O225" s="34"/>
      <c r="P225" s="34"/>
      <c r="Q225" s="34"/>
      <c r="S225" s="141"/>
      <c r="U225" s="43">
        <v>156</v>
      </c>
      <c r="V225" s="186"/>
      <c r="W225" s="187"/>
      <c r="Y225" s="195">
        <f t="shared" si="1"/>
        <v>0</v>
      </c>
      <c r="Z225" s="34"/>
      <c r="AA225" s="34"/>
      <c r="AB225" s="34"/>
      <c r="AC225" s="34"/>
      <c r="AD225" s="34"/>
      <c r="AE225" s="34"/>
      <c r="AF225" s="34"/>
      <c r="AG225" s="34"/>
      <c r="AH225" s="34"/>
      <c r="AI225" s="184"/>
      <c r="AJ225" s="184"/>
      <c r="AK225" s="184"/>
      <c r="AL225" s="141"/>
    </row>
    <row r="226" spans="2:38" ht="12.75" customHeight="1">
      <c r="B226" s="43">
        <v>157</v>
      </c>
      <c r="C226" s="186"/>
      <c r="D226" s="187"/>
      <c r="F226" s="193">
        <f t="shared" si="0"/>
        <v>0</v>
      </c>
      <c r="G226" s="34"/>
      <c r="H226" s="34"/>
      <c r="I226" s="34"/>
      <c r="J226" s="34"/>
      <c r="K226" s="34"/>
      <c r="L226" s="34"/>
      <c r="M226" s="34"/>
      <c r="N226" s="34"/>
      <c r="O226" s="34"/>
      <c r="P226" s="34"/>
      <c r="Q226" s="34"/>
      <c r="S226" s="141"/>
      <c r="U226" s="43">
        <v>157</v>
      </c>
      <c r="V226" s="186"/>
      <c r="W226" s="187"/>
      <c r="Y226" s="195">
        <f t="shared" si="1"/>
        <v>0</v>
      </c>
      <c r="Z226" s="34"/>
      <c r="AA226" s="34"/>
      <c r="AB226" s="34"/>
      <c r="AC226" s="34"/>
      <c r="AD226" s="34"/>
      <c r="AE226" s="34"/>
      <c r="AF226" s="34"/>
      <c r="AG226" s="34"/>
      <c r="AH226" s="34"/>
      <c r="AI226" s="184"/>
      <c r="AJ226" s="184"/>
      <c r="AK226" s="184"/>
      <c r="AL226" s="141"/>
    </row>
    <row r="227" spans="2:38" ht="12.75" customHeight="1">
      <c r="B227" s="43">
        <v>158</v>
      </c>
      <c r="C227" s="186"/>
      <c r="D227" s="187"/>
      <c r="F227" s="193">
        <f t="shared" si="0"/>
        <v>0</v>
      </c>
      <c r="G227" s="34"/>
      <c r="H227" s="34"/>
      <c r="I227" s="34"/>
      <c r="J227" s="34"/>
      <c r="K227" s="34"/>
      <c r="L227" s="34"/>
      <c r="M227" s="34"/>
      <c r="N227" s="34"/>
      <c r="O227" s="34"/>
      <c r="P227" s="34"/>
      <c r="Q227" s="34"/>
      <c r="S227" s="141"/>
      <c r="U227" s="43">
        <v>158</v>
      </c>
      <c r="V227" s="186"/>
      <c r="W227" s="187"/>
      <c r="Y227" s="195">
        <f t="shared" si="1"/>
        <v>0</v>
      </c>
      <c r="Z227" s="34"/>
      <c r="AA227" s="34"/>
      <c r="AB227" s="34"/>
      <c r="AC227" s="34"/>
      <c r="AD227" s="34"/>
      <c r="AE227" s="34"/>
      <c r="AF227" s="34"/>
      <c r="AG227" s="34"/>
      <c r="AH227" s="34"/>
      <c r="AI227" s="184"/>
      <c r="AJ227" s="184"/>
      <c r="AK227" s="184"/>
      <c r="AL227" s="141"/>
    </row>
    <row r="228" spans="2:38" ht="12.75" customHeight="1">
      <c r="B228" s="43">
        <v>159</v>
      </c>
      <c r="C228" s="186"/>
      <c r="D228" s="187"/>
      <c r="F228" s="193">
        <f t="shared" si="0"/>
        <v>0</v>
      </c>
      <c r="G228" s="34"/>
      <c r="H228" s="34"/>
      <c r="I228" s="34"/>
      <c r="J228" s="34"/>
      <c r="K228" s="34"/>
      <c r="L228" s="34"/>
      <c r="M228" s="34"/>
      <c r="N228" s="34"/>
      <c r="O228" s="34"/>
      <c r="P228" s="34"/>
      <c r="Q228" s="34"/>
      <c r="S228" s="141"/>
      <c r="U228" s="43">
        <v>159</v>
      </c>
      <c r="V228" s="186"/>
      <c r="W228" s="187"/>
      <c r="Y228" s="195">
        <f t="shared" si="1"/>
        <v>0</v>
      </c>
      <c r="Z228" s="34"/>
      <c r="AA228" s="34"/>
      <c r="AB228" s="34"/>
      <c r="AC228" s="34"/>
      <c r="AD228" s="34"/>
      <c r="AE228" s="34"/>
      <c r="AF228" s="34"/>
      <c r="AG228" s="34"/>
      <c r="AH228" s="34"/>
      <c r="AI228" s="184"/>
      <c r="AJ228" s="184"/>
      <c r="AK228" s="184"/>
      <c r="AL228" s="141"/>
    </row>
    <row r="229" spans="2:38" ht="12.75" customHeight="1">
      <c r="B229" s="43">
        <v>160</v>
      </c>
      <c r="C229" s="186"/>
      <c r="D229" s="187"/>
      <c r="F229" s="193">
        <f t="shared" si="0"/>
        <v>0</v>
      </c>
      <c r="G229" s="34"/>
      <c r="H229" s="34"/>
      <c r="I229" s="34"/>
      <c r="J229" s="34"/>
      <c r="K229" s="34"/>
      <c r="L229" s="34"/>
      <c r="M229" s="34"/>
      <c r="N229" s="34"/>
      <c r="O229" s="34"/>
      <c r="P229" s="34"/>
      <c r="Q229" s="34"/>
      <c r="S229" s="141"/>
      <c r="U229" s="43">
        <v>160</v>
      </c>
      <c r="V229" s="186"/>
      <c r="W229" s="187"/>
      <c r="Y229" s="195">
        <f t="shared" si="1"/>
        <v>0</v>
      </c>
      <c r="Z229" s="34"/>
      <c r="AA229" s="34"/>
      <c r="AB229" s="34"/>
      <c r="AC229" s="34"/>
      <c r="AD229" s="34"/>
      <c r="AE229" s="34"/>
      <c r="AF229" s="34"/>
      <c r="AG229" s="34"/>
      <c r="AH229" s="34"/>
      <c r="AI229" s="184"/>
      <c r="AJ229" s="184"/>
      <c r="AK229" s="184"/>
      <c r="AL229" s="141"/>
    </row>
    <row r="230" spans="2:38" ht="12.75" customHeight="1">
      <c r="B230" s="43">
        <v>161</v>
      </c>
      <c r="C230" s="186"/>
      <c r="D230" s="187"/>
      <c r="F230" s="193">
        <f t="shared" si="0"/>
        <v>0</v>
      </c>
      <c r="G230" s="34"/>
      <c r="H230" s="34"/>
      <c r="I230" s="34"/>
      <c r="J230" s="34"/>
      <c r="K230" s="34"/>
      <c r="L230" s="34"/>
      <c r="M230" s="34"/>
      <c r="N230" s="34"/>
      <c r="O230" s="34"/>
      <c r="P230" s="34"/>
      <c r="Q230" s="34"/>
      <c r="S230" s="141"/>
      <c r="U230" s="43">
        <v>161</v>
      </c>
      <c r="V230" s="186"/>
      <c r="W230" s="187"/>
      <c r="Y230" s="195">
        <f t="shared" si="1"/>
        <v>0</v>
      </c>
      <c r="Z230" s="34"/>
      <c r="AA230" s="34"/>
      <c r="AB230" s="34"/>
      <c r="AC230" s="34"/>
      <c r="AD230" s="34"/>
      <c r="AE230" s="34"/>
      <c r="AF230" s="34"/>
      <c r="AG230" s="34"/>
      <c r="AH230" s="34"/>
      <c r="AI230" s="184"/>
      <c r="AJ230" s="184"/>
      <c r="AK230" s="184"/>
      <c r="AL230" s="141"/>
    </row>
    <row r="231" spans="2:38" ht="12.75" customHeight="1">
      <c r="B231" s="43">
        <v>162</v>
      </c>
      <c r="C231" s="186"/>
      <c r="D231" s="187"/>
      <c r="F231" s="193">
        <f t="shared" si="0"/>
        <v>0</v>
      </c>
      <c r="G231" s="34"/>
      <c r="H231" s="34"/>
      <c r="I231" s="34"/>
      <c r="J231" s="34"/>
      <c r="K231" s="34"/>
      <c r="L231" s="34"/>
      <c r="M231" s="34"/>
      <c r="N231" s="34"/>
      <c r="O231" s="34"/>
      <c r="P231" s="34"/>
      <c r="Q231" s="34"/>
      <c r="S231" s="141"/>
      <c r="U231" s="43">
        <v>162</v>
      </c>
      <c r="V231" s="186"/>
      <c r="W231" s="187"/>
      <c r="Y231" s="195">
        <f t="shared" si="1"/>
        <v>0</v>
      </c>
      <c r="Z231" s="34"/>
      <c r="AA231" s="34"/>
      <c r="AB231" s="34"/>
      <c r="AC231" s="34"/>
      <c r="AD231" s="34"/>
      <c r="AE231" s="34"/>
      <c r="AF231" s="34"/>
      <c r="AG231" s="34"/>
      <c r="AH231" s="34"/>
      <c r="AI231" s="184"/>
      <c r="AJ231" s="184"/>
      <c r="AK231" s="184"/>
      <c r="AL231" s="141"/>
    </row>
    <row r="232" spans="2:38" ht="12.75" customHeight="1">
      <c r="B232" s="43">
        <v>163</v>
      </c>
      <c r="C232" s="186"/>
      <c r="D232" s="187"/>
      <c r="F232" s="193">
        <f t="shared" si="0"/>
        <v>0</v>
      </c>
      <c r="G232" s="34"/>
      <c r="H232" s="34"/>
      <c r="I232" s="34"/>
      <c r="J232" s="34"/>
      <c r="K232" s="34"/>
      <c r="L232" s="34"/>
      <c r="M232" s="34"/>
      <c r="N232" s="34"/>
      <c r="O232" s="34"/>
      <c r="P232" s="34"/>
      <c r="Q232" s="34"/>
      <c r="S232" s="141"/>
      <c r="U232" s="43">
        <v>163</v>
      </c>
      <c r="V232" s="186"/>
      <c r="W232" s="187"/>
      <c r="Y232" s="195">
        <f t="shared" si="1"/>
        <v>0</v>
      </c>
      <c r="Z232" s="34"/>
      <c r="AA232" s="34"/>
      <c r="AB232" s="34"/>
      <c r="AC232" s="34"/>
      <c r="AD232" s="34"/>
      <c r="AE232" s="34"/>
      <c r="AF232" s="34"/>
      <c r="AG232" s="34"/>
      <c r="AH232" s="34"/>
      <c r="AI232" s="184"/>
      <c r="AJ232" s="184"/>
      <c r="AK232" s="184"/>
      <c r="AL232" s="141"/>
    </row>
    <row r="233" spans="2:38" ht="12.75" customHeight="1">
      <c r="B233" s="43">
        <v>164</v>
      </c>
      <c r="C233" s="186"/>
      <c r="D233" s="187"/>
      <c r="F233" s="193">
        <f t="shared" si="0"/>
        <v>0</v>
      </c>
      <c r="G233" s="34"/>
      <c r="H233" s="34"/>
      <c r="I233" s="34"/>
      <c r="J233" s="34"/>
      <c r="K233" s="34"/>
      <c r="L233" s="34"/>
      <c r="M233" s="34"/>
      <c r="N233" s="34"/>
      <c r="O233" s="34"/>
      <c r="P233" s="34"/>
      <c r="Q233" s="34"/>
      <c r="S233" s="141"/>
      <c r="U233" s="43">
        <v>164</v>
      </c>
      <c r="V233" s="186"/>
      <c r="W233" s="187"/>
      <c r="Y233" s="195">
        <f t="shared" si="1"/>
        <v>0</v>
      </c>
      <c r="Z233" s="34"/>
      <c r="AA233" s="34"/>
      <c r="AB233" s="34"/>
      <c r="AC233" s="34"/>
      <c r="AD233" s="34"/>
      <c r="AE233" s="34"/>
      <c r="AF233" s="34"/>
      <c r="AG233" s="34"/>
      <c r="AH233" s="34"/>
      <c r="AI233" s="184"/>
      <c r="AJ233" s="184"/>
      <c r="AK233" s="184"/>
      <c r="AL233" s="141"/>
    </row>
    <row r="234" spans="2:38" ht="12.75" customHeight="1">
      <c r="B234" s="43">
        <v>165</v>
      </c>
      <c r="C234" s="186"/>
      <c r="D234" s="187"/>
      <c r="F234" s="193">
        <f t="shared" si="0"/>
        <v>0</v>
      </c>
      <c r="G234" s="34"/>
      <c r="H234" s="34"/>
      <c r="I234" s="34"/>
      <c r="J234" s="34"/>
      <c r="K234" s="34"/>
      <c r="L234" s="34"/>
      <c r="M234" s="34"/>
      <c r="N234" s="34"/>
      <c r="O234" s="34"/>
      <c r="P234" s="34"/>
      <c r="Q234" s="34"/>
      <c r="S234" s="141"/>
      <c r="U234" s="43">
        <v>165</v>
      </c>
      <c r="V234" s="186"/>
      <c r="W234" s="187"/>
      <c r="Y234" s="195">
        <f t="shared" si="1"/>
        <v>0</v>
      </c>
      <c r="Z234" s="34"/>
      <c r="AA234" s="34"/>
      <c r="AB234" s="34"/>
      <c r="AC234" s="34"/>
      <c r="AD234" s="34"/>
      <c r="AE234" s="34"/>
      <c r="AF234" s="34"/>
      <c r="AG234" s="34"/>
      <c r="AH234" s="34"/>
      <c r="AI234" s="184"/>
      <c r="AJ234" s="184"/>
      <c r="AK234" s="184"/>
      <c r="AL234" s="141"/>
    </row>
    <row r="235" spans="2:38" ht="12.75" customHeight="1">
      <c r="B235" s="43">
        <v>166</v>
      </c>
      <c r="C235" s="186"/>
      <c r="D235" s="187"/>
      <c r="F235" s="193">
        <f t="shared" si="0"/>
        <v>0</v>
      </c>
      <c r="G235" s="34"/>
      <c r="H235" s="34"/>
      <c r="I235" s="34"/>
      <c r="J235" s="34"/>
      <c r="K235" s="34"/>
      <c r="L235" s="34"/>
      <c r="M235" s="34"/>
      <c r="N235" s="34"/>
      <c r="O235" s="34"/>
      <c r="P235" s="34"/>
      <c r="Q235" s="34"/>
      <c r="S235" s="141"/>
      <c r="U235" s="43">
        <v>166</v>
      </c>
      <c r="V235" s="186"/>
      <c r="W235" s="187"/>
      <c r="Y235" s="195">
        <f t="shared" si="1"/>
        <v>0</v>
      </c>
      <c r="Z235" s="34"/>
      <c r="AA235" s="34"/>
      <c r="AB235" s="34"/>
      <c r="AC235" s="34"/>
      <c r="AD235" s="34"/>
      <c r="AE235" s="34"/>
      <c r="AF235" s="34"/>
      <c r="AG235" s="34"/>
      <c r="AH235" s="34"/>
      <c r="AI235" s="184"/>
      <c r="AJ235" s="184"/>
      <c r="AK235" s="184"/>
      <c r="AL235" s="141"/>
    </row>
    <row r="236" spans="2:38" ht="12.75" customHeight="1">
      <c r="B236" s="43">
        <v>167</v>
      </c>
      <c r="C236" s="186"/>
      <c r="D236" s="187"/>
      <c r="F236" s="193">
        <f t="shared" si="0"/>
        <v>0</v>
      </c>
      <c r="G236" s="34"/>
      <c r="H236" s="34"/>
      <c r="I236" s="34"/>
      <c r="J236" s="34"/>
      <c r="K236" s="34"/>
      <c r="L236" s="34"/>
      <c r="M236" s="34"/>
      <c r="N236" s="34"/>
      <c r="O236" s="34"/>
      <c r="P236" s="34"/>
      <c r="Q236" s="34"/>
      <c r="S236" s="141"/>
      <c r="U236" s="43">
        <v>167</v>
      </c>
      <c r="V236" s="186"/>
      <c r="W236" s="187"/>
      <c r="Y236" s="195">
        <f t="shared" si="1"/>
        <v>0</v>
      </c>
      <c r="Z236" s="34"/>
      <c r="AA236" s="34"/>
      <c r="AB236" s="34"/>
      <c r="AC236" s="34"/>
      <c r="AD236" s="34"/>
      <c r="AE236" s="34"/>
      <c r="AF236" s="34"/>
      <c r="AG236" s="34"/>
      <c r="AH236" s="34"/>
      <c r="AI236" s="184"/>
      <c r="AJ236" s="184"/>
      <c r="AK236" s="184"/>
      <c r="AL236" s="141"/>
    </row>
    <row r="237" spans="2:38" ht="12.75" customHeight="1">
      <c r="B237" s="43">
        <v>168</v>
      </c>
      <c r="C237" s="186"/>
      <c r="D237" s="187"/>
      <c r="F237" s="193">
        <f t="shared" si="0"/>
        <v>0</v>
      </c>
      <c r="G237" s="34"/>
      <c r="H237" s="34"/>
      <c r="I237" s="34"/>
      <c r="J237" s="34"/>
      <c r="K237" s="34"/>
      <c r="L237" s="34"/>
      <c r="M237" s="34"/>
      <c r="N237" s="34"/>
      <c r="O237" s="34"/>
      <c r="P237" s="34"/>
      <c r="Q237" s="34"/>
      <c r="S237" s="141"/>
      <c r="U237" s="43">
        <v>168</v>
      </c>
      <c r="V237" s="186"/>
      <c r="W237" s="187"/>
      <c r="Y237" s="195">
        <f t="shared" si="1"/>
        <v>0</v>
      </c>
      <c r="Z237" s="34"/>
      <c r="AA237" s="34"/>
      <c r="AB237" s="34"/>
      <c r="AC237" s="34"/>
      <c r="AD237" s="34"/>
      <c r="AE237" s="34"/>
      <c r="AF237" s="34"/>
      <c r="AG237" s="34"/>
      <c r="AH237" s="34"/>
      <c r="AI237" s="184"/>
      <c r="AJ237" s="184"/>
      <c r="AK237" s="184"/>
      <c r="AL237" s="141"/>
    </row>
    <row r="238" spans="2:38" ht="12.75" customHeight="1">
      <c r="B238" s="43">
        <v>169</v>
      </c>
      <c r="C238" s="186"/>
      <c r="D238" s="187"/>
      <c r="F238" s="193">
        <f t="shared" si="0"/>
        <v>0</v>
      </c>
      <c r="G238" s="34"/>
      <c r="H238" s="34"/>
      <c r="I238" s="34"/>
      <c r="J238" s="34"/>
      <c r="K238" s="34"/>
      <c r="L238" s="34"/>
      <c r="M238" s="34"/>
      <c r="N238" s="34"/>
      <c r="O238" s="34"/>
      <c r="P238" s="34"/>
      <c r="Q238" s="34"/>
      <c r="S238" s="141"/>
      <c r="U238" s="43">
        <v>169</v>
      </c>
      <c r="V238" s="186"/>
      <c r="W238" s="187"/>
      <c r="Y238" s="195">
        <f t="shared" si="1"/>
        <v>0</v>
      </c>
      <c r="Z238" s="34"/>
      <c r="AA238" s="34"/>
      <c r="AB238" s="34"/>
      <c r="AC238" s="34"/>
      <c r="AD238" s="34"/>
      <c r="AE238" s="34"/>
      <c r="AF238" s="34"/>
      <c r="AG238" s="34"/>
      <c r="AH238" s="34"/>
      <c r="AI238" s="184"/>
      <c r="AJ238" s="184"/>
      <c r="AK238" s="184"/>
      <c r="AL238" s="141"/>
    </row>
    <row r="239" spans="2:38" ht="12.75" customHeight="1">
      <c r="B239" s="43">
        <v>170</v>
      </c>
      <c r="C239" s="186"/>
      <c r="D239" s="187"/>
      <c r="F239" s="193">
        <f t="shared" si="0"/>
        <v>0</v>
      </c>
      <c r="G239" s="34"/>
      <c r="H239" s="34"/>
      <c r="I239" s="34"/>
      <c r="J239" s="34"/>
      <c r="K239" s="34"/>
      <c r="L239" s="34"/>
      <c r="M239" s="34"/>
      <c r="N239" s="34"/>
      <c r="O239" s="34"/>
      <c r="P239" s="34"/>
      <c r="Q239" s="34"/>
      <c r="S239" s="141"/>
      <c r="U239" s="43">
        <v>170</v>
      </c>
      <c r="V239" s="186"/>
      <c r="W239" s="187"/>
      <c r="Y239" s="195">
        <f t="shared" si="1"/>
        <v>0</v>
      </c>
      <c r="Z239" s="34"/>
      <c r="AA239" s="34"/>
      <c r="AB239" s="34"/>
      <c r="AC239" s="34"/>
      <c r="AD239" s="34"/>
      <c r="AE239" s="34"/>
      <c r="AF239" s="34"/>
      <c r="AG239" s="34"/>
      <c r="AH239" s="34"/>
      <c r="AI239" s="184"/>
      <c r="AJ239" s="184"/>
      <c r="AK239" s="184"/>
      <c r="AL239" s="141"/>
    </row>
    <row r="240" spans="2:38" ht="12.75" customHeight="1">
      <c r="B240" s="43">
        <v>171</v>
      </c>
      <c r="C240" s="186"/>
      <c r="D240" s="187"/>
      <c r="F240" s="193">
        <f t="shared" si="0"/>
        <v>0</v>
      </c>
      <c r="G240" s="34"/>
      <c r="H240" s="34"/>
      <c r="I240" s="34"/>
      <c r="J240" s="34"/>
      <c r="K240" s="34"/>
      <c r="L240" s="34"/>
      <c r="M240" s="34"/>
      <c r="N240" s="34"/>
      <c r="O240" s="34"/>
      <c r="P240" s="34"/>
      <c r="Q240" s="34"/>
      <c r="S240" s="141"/>
      <c r="U240" s="43">
        <v>171</v>
      </c>
      <c r="V240" s="186"/>
      <c r="W240" s="187"/>
      <c r="Y240" s="195">
        <f t="shared" si="1"/>
        <v>0</v>
      </c>
      <c r="Z240" s="34"/>
      <c r="AA240" s="34"/>
      <c r="AB240" s="34"/>
      <c r="AC240" s="34"/>
      <c r="AD240" s="34"/>
      <c r="AE240" s="34"/>
      <c r="AF240" s="34"/>
      <c r="AG240" s="34"/>
      <c r="AH240" s="34"/>
      <c r="AI240" s="184"/>
      <c r="AJ240" s="184"/>
      <c r="AK240" s="184"/>
      <c r="AL240" s="141"/>
    </row>
    <row r="241" spans="2:38" ht="12.75" customHeight="1">
      <c r="B241" s="43">
        <v>172</v>
      </c>
      <c r="C241" s="186"/>
      <c r="D241" s="187"/>
      <c r="F241" s="193">
        <f t="shared" si="0"/>
        <v>0</v>
      </c>
      <c r="G241" s="34"/>
      <c r="H241" s="34"/>
      <c r="I241" s="34"/>
      <c r="J241" s="34"/>
      <c r="K241" s="34"/>
      <c r="L241" s="34"/>
      <c r="M241" s="34"/>
      <c r="N241" s="34"/>
      <c r="O241" s="34"/>
      <c r="P241" s="34"/>
      <c r="Q241" s="34"/>
      <c r="S241" s="141"/>
      <c r="U241" s="43">
        <v>172</v>
      </c>
      <c r="V241" s="186"/>
      <c r="W241" s="187"/>
      <c r="Y241" s="195">
        <f t="shared" si="1"/>
        <v>0</v>
      </c>
      <c r="Z241" s="34"/>
      <c r="AA241" s="34"/>
      <c r="AB241" s="34"/>
      <c r="AC241" s="34"/>
      <c r="AD241" s="34"/>
      <c r="AE241" s="34"/>
      <c r="AF241" s="34"/>
      <c r="AG241" s="34"/>
      <c r="AH241" s="34"/>
      <c r="AI241" s="184"/>
      <c r="AJ241" s="184"/>
      <c r="AK241" s="184"/>
      <c r="AL241" s="141"/>
    </row>
    <row r="242" spans="2:38" ht="12.75" customHeight="1">
      <c r="B242" s="43">
        <v>173</v>
      </c>
      <c r="C242" s="186"/>
      <c r="D242" s="187"/>
      <c r="F242" s="193">
        <f t="shared" si="0"/>
        <v>0</v>
      </c>
      <c r="G242" s="34"/>
      <c r="H242" s="34"/>
      <c r="I242" s="34"/>
      <c r="J242" s="34"/>
      <c r="K242" s="34"/>
      <c r="L242" s="34"/>
      <c r="M242" s="34"/>
      <c r="N242" s="34"/>
      <c r="O242" s="34"/>
      <c r="P242" s="34"/>
      <c r="Q242" s="34"/>
      <c r="S242" s="141"/>
      <c r="U242" s="43">
        <v>173</v>
      </c>
      <c r="V242" s="186"/>
      <c r="W242" s="187"/>
      <c r="Y242" s="195">
        <f t="shared" si="1"/>
        <v>0</v>
      </c>
      <c r="Z242" s="34"/>
      <c r="AA242" s="34"/>
      <c r="AB242" s="34"/>
      <c r="AC242" s="34"/>
      <c r="AD242" s="34"/>
      <c r="AE242" s="34"/>
      <c r="AF242" s="34"/>
      <c r="AG242" s="34"/>
      <c r="AH242" s="34"/>
      <c r="AI242" s="184"/>
      <c r="AJ242" s="184"/>
      <c r="AK242" s="184"/>
      <c r="AL242" s="141"/>
    </row>
    <row r="243" spans="2:38" ht="12.75" customHeight="1">
      <c r="B243" s="43">
        <v>174</v>
      </c>
      <c r="C243" s="186"/>
      <c r="D243" s="187"/>
      <c r="F243" s="193">
        <f t="shared" si="0"/>
        <v>0</v>
      </c>
      <c r="G243" s="34"/>
      <c r="H243" s="34"/>
      <c r="I243" s="34"/>
      <c r="J243" s="34"/>
      <c r="K243" s="34"/>
      <c r="L243" s="34"/>
      <c r="M243" s="34"/>
      <c r="N243" s="34"/>
      <c r="O243" s="34"/>
      <c r="P243" s="34"/>
      <c r="Q243" s="34"/>
      <c r="S243" s="141"/>
      <c r="U243" s="43">
        <v>174</v>
      </c>
      <c r="V243" s="186"/>
      <c r="W243" s="187"/>
      <c r="Y243" s="195">
        <f t="shared" si="1"/>
        <v>0</v>
      </c>
      <c r="Z243" s="34"/>
      <c r="AA243" s="34"/>
      <c r="AB243" s="34"/>
      <c r="AC243" s="34"/>
      <c r="AD243" s="34"/>
      <c r="AE243" s="34"/>
      <c r="AF243" s="34"/>
      <c r="AG243" s="34"/>
      <c r="AH243" s="34"/>
      <c r="AI243" s="184"/>
      <c r="AJ243" s="184"/>
      <c r="AK243" s="184"/>
      <c r="AL243" s="141"/>
    </row>
    <row r="244" spans="2:38" ht="12.75" customHeight="1">
      <c r="B244" s="43">
        <v>175</v>
      </c>
      <c r="C244" s="186"/>
      <c r="D244" s="187"/>
      <c r="F244" s="193">
        <f t="shared" si="0"/>
        <v>0</v>
      </c>
      <c r="G244" s="34"/>
      <c r="H244" s="34"/>
      <c r="I244" s="34"/>
      <c r="J244" s="34"/>
      <c r="K244" s="34"/>
      <c r="L244" s="34"/>
      <c r="M244" s="34"/>
      <c r="N244" s="34"/>
      <c r="O244" s="34"/>
      <c r="P244" s="34"/>
      <c r="Q244" s="34"/>
      <c r="S244" s="141"/>
      <c r="U244" s="43">
        <v>175</v>
      </c>
      <c r="V244" s="186"/>
      <c r="W244" s="187"/>
      <c r="Y244" s="195">
        <f t="shared" si="1"/>
        <v>0</v>
      </c>
      <c r="Z244" s="34"/>
      <c r="AA244" s="34"/>
      <c r="AB244" s="34"/>
      <c r="AC244" s="34"/>
      <c r="AD244" s="34"/>
      <c r="AE244" s="34"/>
      <c r="AF244" s="34"/>
      <c r="AG244" s="34"/>
      <c r="AH244" s="34"/>
      <c r="AI244" s="184"/>
      <c r="AJ244" s="184"/>
      <c r="AK244" s="184"/>
      <c r="AL244" s="141"/>
    </row>
    <row r="245" spans="2:38" ht="12.75" customHeight="1">
      <c r="B245" s="43">
        <v>176</v>
      </c>
      <c r="C245" s="186"/>
      <c r="D245" s="187"/>
      <c r="F245" s="193">
        <f t="shared" si="0"/>
        <v>0</v>
      </c>
      <c r="G245" s="34"/>
      <c r="H245" s="34"/>
      <c r="I245" s="34"/>
      <c r="J245" s="34"/>
      <c r="K245" s="34"/>
      <c r="L245" s="34"/>
      <c r="M245" s="34"/>
      <c r="N245" s="34"/>
      <c r="O245" s="34"/>
      <c r="P245" s="34"/>
      <c r="Q245" s="34"/>
      <c r="S245" s="141"/>
      <c r="U245" s="43">
        <v>176</v>
      </c>
      <c r="V245" s="186"/>
      <c r="W245" s="187"/>
      <c r="Y245" s="195">
        <f t="shared" si="1"/>
        <v>0</v>
      </c>
      <c r="Z245" s="34"/>
      <c r="AA245" s="34"/>
      <c r="AB245" s="34"/>
      <c r="AC245" s="34"/>
      <c r="AD245" s="34"/>
      <c r="AE245" s="34"/>
      <c r="AF245" s="34"/>
      <c r="AG245" s="34"/>
      <c r="AH245" s="34"/>
      <c r="AI245" s="184"/>
      <c r="AJ245" s="184"/>
      <c r="AK245" s="184"/>
      <c r="AL245" s="141"/>
    </row>
    <row r="246" spans="2:38" ht="12.75" customHeight="1">
      <c r="B246" s="43">
        <v>177</v>
      </c>
      <c r="C246" s="186"/>
      <c r="D246" s="187"/>
      <c r="F246" s="193">
        <f t="shared" si="0"/>
        <v>0</v>
      </c>
      <c r="G246" s="34"/>
      <c r="H246" s="34"/>
      <c r="I246" s="34"/>
      <c r="J246" s="34"/>
      <c r="K246" s="34"/>
      <c r="L246" s="34"/>
      <c r="M246" s="34"/>
      <c r="N246" s="34"/>
      <c r="O246" s="34"/>
      <c r="P246" s="34"/>
      <c r="Q246" s="34"/>
      <c r="S246" s="141"/>
      <c r="U246" s="43">
        <v>177</v>
      </c>
      <c r="V246" s="186"/>
      <c r="W246" s="187"/>
      <c r="Y246" s="195">
        <f t="shared" si="1"/>
        <v>0</v>
      </c>
      <c r="Z246" s="34"/>
      <c r="AA246" s="34"/>
      <c r="AB246" s="34"/>
      <c r="AC246" s="34"/>
      <c r="AD246" s="34"/>
      <c r="AE246" s="34"/>
      <c r="AF246" s="34"/>
      <c r="AG246" s="34"/>
      <c r="AH246" s="34"/>
      <c r="AI246" s="184"/>
      <c r="AJ246" s="184"/>
      <c r="AK246" s="184"/>
      <c r="AL246" s="141"/>
    </row>
    <row r="247" spans="2:38" ht="12.75" customHeight="1">
      <c r="B247" s="43">
        <v>178</v>
      </c>
      <c r="C247" s="186"/>
      <c r="D247" s="187"/>
      <c r="F247" s="193">
        <f t="shared" si="0"/>
        <v>0</v>
      </c>
      <c r="G247" s="34"/>
      <c r="H247" s="34"/>
      <c r="I247" s="34"/>
      <c r="J247" s="34"/>
      <c r="K247" s="34"/>
      <c r="L247" s="34"/>
      <c r="M247" s="34"/>
      <c r="N247" s="34"/>
      <c r="O247" s="34"/>
      <c r="P247" s="34"/>
      <c r="Q247" s="34"/>
      <c r="S247" s="141"/>
      <c r="U247" s="43">
        <v>178</v>
      </c>
      <c r="V247" s="186"/>
      <c r="W247" s="187"/>
      <c r="Y247" s="195">
        <f t="shared" si="1"/>
        <v>0</v>
      </c>
      <c r="Z247" s="34"/>
      <c r="AA247" s="34"/>
      <c r="AB247" s="34"/>
      <c r="AC247" s="34"/>
      <c r="AD247" s="34"/>
      <c r="AE247" s="34"/>
      <c r="AF247" s="34"/>
      <c r="AG247" s="34"/>
      <c r="AH247" s="34"/>
      <c r="AI247" s="184"/>
      <c r="AJ247" s="184"/>
      <c r="AK247" s="184"/>
      <c r="AL247" s="141"/>
    </row>
    <row r="248" spans="2:38" ht="12.75" customHeight="1">
      <c r="B248" s="43">
        <v>179</v>
      </c>
      <c r="C248" s="186"/>
      <c r="D248" s="187"/>
      <c r="F248" s="193">
        <f t="shared" si="0"/>
        <v>0</v>
      </c>
      <c r="G248" s="34"/>
      <c r="H248" s="34"/>
      <c r="I248" s="34"/>
      <c r="J248" s="34"/>
      <c r="K248" s="34"/>
      <c r="L248" s="34"/>
      <c r="M248" s="34"/>
      <c r="N248" s="34"/>
      <c r="O248" s="34"/>
      <c r="P248" s="34"/>
      <c r="Q248" s="34"/>
      <c r="S248" s="141"/>
      <c r="U248" s="43">
        <v>179</v>
      </c>
      <c r="V248" s="186"/>
      <c r="W248" s="187"/>
      <c r="Y248" s="195">
        <f t="shared" si="1"/>
        <v>0</v>
      </c>
      <c r="Z248" s="34"/>
      <c r="AA248" s="34"/>
      <c r="AB248" s="34"/>
      <c r="AC248" s="34"/>
      <c r="AD248" s="34"/>
      <c r="AE248" s="34"/>
      <c r="AF248" s="34"/>
      <c r="AG248" s="34"/>
      <c r="AH248" s="34"/>
      <c r="AI248" s="184"/>
      <c r="AJ248" s="184"/>
      <c r="AK248" s="184"/>
      <c r="AL248" s="141"/>
    </row>
    <row r="249" spans="2:38" ht="12.75" customHeight="1">
      <c r="B249" s="43">
        <v>180</v>
      </c>
      <c r="C249" s="186"/>
      <c r="D249" s="187"/>
      <c r="F249" s="193">
        <f t="shared" si="0"/>
        <v>0</v>
      </c>
      <c r="G249" s="34"/>
      <c r="H249" s="34"/>
      <c r="I249" s="34"/>
      <c r="J249" s="34"/>
      <c r="K249" s="34"/>
      <c r="L249" s="34"/>
      <c r="M249" s="34"/>
      <c r="N249" s="34"/>
      <c r="O249" s="34"/>
      <c r="P249" s="34"/>
      <c r="Q249" s="34"/>
      <c r="S249" s="141"/>
      <c r="U249" s="43">
        <v>180</v>
      </c>
      <c r="V249" s="186"/>
      <c r="W249" s="187"/>
      <c r="Y249" s="195">
        <f t="shared" si="1"/>
        <v>0</v>
      </c>
      <c r="Z249" s="34"/>
      <c r="AA249" s="34"/>
      <c r="AB249" s="34"/>
      <c r="AC249" s="34"/>
      <c r="AD249" s="34"/>
      <c r="AE249" s="34"/>
      <c r="AF249" s="34"/>
      <c r="AG249" s="34"/>
      <c r="AH249" s="34"/>
      <c r="AI249" s="184"/>
      <c r="AJ249" s="184"/>
      <c r="AK249" s="184"/>
      <c r="AL249" s="141"/>
    </row>
    <row r="250" spans="2:38" ht="12.75" customHeight="1">
      <c r="B250" s="43">
        <v>181</v>
      </c>
      <c r="C250" s="186"/>
      <c r="D250" s="187"/>
      <c r="F250" s="193">
        <f t="shared" si="0"/>
        <v>0</v>
      </c>
      <c r="G250" s="34"/>
      <c r="H250" s="34"/>
      <c r="I250" s="34"/>
      <c r="J250" s="34"/>
      <c r="K250" s="34"/>
      <c r="L250" s="34"/>
      <c r="M250" s="34"/>
      <c r="N250" s="34"/>
      <c r="O250" s="34"/>
      <c r="P250" s="34"/>
      <c r="Q250" s="34"/>
      <c r="S250" s="141"/>
      <c r="U250" s="43">
        <v>181</v>
      </c>
      <c r="V250" s="186"/>
      <c r="W250" s="187"/>
      <c r="Y250" s="195">
        <f t="shared" si="1"/>
        <v>0</v>
      </c>
      <c r="Z250" s="34"/>
      <c r="AA250" s="34"/>
      <c r="AB250" s="34"/>
      <c r="AC250" s="34"/>
      <c r="AD250" s="34"/>
      <c r="AE250" s="34"/>
      <c r="AF250" s="34"/>
      <c r="AG250" s="34"/>
      <c r="AH250" s="34"/>
      <c r="AI250" s="184"/>
      <c r="AJ250" s="184"/>
      <c r="AK250" s="184"/>
      <c r="AL250" s="141"/>
    </row>
    <row r="251" spans="2:38" ht="12.75" customHeight="1">
      <c r="B251" s="43">
        <v>182</v>
      </c>
      <c r="C251" s="186"/>
      <c r="D251" s="187"/>
      <c r="F251" s="193">
        <f t="shared" si="0"/>
        <v>0</v>
      </c>
      <c r="G251" s="34"/>
      <c r="H251" s="34"/>
      <c r="I251" s="34"/>
      <c r="J251" s="34"/>
      <c r="K251" s="34"/>
      <c r="L251" s="34"/>
      <c r="M251" s="34"/>
      <c r="N251" s="34"/>
      <c r="O251" s="34"/>
      <c r="P251" s="34"/>
      <c r="Q251" s="34"/>
      <c r="S251" s="141"/>
      <c r="U251" s="43">
        <v>182</v>
      </c>
      <c r="V251" s="186"/>
      <c r="W251" s="187"/>
      <c r="Y251" s="195">
        <f t="shared" si="1"/>
        <v>0</v>
      </c>
      <c r="Z251" s="34"/>
      <c r="AA251" s="34"/>
      <c r="AB251" s="34"/>
      <c r="AC251" s="34"/>
      <c r="AD251" s="34"/>
      <c r="AE251" s="34"/>
      <c r="AF251" s="34"/>
      <c r="AG251" s="34"/>
      <c r="AH251" s="34"/>
      <c r="AI251" s="184"/>
      <c r="AJ251" s="184"/>
      <c r="AK251" s="184"/>
      <c r="AL251" s="141"/>
    </row>
    <row r="252" spans="2:38" ht="12.75" customHeight="1">
      <c r="B252" s="43">
        <v>183</v>
      </c>
      <c r="C252" s="186"/>
      <c r="D252" s="187"/>
      <c r="F252" s="193">
        <f t="shared" si="0"/>
        <v>0</v>
      </c>
      <c r="G252" s="34"/>
      <c r="H252" s="34"/>
      <c r="I252" s="34"/>
      <c r="J252" s="34"/>
      <c r="K252" s="34"/>
      <c r="L252" s="34"/>
      <c r="M252" s="34"/>
      <c r="N252" s="34"/>
      <c r="O252" s="34"/>
      <c r="P252" s="34"/>
      <c r="Q252" s="34"/>
      <c r="S252" s="141"/>
      <c r="U252" s="43">
        <v>183</v>
      </c>
      <c r="V252" s="186"/>
      <c r="W252" s="187"/>
      <c r="Y252" s="195">
        <f t="shared" si="1"/>
        <v>0</v>
      </c>
      <c r="Z252" s="34"/>
      <c r="AA252" s="34"/>
      <c r="AB252" s="34"/>
      <c r="AC252" s="34"/>
      <c r="AD252" s="34"/>
      <c r="AE252" s="34"/>
      <c r="AF252" s="34"/>
      <c r="AG252" s="34"/>
      <c r="AH252" s="34"/>
      <c r="AI252" s="184"/>
      <c r="AJ252" s="184"/>
      <c r="AK252" s="184"/>
      <c r="AL252" s="141"/>
    </row>
    <row r="253" spans="2:38" ht="12.75" customHeight="1">
      <c r="B253" s="43">
        <v>184</v>
      </c>
      <c r="C253" s="186"/>
      <c r="D253" s="187"/>
      <c r="F253" s="193">
        <f t="shared" si="0"/>
        <v>0</v>
      </c>
      <c r="G253" s="34"/>
      <c r="H253" s="34"/>
      <c r="I253" s="34"/>
      <c r="J253" s="34"/>
      <c r="K253" s="34"/>
      <c r="L253" s="34"/>
      <c r="M253" s="34"/>
      <c r="N253" s="34"/>
      <c r="O253" s="34"/>
      <c r="P253" s="34"/>
      <c r="Q253" s="34"/>
      <c r="S253" s="141"/>
      <c r="U253" s="43">
        <v>184</v>
      </c>
      <c r="V253" s="186"/>
      <c r="W253" s="187"/>
      <c r="Y253" s="195">
        <f t="shared" si="1"/>
        <v>0</v>
      </c>
      <c r="Z253" s="34"/>
      <c r="AA253" s="34"/>
      <c r="AB253" s="34"/>
      <c r="AC253" s="34"/>
      <c r="AD253" s="34"/>
      <c r="AE253" s="34"/>
      <c r="AF253" s="34"/>
      <c r="AG253" s="34"/>
      <c r="AH253" s="34"/>
      <c r="AI253" s="184"/>
      <c r="AJ253" s="184"/>
      <c r="AK253" s="184"/>
      <c r="AL253" s="141"/>
    </row>
    <row r="254" spans="2:38" ht="12.75" customHeight="1">
      <c r="B254" s="43">
        <v>185</v>
      </c>
      <c r="C254" s="186"/>
      <c r="D254" s="187"/>
      <c r="F254" s="193">
        <f t="shared" si="0"/>
        <v>0</v>
      </c>
      <c r="G254" s="34"/>
      <c r="H254" s="34"/>
      <c r="I254" s="34"/>
      <c r="J254" s="34"/>
      <c r="K254" s="34"/>
      <c r="L254" s="34"/>
      <c r="M254" s="34"/>
      <c r="N254" s="34"/>
      <c r="O254" s="34"/>
      <c r="P254" s="34"/>
      <c r="Q254" s="34"/>
      <c r="S254" s="141"/>
      <c r="U254" s="43">
        <v>185</v>
      </c>
      <c r="V254" s="186"/>
      <c r="W254" s="187"/>
      <c r="Y254" s="195">
        <f t="shared" si="1"/>
        <v>0</v>
      </c>
      <c r="Z254" s="34"/>
      <c r="AA254" s="34"/>
      <c r="AB254" s="34"/>
      <c r="AC254" s="34"/>
      <c r="AD254" s="34"/>
      <c r="AE254" s="34"/>
      <c r="AF254" s="34"/>
      <c r="AG254" s="34"/>
      <c r="AH254" s="34"/>
      <c r="AI254" s="184"/>
      <c r="AJ254" s="184"/>
      <c r="AK254" s="184"/>
      <c r="AL254" s="141"/>
    </row>
    <row r="255" spans="2:38" ht="12.75" customHeight="1">
      <c r="B255" s="43">
        <v>186</v>
      </c>
      <c r="C255" s="186"/>
      <c r="D255" s="187"/>
      <c r="F255" s="193">
        <f t="shared" si="0"/>
        <v>0</v>
      </c>
      <c r="G255" s="34"/>
      <c r="H255" s="34"/>
      <c r="I255" s="34"/>
      <c r="J255" s="34"/>
      <c r="K255" s="34"/>
      <c r="L255" s="34"/>
      <c r="M255" s="34"/>
      <c r="N255" s="34"/>
      <c r="O255" s="34"/>
      <c r="P255" s="34"/>
      <c r="Q255" s="34"/>
      <c r="S255" s="141"/>
      <c r="U255" s="43">
        <v>186</v>
      </c>
      <c r="V255" s="186"/>
      <c r="W255" s="187"/>
      <c r="Y255" s="195">
        <f t="shared" si="1"/>
        <v>0</v>
      </c>
      <c r="Z255" s="34"/>
      <c r="AA255" s="34"/>
      <c r="AB255" s="34"/>
      <c r="AC255" s="34"/>
      <c r="AD255" s="34"/>
      <c r="AE255" s="34"/>
      <c r="AF255" s="34"/>
      <c r="AG255" s="34"/>
      <c r="AH255" s="34"/>
      <c r="AI255" s="184"/>
      <c r="AJ255" s="184"/>
      <c r="AK255" s="184"/>
      <c r="AL255" s="141"/>
    </row>
    <row r="256" spans="2:38" ht="12.75" customHeight="1">
      <c r="B256" s="43">
        <v>187</v>
      </c>
      <c r="C256" s="186"/>
      <c r="D256" s="187"/>
      <c r="F256" s="193">
        <f t="shared" si="0"/>
        <v>0</v>
      </c>
      <c r="G256" s="34"/>
      <c r="H256" s="34"/>
      <c r="I256" s="34"/>
      <c r="J256" s="34"/>
      <c r="K256" s="34"/>
      <c r="L256" s="34"/>
      <c r="M256" s="34"/>
      <c r="N256" s="34"/>
      <c r="O256" s="34"/>
      <c r="P256" s="34"/>
      <c r="Q256" s="34"/>
      <c r="S256" s="141"/>
      <c r="U256" s="43">
        <v>187</v>
      </c>
      <c r="V256" s="186"/>
      <c r="W256" s="187"/>
      <c r="Y256" s="195">
        <f t="shared" si="1"/>
        <v>0</v>
      </c>
      <c r="Z256" s="34"/>
      <c r="AA256" s="34"/>
      <c r="AB256" s="34"/>
      <c r="AC256" s="34"/>
      <c r="AD256" s="34"/>
      <c r="AE256" s="34"/>
      <c r="AF256" s="34"/>
      <c r="AG256" s="34"/>
      <c r="AH256" s="34"/>
      <c r="AI256" s="184"/>
      <c r="AJ256" s="184"/>
      <c r="AK256" s="184"/>
      <c r="AL256" s="141"/>
    </row>
    <row r="257" spans="2:38" ht="12.75" customHeight="1">
      <c r="B257" s="43">
        <v>188</v>
      </c>
      <c r="C257" s="186"/>
      <c r="D257" s="187"/>
      <c r="F257" s="193">
        <f t="shared" si="0"/>
        <v>0</v>
      </c>
      <c r="G257" s="34"/>
      <c r="H257" s="34"/>
      <c r="I257" s="34"/>
      <c r="J257" s="34"/>
      <c r="K257" s="34"/>
      <c r="L257" s="34"/>
      <c r="M257" s="34"/>
      <c r="N257" s="34"/>
      <c r="O257" s="34"/>
      <c r="P257" s="34"/>
      <c r="Q257" s="34"/>
      <c r="S257" s="141"/>
      <c r="U257" s="43">
        <v>188</v>
      </c>
      <c r="V257" s="186"/>
      <c r="W257" s="187"/>
      <c r="Y257" s="195">
        <f t="shared" si="1"/>
        <v>0</v>
      </c>
      <c r="Z257" s="34"/>
      <c r="AA257" s="34"/>
      <c r="AB257" s="34"/>
      <c r="AC257" s="34"/>
      <c r="AD257" s="34"/>
      <c r="AE257" s="34"/>
      <c r="AF257" s="34"/>
      <c r="AG257" s="34"/>
      <c r="AH257" s="34"/>
      <c r="AI257" s="184"/>
      <c r="AJ257" s="184"/>
      <c r="AK257" s="184"/>
      <c r="AL257" s="141"/>
    </row>
    <row r="258" spans="2:38" ht="12.75" customHeight="1">
      <c r="B258" s="43">
        <v>189</v>
      </c>
      <c r="C258" s="186"/>
      <c r="D258" s="187"/>
      <c r="F258" s="193">
        <f t="shared" si="0"/>
        <v>0</v>
      </c>
      <c r="G258" s="34"/>
      <c r="H258" s="34"/>
      <c r="I258" s="34"/>
      <c r="J258" s="34"/>
      <c r="K258" s="34"/>
      <c r="L258" s="34"/>
      <c r="M258" s="34"/>
      <c r="N258" s="34"/>
      <c r="O258" s="34"/>
      <c r="P258" s="34"/>
      <c r="Q258" s="34"/>
      <c r="S258" s="141"/>
      <c r="U258" s="43">
        <v>189</v>
      </c>
      <c r="V258" s="186"/>
      <c r="W258" s="187"/>
      <c r="Y258" s="195">
        <f t="shared" si="1"/>
        <v>0</v>
      </c>
      <c r="Z258" s="34"/>
      <c r="AA258" s="34"/>
      <c r="AB258" s="34"/>
      <c r="AC258" s="34"/>
      <c r="AD258" s="34"/>
      <c r="AE258" s="34"/>
      <c r="AF258" s="34"/>
      <c r="AG258" s="34"/>
      <c r="AH258" s="34"/>
      <c r="AI258" s="184"/>
      <c r="AJ258" s="184"/>
      <c r="AK258" s="184"/>
      <c r="AL258" s="141"/>
    </row>
    <row r="259" spans="2:38" ht="12.75" customHeight="1">
      <c r="B259" s="43">
        <v>190</v>
      </c>
      <c r="C259" s="186"/>
      <c r="D259" s="187"/>
      <c r="F259" s="193">
        <f t="shared" si="0"/>
        <v>0</v>
      </c>
      <c r="G259" s="34"/>
      <c r="H259" s="34"/>
      <c r="I259" s="34"/>
      <c r="J259" s="34"/>
      <c r="K259" s="34"/>
      <c r="L259" s="34"/>
      <c r="M259" s="34"/>
      <c r="N259" s="34"/>
      <c r="O259" s="34"/>
      <c r="P259" s="34"/>
      <c r="Q259" s="34"/>
      <c r="S259" s="141"/>
      <c r="U259" s="43">
        <v>190</v>
      </c>
      <c r="V259" s="186"/>
      <c r="W259" s="187"/>
      <c r="Y259" s="195">
        <f t="shared" si="1"/>
        <v>0</v>
      </c>
      <c r="Z259" s="34"/>
      <c r="AA259" s="34"/>
      <c r="AB259" s="34"/>
      <c r="AC259" s="34"/>
      <c r="AD259" s="34"/>
      <c r="AE259" s="34"/>
      <c r="AF259" s="34"/>
      <c r="AG259" s="34"/>
      <c r="AH259" s="34"/>
      <c r="AI259" s="184"/>
      <c r="AJ259" s="184"/>
      <c r="AK259" s="184"/>
      <c r="AL259" s="141"/>
    </row>
    <row r="260" spans="2:38" ht="12.75" customHeight="1">
      <c r="B260" s="43">
        <v>191</v>
      </c>
      <c r="C260" s="186"/>
      <c r="D260" s="187"/>
      <c r="F260" s="193">
        <f t="shared" si="0"/>
        <v>0</v>
      </c>
      <c r="G260" s="34"/>
      <c r="H260" s="34"/>
      <c r="I260" s="34"/>
      <c r="J260" s="34"/>
      <c r="K260" s="34"/>
      <c r="L260" s="34"/>
      <c r="M260" s="34"/>
      <c r="N260" s="34"/>
      <c r="O260" s="34"/>
      <c r="P260" s="34"/>
      <c r="Q260" s="34"/>
      <c r="S260" s="141"/>
      <c r="U260" s="43">
        <v>191</v>
      </c>
      <c r="V260" s="186"/>
      <c r="W260" s="187"/>
      <c r="Y260" s="195">
        <f t="shared" si="1"/>
        <v>0</v>
      </c>
      <c r="Z260" s="34"/>
      <c r="AA260" s="34"/>
      <c r="AB260" s="34"/>
      <c r="AC260" s="34"/>
      <c r="AD260" s="34"/>
      <c r="AE260" s="34"/>
      <c r="AF260" s="34"/>
      <c r="AG260" s="34"/>
      <c r="AH260" s="34"/>
      <c r="AI260" s="184"/>
      <c r="AJ260" s="184"/>
      <c r="AK260" s="184"/>
      <c r="AL260" s="141"/>
    </row>
    <row r="261" spans="2:38" ht="12.75" customHeight="1">
      <c r="B261" s="43">
        <v>192</v>
      </c>
      <c r="C261" s="186"/>
      <c r="D261" s="187"/>
      <c r="F261" s="193">
        <f t="shared" si="0"/>
        <v>0</v>
      </c>
      <c r="G261" s="34"/>
      <c r="H261" s="34"/>
      <c r="I261" s="34"/>
      <c r="J261" s="34"/>
      <c r="K261" s="34"/>
      <c r="L261" s="34"/>
      <c r="M261" s="34"/>
      <c r="N261" s="34"/>
      <c r="O261" s="34"/>
      <c r="P261" s="34"/>
      <c r="Q261" s="34"/>
      <c r="S261" s="141"/>
      <c r="U261" s="43">
        <v>192</v>
      </c>
      <c r="V261" s="186"/>
      <c r="W261" s="187"/>
      <c r="Y261" s="195">
        <f t="shared" si="1"/>
        <v>0</v>
      </c>
      <c r="Z261" s="34"/>
      <c r="AA261" s="34"/>
      <c r="AB261" s="34"/>
      <c r="AC261" s="34"/>
      <c r="AD261" s="34"/>
      <c r="AE261" s="34"/>
      <c r="AF261" s="34"/>
      <c r="AG261" s="34"/>
      <c r="AH261" s="34"/>
      <c r="AI261" s="184"/>
      <c r="AJ261" s="184"/>
      <c r="AK261" s="184"/>
      <c r="AL261" s="141"/>
    </row>
    <row r="262" spans="2:38" ht="12.75" customHeight="1">
      <c r="B262" s="43">
        <v>193</v>
      </c>
      <c r="C262" s="186"/>
      <c r="D262" s="187"/>
      <c r="F262" s="193">
        <f t="shared" si="0"/>
        <v>0</v>
      </c>
      <c r="G262" s="34"/>
      <c r="H262" s="34"/>
      <c r="I262" s="34"/>
      <c r="J262" s="34"/>
      <c r="K262" s="34"/>
      <c r="L262" s="34"/>
      <c r="M262" s="34"/>
      <c r="N262" s="34"/>
      <c r="O262" s="34"/>
      <c r="P262" s="34"/>
      <c r="Q262" s="34"/>
      <c r="S262" s="141"/>
      <c r="U262" s="43">
        <v>193</v>
      </c>
      <c r="V262" s="186"/>
      <c r="W262" s="187"/>
      <c r="Y262" s="195">
        <f t="shared" si="1"/>
        <v>0</v>
      </c>
      <c r="Z262" s="34"/>
      <c r="AA262" s="34"/>
      <c r="AB262" s="34"/>
      <c r="AC262" s="34"/>
      <c r="AD262" s="34"/>
      <c r="AE262" s="34"/>
      <c r="AF262" s="34"/>
      <c r="AG262" s="34"/>
      <c r="AH262" s="34"/>
      <c r="AI262" s="184"/>
      <c r="AJ262" s="184"/>
      <c r="AK262" s="184"/>
      <c r="AL262" s="141"/>
    </row>
    <row r="263" spans="2:38" ht="12.75" customHeight="1">
      <c r="B263" s="43">
        <v>194</v>
      </c>
      <c r="C263" s="186"/>
      <c r="D263" s="187"/>
      <c r="F263" s="193">
        <f t="shared" si="0"/>
        <v>0</v>
      </c>
      <c r="G263" s="34"/>
      <c r="H263" s="34"/>
      <c r="I263" s="34"/>
      <c r="J263" s="34"/>
      <c r="K263" s="34"/>
      <c r="L263" s="34"/>
      <c r="M263" s="34"/>
      <c r="N263" s="34"/>
      <c r="O263" s="34"/>
      <c r="P263" s="34"/>
      <c r="Q263" s="34"/>
      <c r="S263" s="141"/>
      <c r="U263" s="43">
        <v>194</v>
      </c>
      <c r="V263" s="186"/>
      <c r="W263" s="187"/>
      <c r="Y263" s="195">
        <f t="shared" si="1"/>
        <v>0</v>
      </c>
      <c r="Z263" s="34"/>
      <c r="AA263" s="34"/>
      <c r="AB263" s="34"/>
      <c r="AC263" s="34"/>
      <c r="AD263" s="34"/>
      <c r="AE263" s="34"/>
      <c r="AF263" s="34"/>
      <c r="AG263" s="34"/>
      <c r="AH263" s="34"/>
      <c r="AI263" s="184"/>
      <c r="AJ263" s="184"/>
      <c r="AK263" s="184"/>
      <c r="AL263" s="141"/>
    </row>
    <row r="264" spans="2:38" ht="12.75" customHeight="1">
      <c r="B264" s="43">
        <v>195</v>
      </c>
      <c r="C264" s="186"/>
      <c r="D264" s="187"/>
      <c r="F264" s="193">
        <f t="shared" si="0"/>
        <v>0</v>
      </c>
      <c r="G264" s="34"/>
      <c r="H264" s="34"/>
      <c r="I264" s="34"/>
      <c r="J264" s="34"/>
      <c r="K264" s="34"/>
      <c r="L264" s="34"/>
      <c r="M264" s="34"/>
      <c r="N264" s="34"/>
      <c r="O264" s="34"/>
      <c r="P264" s="34"/>
      <c r="Q264" s="34"/>
      <c r="S264" s="141"/>
      <c r="U264" s="43">
        <v>195</v>
      </c>
      <c r="V264" s="186"/>
      <c r="W264" s="187"/>
      <c r="Y264" s="195">
        <f t="shared" si="1"/>
        <v>0</v>
      </c>
      <c r="Z264" s="34"/>
      <c r="AA264" s="34"/>
      <c r="AB264" s="34"/>
      <c r="AC264" s="34"/>
      <c r="AD264" s="34"/>
      <c r="AE264" s="34"/>
      <c r="AF264" s="34"/>
      <c r="AG264" s="34"/>
      <c r="AH264" s="34"/>
      <c r="AI264" s="184"/>
      <c r="AJ264" s="184"/>
      <c r="AK264" s="184"/>
      <c r="AL264" s="141"/>
    </row>
    <row r="265" spans="2:38" ht="12.75" customHeight="1">
      <c r="B265" s="43">
        <v>196</v>
      </c>
      <c r="C265" s="186"/>
      <c r="D265" s="187"/>
      <c r="F265" s="193">
        <f t="shared" si="0"/>
        <v>0</v>
      </c>
      <c r="G265" s="34"/>
      <c r="H265" s="34"/>
      <c r="I265" s="34"/>
      <c r="J265" s="34"/>
      <c r="K265" s="34"/>
      <c r="L265" s="34"/>
      <c r="M265" s="34"/>
      <c r="N265" s="34"/>
      <c r="O265" s="34"/>
      <c r="P265" s="34"/>
      <c r="Q265" s="34"/>
      <c r="S265" s="141"/>
      <c r="U265" s="43">
        <v>196</v>
      </c>
      <c r="V265" s="186"/>
      <c r="W265" s="187"/>
      <c r="Y265" s="195">
        <f t="shared" si="1"/>
        <v>0</v>
      </c>
      <c r="Z265" s="34"/>
      <c r="AA265" s="34"/>
      <c r="AB265" s="34"/>
      <c r="AC265" s="34"/>
      <c r="AD265" s="34"/>
      <c r="AE265" s="34"/>
      <c r="AF265" s="34"/>
      <c r="AG265" s="34"/>
      <c r="AH265" s="34"/>
      <c r="AI265" s="184"/>
      <c r="AJ265" s="184"/>
      <c r="AK265" s="184"/>
      <c r="AL265" s="141"/>
    </row>
    <row r="266" spans="2:38" ht="12.75" customHeight="1">
      <c r="B266" s="43">
        <v>197</v>
      </c>
      <c r="C266" s="186"/>
      <c r="D266" s="187"/>
      <c r="F266" s="193">
        <f t="shared" si="0"/>
        <v>0</v>
      </c>
      <c r="G266" s="34"/>
      <c r="H266" s="34"/>
      <c r="I266" s="34"/>
      <c r="J266" s="34"/>
      <c r="K266" s="34"/>
      <c r="L266" s="34"/>
      <c r="M266" s="34"/>
      <c r="N266" s="34"/>
      <c r="O266" s="34"/>
      <c r="P266" s="34"/>
      <c r="Q266" s="34"/>
      <c r="S266" s="141"/>
      <c r="U266" s="43">
        <v>197</v>
      </c>
      <c r="V266" s="186"/>
      <c r="W266" s="187"/>
      <c r="Y266" s="195">
        <f t="shared" si="1"/>
        <v>0</v>
      </c>
      <c r="Z266" s="34"/>
      <c r="AA266" s="34"/>
      <c r="AB266" s="34"/>
      <c r="AC266" s="34"/>
      <c r="AD266" s="34"/>
      <c r="AE266" s="34"/>
      <c r="AF266" s="34"/>
      <c r="AG266" s="34"/>
      <c r="AH266" s="34"/>
      <c r="AI266" s="184"/>
      <c r="AJ266" s="184"/>
      <c r="AK266" s="184"/>
      <c r="AL266" s="141"/>
    </row>
    <row r="267" spans="2:38" ht="12.75" customHeight="1">
      <c r="B267" s="43">
        <v>198</v>
      </c>
      <c r="C267" s="186"/>
      <c r="D267" s="187"/>
      <c r="F267" s="193">
        <f t="shared" si="0"/>
        <v>0</v>
      </c>
      <c r="G267" s="34"/>
      <c r="H267" s="34"/>
      <c r="I267" s="34"/>
      <c r="J267" s="34"/>
      <c r="K267" s="34"/>
      <c r="L267" s="34"/>
      <c r="M267" s="34"/>
      <c r="N267" s="34"/>
      <c r="O267" s="34"/>
      <c r="P267" s="34"/>
      <c r="Q267" s="34"/>
      <c r="S267" s="141"/>
      <c r="U267" s="43">
        <v>198</v>
      </c>
      <c r="V267" s="186"/>
      <c r="W267" s="187"/>
      <c r="Y267" s="195">
        <f t="shared" si="1"/>
        <v>0</v>
      </c>
      <c r="Z267" s="34"/>
      <c r="AA267" s="34"/>
      <c r="AB267" s="34"/>
      <c r="AC267" s="34"/>
      <c r="AD267" s="34"/>
      <c r="AE267" s="34"/>
      <c r="AF267" s="34"/>
      <c r="AG267" s="34"/>
      <c r="AH267" s="34"/>
      <c r="AI267" s="184"/>
      <c r="AJ267" s="184"/>
      <c r="AK267" s="184"/>
      <c r="AL267" s="141"/>
    </row>
    <row r="268" spans="2:38" ht="12.75" customHeight="1">
      <c r="B268" s="43">
        <v>199</v>
      </c>
      <c r="C268" s="186"/>
      <c r="D268" s="187"/>
      <c r="F268" s="193">
        <f t="shared" si="0"/>
        <v>0</v>
      </c>
      <c r="G268" s="34"/>
      <c r="H268" s="34"/>
      <c r="I268" s="34"/>
      <c r="J268" s="34"/>
      <c r="K268" s="34"/>
      <c r="L268" s="34"/>
      <c r="M268" s="34"/>
      <c r="N268" s="34"/>
      <c r="O268" s="34"/>
      <c r="P268" s="34"/>
      <c r="Q268" s="34"/>
      <c r="S268" s="141"/>
      <c r="U268" s="43">
        <v>199</v>
      </c>
      <c r="V268" s="186"/>
      <c r="W268" s="187"/>
      <c r="Y268" s="195">
        <f t="shared" si="1"/>
        <v>0</v>
      </c>
      <c r="Z268" s="34"/>
      <c r="AA268" s="34"/>
      <c r="AB268" s="34"/>
      <c r="AC268" s="34"/>
      <c r="AD268" s="34"/>
      <c r="AE268" s="34"/>
      <c r="AF268" s="34"/>
      <c r="AG268" s="34"/>
      <c r="AH268" s="34"/>
      <c r="AI268" s="184"/>
      <c r="AJ268" s="184"/>
      <c r="AK268" s="184"/>
      <c r="AL268" s="141"/>
    </row>
    <row r="269" spans="2:38" ht="12.75" customHeight="1">
      <c r="B269" s="43">
        <v>200</v>
      </c>
      <c r="C269" s="186"/>
      <c r="D269" s="187"/>
      <c r="F269" s="193">
        <f t="shared" si="0"/>
        <v>0</v>
      </c>
      <c r="G269" s="34"/>
      <c r="H269" s="34"/>
      <c r="I269" s="34"/>
      <c r="J269" s="34"/>
      <c r="K269" s="34"/>
      <c r="L269" s="34"/>
      <c r="M269" s="34"/>
      <c r="N269" s="34"/>
      <c r="O269" s="34"/>
      <c r="P269" s="34"/>
      <c r="Q269" s="34"/>
      <c r="S269" s="141"/>
      <c r="U269" s="43">
        <v>200</v>
      </c>
      <c r="V269" s="186"/>
      <c r="W269" s="187"/>
      <c r="Y269" s="195">
        <f t="shared" si="1"/>
        <v>0</v>
      </c>
      <c r="Z269" s="34"/>
      <c r="AA269" s="34"/>
      <c r="AB269" s="34"/>
      <c r="AC269" s="34"/>
      <c r="AD269" s="34"/>
      <c r="AE269" s="34"/>
      <c r="AF269" s="34"/>
      <c r="AG269" s="34"/>
      <c r="AH269" s="34"/>
      <c r="AI269" s="184"/>
      <c r="AJ269" s="184"/>
      <c r="AK269" s="184"/>
      <c r="AL269" s="141"/>
    </row>
    <row r="270" spans="2:38" ht="12.75" customHeight="1">
      <c r="B270" s="43">
        <v>201</v>
      </c>
      <c r="C270" s="186"/>
      <c r="D270" s="187"/>
      <c r="F270" s="193">
        <f t="shared" si="0"/>
        <v>0</v>
      </c>
      <c r="G270" s="34"/>
      <c r="H270" s="34"/>
      <c r="I270" s="34"/>
      <c r="J270" s="34"/>
      <c r="K270" s="34"/>
      <c r="L270" s="34"/>
      <c r="M270" s="34"/>
      <c r="N270" s="34"/>
      <c r="O270" s="34"/>
      <c r="P270" s="34"/>
      <c r="Q270" s="34"/>
      <c r="S270" s="141"/>
      <c r="U270" s="43">
        <v>201</v>
      </c>
      <c r="V270" s="186"/>
      <c r="W270" s="187"/>
      <c r="Y270" s="195">
        <f t="shared" si="1"/>
        <v>0</v>
      </c>
      <c r="Z270" s="34"/>
      <c r="AA270" s="34"/>
      <c r="AB270" s="34"/>
      <c r="AC270" s="34"/>
      <c r="AD270" s="34"/>
      <c r="AE270" s="34"/>
      <c r="AF270" s="34"/>
      <c r="AG270" s="34"/>
      <c r="AH270" s="34"/>
      <c r="AI270" s="184"/>
      <c r="AJ270" s="184"/>
      <c r="AK270" s="184"/>
      <c r="AL270" s="141"/>
    </row>
    <row r="271" spans="2:38" ht="12.75" customHeight="1">
      <c r="B271" s="43">
        <v>202</v>
      </c>
      <c r="C271" s="186"/>
      <c r="D271" s="187"/>
      <c r="F271" s="193">
        <f t="shared" si="0"/>
        <v>0</v>
      </c>
      <c r="G271" s="34"/>
      <c r="H271" s="34"/>
      <c r="I271" s="34"/>
      <c r="J271" s="34"/>
      <c r="K271" s="34"/>
      <c r="L271" s="34"/>
      <c r="M271" s="34"/>
      <c r="N271" s="34"/>
      <c r="O271" s="34"/>
      <c r="P271" s="34"/>
      <c r="Q271" s="34"/>
      <c r="S271" s="141"/>
      <c r="U271" s="43">
        <v>202</v>
      </c>
      <c r="V271" s="186"/>
      <c r="W271" s="187"/>
      <c r="Y271" s="195">
        <f t="shared" si="1"/>
        <v>0</v>
      </c>
      <c r="Z271" s="34"/>
      <c r="AA271" s="34"/>
      <c r="AB271" s="34"/>
      <c r="AC271" s="34"/>
      <c r="AD271" s="34"/>
      <c r="AE271" s="34"/>
      <c r="AF271" s="34"/>
      <c r="AG271" s="34"/>
      <c r="AH271" s="34"/>
      <c r="AI271" s="184"/>
      <c r="AJ271" s="184"/>
      <c r="AK271" s="184"/>
      <c r="AL271" s="141"/>
    </row>
    <row r="272" spans="2:38" ht="12.75" customHeight="1">
      <c r="B272" s="43">
        <v>203</v>
      </c>
      <c r="C272" s="186"/>
      <c r="D272" s="187"/>
      <c r="F272" s="193">
        <f t="shared" si="0"/>
        <v>0</v>
      </c>
      <c r="G272" s="34"/>
      <c r="H272" s="34"/>
      <c r="I272" s="34"/>
      <c r="J272" s="34"/>
      <c r="K272" s="34"/>
      <c r="L272" s="34"/>
      <c r="M272" s="34"/>
      <c r="N272" s="34"/>
      <c r="O272" s="34"/>
      <c r="P272" s="34"/>
      <c r="Q272" s="34"/>
      <c r="S272" s="141"/>
      <c r="U272" s="43">
        <v>203</v>
      </c>
      <c r="V272" s="186"/>
      <c r="W272" s="187"/>
      <c r="Y272" s="195">
        <f t="shared" si="1"/>
        <v>0</v>
      </c>
      <c r="Z272" s="34"/>
      <c r="AA272" s="34"/>
      <c r="AB272" s="34"/>
      <c r="AC272" s="34"/>
      <c r="AD272" s="34"/>
      <c r="AE272" s="34"/>
      <c r="AF272" s="34"/>
      <c r="AG272" s="34"/>
      <c r="AH272" s="34"/>
      <c r="AI272" s="184"/>
      <c r="AJ272" s="184"/>
      <c r="AK272" s="184"/>
      <c r="AL272" s="141"/>
    </row>
    <row r="273" spans="2:38" ht="12.75" customHeight="1">
      <c r="B273" s="43">
        <v>204</v>
      </c>
      <c r="C273" s="186"/>
      <c r="D273" s="187"/>
      <c r="F273" s="193">
        <f t="shared" si="0"/>
        <v>0</v>
      </c>
      <c r="G273" s="34"/>
      <c r="H273" s="34"/>
      <c r="I273" s="34"/>
      <c r="J273" s="34"/>
      <c r="K273" s="34"/>
      <c r="L273" s="34"/>
      <c r="M273" s="34"/>
      <c r="N273" s="34"/>
      <c r="O273" s="34"/>
      <c r="P273" s="34"/>
      <c r="Q273" s="34"/>
      <c r="S273" s="141"/>
      <c r="U273" s="43">
        <v>204</v>
      </c>
      <c r="V273" s="186"/>
      <c r="W273" s="187"/>
      <c r="Y273" s="195">
        <f t="shared" si="1"/>
        <v>0</v>
      </c>
      <c r="Z273" s="34"/>
      <c r="AA273" s="34"/>
      <c r="AB273" s="34"/>
      <c r="AC273" s="34"/>
      <c r="AD273" s="34"/>
      <c r="AE273" s="34"/>
      <c r="AF273" s="34"/>
      <c r="AG273" s="34"/>
      <c r="AH273" s="34"/>
      <c r="AI273" s="184"/>
      <c r="AJ273" s="184"/>
      <c r="AK273" s="184"/>
      <c r="AL273" s="141"/>
    </row>
    <row r="274" spans="2:38" ht="12.75" customHeight="1">
      <c r="B274" s="43">
        <v>205</v>
      </c>
      <c r="C274" s="186"/>
      <c r="D274" s="187"/>
      <c r="F274" s="193">
        <f t="shared" si="0"/>
        <v>0</v>
      </c>
      <c r="G274" s="34"/>
      <c r="H274" s="34"/>
      <c r="I274" s="34"/>
      <c r="J274" s="34"/>
      <c r="K274" s="34"/>
      <c r="L274" s="34"/>
      <c r="M274" s="34"/>
      <c r="N274" s="34"/>
      <c r="O274" s="34"/>
      <c r="P274" s="34"/>
      <c r="Q274" s="34"/>
      <c r="S274" s="141"/>
      <c r="U274" s="43">
        <v>205</v>
      </c>
      <c r="V274" s="186"/>
      <c r="W274" s="187"/>
      <c r="Y274" s="195">
        <f t="shared" si="1"/>
        <v>0</v>
      </c>
      <c r="Z274" s="34"/>
      <c r="AA274" s="34"/>
      <c r="AB274" s="34"/>
      <c r="AC274" s="34"/>
      <c r="AD274" s="34"/>
      <c r="AE274" s="34"/>
      <c r="AF274" s="34"/>
      <c r="AG274" s="34"/>
      <c r="AH274" s="34"/>
      <c r="AI274" s="184"/>
      <c r="AJ274" s="184"/>
      <c r="AK274" s="184"/>
      <c r="AL274" s="141"/>
    </row>
    <row r="275" spans="2:38" ht="12.75" customHeight="1">
      <c r="B275" s="43">
        <v>206</v>
      </c>
      <c r="C275" s="186"/>
      <c r="D275" s="187"/>
      <c r="F275" s="193">
        <f t="shared" si="0"/>
        <v>0</v>
      </c>
      <c r="G275" s="34"/>
      <c r="H275" s="34"/>
      <c r="I275" s="34"/>
      <c r="J275" s="34"/>
      <c r="K275" s="34"/>
      <c r="L275" s="34"/>
      <c r="M275" s="34"/>
      <c r="N275" s="34"/>
      <c r="O275" s="34"/>
      <c r="P275" s="34"/>
      <c r="Q275" s="34"/>
      <c r="S275" s="141"/>
      <c r="U275" s="43">
        <v>206</v>
      </c>
      <c r="V275" s="186"/>
      <c r="W275" s="187"/>
      <c r="Y275" s="195">
        <f t="shared" si="1"/>
        <v>0</v>
      </c>
      <c r="Z275" s="34"/>
      <c r="AA275" s="34"/>
      <c r="AB275" s="34"/>
      <c r="AC275" s="34"/>
      <c r="AD275" s="34"/>
      <c r="AE275" s="34"/>
      <c r="AF275" s="34"/>
      <c r="AG275" s="34"/>
      <c r="AH275" s="34"/>
      <c r="AI275" s="184"/>
      <c r="AJ275" s="184"/>
      <c r="AK275" s="184"/>
      <c r="AL275" s="141"/>
    </row>
    <row r="276" spans="2:38" ht="12.75" customHeight="1">
      <c r="B276" s="43">
        <v>207</v>
      </c>
      <c r="C276" s="186"/>
      <c r="D276" s="187"/>
      <c r="F276" s="193">
        <f t="shared" si="0"/>
        <v>0</v>
      </c>
      <c r="G276" s="34"/>
      <c r="H276" s="34"/>
      <c r="I276" s="34"/>
      <c r="J276" s="34"/>
      <c r="K276" s="34"/>
      <c r="L276" s="34"/>
      <c r="M276" s="34"/>
      <c r="N276" s="34"/>
      <c r="O276" s="34"/>
      <c r="P276" s="34"/>
      <c r="Q276" s="34"/>
      <c r="S276" s="141"/>
      <c r="U276" s="43">
        <v>207</v>
      </c>
      <c r="V276" s="186"/>
      <c r="W276" s="187"/>
      <c r="Y276" s="195">
        <f t="shared" si="1"/>
        <v>0</v>
      </c>
      <c r="Z276" s="34"/>
      <c r="AA276" s="34"/>
      <c r="AB276" s="34"/>
      <c r="AC276" s="34"/>
      <c r="AD276" s="34"/>
      <c r="AE276" s="34"/>
      <c r="AF276" s="34"/>
      <c r="AG276" s="34"/>
      <c r="AH276" s="34"/>
      <c r="AI276" s="184"/>
      <c r="AJ276" s="184"/>
      <c r="AK276" s="184"/>
      <c r="AL276" s="141"/>
    </row>
    <row r="277" spans="2:38" ht="12.75" customHeight="1">
      <c r="B277" s="43">
        <v>208</v>
      </c>
      <c r="C277" s="186"/>
      <c r="D277" s="187"/>
      <c r="F277" s="193">
        <f t="shared" si="0"/>
        <v>0</v>
      </c>
      <c r="G277" s="34"/>
      <c r="H277" s="34"/>
      <c r="I277" s="34"/>
      <c r="J277" s="34"/>
      <c r="K277" s="34"/>
      <c r="L277" s="34"/>
      <c r="M277" s="34"/>
      <c r="N277" s="34"/>
      <c r="O277" s="34"/>
      <c r="P277" s="34"/>
      <c r="Q277" s="34"/>
      <c r="S277" s="141"/>
      <c r="U277" s="43">
        <v>208</v>
      </c>
      <c r="V277" s="186"/>
      <c r="W277" s="187"/>
      <c r="Y277" s="195">
        <f t="shared" si="1"/>
        <v>0</v>
      </c>
      <c r="Z277" s="34"/>
      <c r="AA277" s="34"/>
      <c r="AB277" s="34"/>
      <c r="AC277" s="34"/>
      <c r="AD277" s="34"/>
      <c r="AE277" s="34"/>
      <c r="AF277" s="34"/>
      <c r="AG277" s="34"/>
      <c r="AH277" s="34"/>
      <c r="AI277" s="184"/>
      <c r="AJ277" s="184"/>
      <c r="AK277" s="184"/>
      <c r="AL277" s="141"/>
    </row>
    <row r="278" spans="2:38" ht="12.75" customHeight="1">
      <c r="B278" s="43">
        <v>209</v>
      </c>
      <c r="C278" s="186"/>
      <c r="D278" s="187"/>
      <c r="F278" s="193">
        <f t="shared" si="0"/>
        <v>0</v>
      </c>
      <c r="G278" s="34"/>
      <c r="H278" s="34"/>
      <c r="I278" s="34"/>
      <c r="J278" s="34"/>
      <c r="K278" s="34"/>
      <c r="L278" s="34"/>
      <c r="M278" s="34"/>
      <c r="N278" s="34"/>
      <c r="O278" s="34"/>
      <c r="P278" s="34"/>
      <c r="Q278" s="34"/>
      <c r="S278" s="141"/>
      <c r="U278" s="43">
        <v>209</v>
      </c>
      <c r="V278" s="186"/>
      <c r="W278" s="187"/>
      <c r="Y278" s="195">
        <f t="shared" si="1"/>
        <v>0</v>
      </c>
      <c r="Z278" s="34"/>
      <c r="AA278" s="34"/>
      <c r="AB278" s="34"/>
      <c r="AC278" s="34"/>
      <c r="AD278" s="34"/>
      <c r="AE278" s="34"/>
      <c r="AF278" s="34"/>
      <c r="AG278" s="34"/>
      <c r="AH278" s="34"/>
      <c r="AI278" s="184"/>
      <c r="AJ278" s="184"/>
      <c r="AK278" s="184"/>
      <c r="AL278" s="141"/>
    </row>
    <row r="279" spans="2:38" ht="12.75" customHeight="1">
      <c r="B279" s="43">
        <v>210</v>
      </c>
      <c r="C279" s="186"/>
      <c r="D279" s="187"/>
      <c r="F279" s="193">
        <f t="shared" si="0"/>
        <v>0</v>
      </c>
      <c r="G279" s="34"/>
      <c r="H279" s="34"/>
      <c r="I279" s="34"/>
      <c r="J279" s="34"/>
      <c r="K279" s="34"/>
      <c r="L279" s="34"/>
      <c r="M279" s="34"/>
      <c r="N279" s="34"/>
      <c r="O279" s="34"/>
      <c r="P279" s="34"/>
      <c r="Q279" s="34"/>
      <c r="S279" s="141"/>
      <c r="U279" s="43">
        <v>210</v>
      </c>
      <c r="V279" s="186"/>
      <c r="W279" s="187"/>
      <c r="Y279" s="195">
        <f t="shared" si="1"/>
        <v>0</v>
      </c>
      <c r="Z279" s="34"/>
      <c r="AA279" s="34"/>
      <c r="AB279" s="34"/>
      <c r="AC279" s="34"/>
      <c r="AD279" s="34"/>
      <c r="AE279" s="34"/>
      <c r="AF279" s="34"/>
      <c r="AG279" s="34"/>
      <c r="AH279" s="34"/>
      <c r="AI279" s="184"/>
      <c r="AJ279" s="184"/>
      <c r="AK279" s="184"/>
      <c r="AL279" s="141"/>
    </row>
    <row r="280" spans="2:38" ht="12.75" customHeight="1">
      <c r="B280" s="43">
        <v>211</v>
      </c>
      <c r="C280" s="186"/>
      <c r="D280" s="187"/>
      <c r="F280" s="193">
        <f t="shared" si="0"/>
        <v>0</v>
      </c>
      <c r="G280" s="34"/>
      <c r="H280" s="34"/>
      <c r="I280" s="34"/>
      <c r="J280" s="34"/>
      <c r="K280" s="34"/>
      <c r="L280" s="34"/>
      <c r="M280" s="34"/>
      <c r="N280" s="34"/>
      <c r="O280" s="34"/>
      <c r="P280" s="34"/>
      <c r="Q280" s="34"/>
      <c r="S280" s="141"/>
      <c r="U280" s="43">
        <v>211</v>
      </c>
      <c r="V280" s="186"/>
      <c r="W280" s="187"/>
      <c r="Y280" s="195">
        <f t="shared" si="1"/>
        <v>0</v>
      </c>
      <c r="Z280" s="34"/>
      <c r="AA280" s="34"/>
      <c r="AB280" s="34"/>
      <c r="AC280" s="34"/>
      <c r="AD280" s="34"/>
      <c r="AE280" s="34"/>
      <c r="AF280" s="34"/>
      <c r="AG280" s="34"/>
      <c r="AH280" s="34"/>
      <c r="AI280" s="184"/>
      <c r="AJ280" s="184"/>
      <c r="AK280" s="184"/>
      <c r="AL280" s="141"/>
    </row>
    <row r="281" spans="2:38" ht="12.75" customHeight="1">
      <c r="B281" s="43">
        <v>212</v>
      </c>
      <c r="C281" s="186"/>
      <c r="D281" s="187"/>
      <c r="F281" s="193">
        <f t="shared" si="0"/>
        <v>0</v>
      </c>
      <c r="G281" s="34"/>
      <c r="H281" s="34"/>
      <c r="I281" s="34"/>
      <c r="J281" s="34"/>
      <c r="K281" s="34"/>
      <c r="L281" s="34"/>
      <c r="M281" s="34"/>
      <c r="N281" s="34"/>
      <c r="O281" s="34"/>
      <c r="P281" s="34"/>
      <c r="Q281" s="34"/>
      <c r="S281" s="141"/>
      <c r="U281" s="43">
        <v>212</v>
      </c>
      <c r="V281" s="186"/>
      <c r="W281" s="187"/>
      <c r="Y281" s="195">
        <f t="shared" si="1"/>
        <v>0</v>
      </c>
      <c r="Z281" s="34"/>
      <c r="AA281" s="34"/>
      <c r="AB281" s="34"/>
      <c r="AC281" s="34"/>
      <c r="AD281" s="34"/>
      <c r="AE281" s="34"/>
      <c r="AF281" s="34"/>
      <c r="AG281" s="34"/>
      <c r="AH281" s="34"/>
      <c r="AI281" s="184"/>
      <c r="AJ281" s="184"/>
      <c r="AK281" s="184"/>
      <c r="AL281" s="141"/>
    </row>
    <row r="282" spans="2:38" ht="12.75" customHeight="1">
      <c r="B282" s="43">
        <v>213</v>
      </c>
      <c r="C282" s="186"/>
      <c r="D282" s="187"/>
      <c r="F282" s="193">
        <f t="shared" si="0"/>
        <v>0</v>
      </c>
      <c r="G282" s="34"/>
      <c r="H282" s="34"/>
      <c r="I282" s="34"/>
      <c r="J282" s="34"/>
      <c r="K282" s="34"/>
      <c r="L282" s="34"/>
      <c r="M282" s="34"/>
      <c r="N282" s="34"/>
      <c r="O282" s="34"/>
      <c r="P282" s="34"/>
      <c r="Q282" s="34"/>
      <c r="S282" s="141"/>
      <c r="U282" s="43">
        <v>213</v>
      </c>
      <c r="V282" s="186"/>
      <c r="W282" s="187"/>
      <c r="Y282" s="195">
        <f t="shared" si="1"/>
        <v>0</v>
      </c>
      <c r="Z282" s="34"/>
      <c r="AA282" s="34"/>
      <c r="AB282" s="34"/>
      <c r="AC282" s="34"/>
      <c r="AD282" s="34"/>
      <c r="AE282" s="34"/>
      <c r="AF282" s="34"/>
      <c r="AG282" s="34"/>
      <c r="AH282" s="34"/>
      <c r="AI282" s="184"/>
      <c r="AJ282" s="184"/>
      <c r="AK282" s="184"/>
      <c r="AL282" s="141"/>
    </row>
    <row r="283" spans="2:38" ht="12.75" customHeight="1">
      <c r="B283" s="43">
        <v>214</v>
      </c>
      <c r="C283" s="186"/>
      <c r="D283" s="187"/>
      <c r="F283" s="193">
        <f t="shared" si="0"/>
        <v>0</v>
      </c>
      <c r="G283" s="34"/>
      <c r="H283" s="34"/>
      <c r="I283" s="34"/>
      <c r="J283" s="34"/>
      <c r="K283" s="34"/>
      <c r="L283" s="34"/>
      <c r="M283" s="34"/>
      <c r="N283" s="34"/>
      <c r="O283" s="34"/>
      <c r="P283" s="34"/>
      <c r="Q283" s="34"/>
      <c r="S283" s="141"/>
      <c r="U283" s="43">
        <v>214</v>
      </c>
      <c r="V283" s="186"/>
      <c r="W283" s="187"/>
      <c r="Y283" s="195">
        <f t="shared" si="1"/>
        <v>0</v>
      </c>
      <c r="Z283" s="34"/>
      <c r="AA283" s="34"/>
      <c r="AB283" s="34"/>
      <c r="AC283" s="34"/>
      <c r="AD283" s="34"/>
      <c r="AE283" s="34"/>
      <c r="AF283" s="34"/>
      <c r="AG283" s="34"/>
      <c r="AH283" s="34"/>
      <c r="AI283" s="184"/>
      <c r="AJ283" s="184"/>
      <c r="AK283" s="184"/>
      <c r="AL283" s="141"/>
    </row>
    <row r="284" spans="2:38" ht="12.75" customHeight="1">
      <c r="B284" s="43">
        <v>215</v>
      </c>
      <c r="C284" s="186"/>
      <c r="D284" s="187"/>
      <c r="F284" s="193">
        <f t="shared" si="0"/>
        <v>0</v>
      </c>
      <c r="G284" s="34"/>
      <c r="H284" s="34"/>
      <c r="I284" s="34"/>
      <c r="J284" s="34"/>
      <c r="K284" s="34"/>
      <c r="L284" s="34"/>
      <c r="M284" s="34"/>
      <c r="N284" s="34"/>
      <c r="O284" s="34"/>
      <c r="P284" s="34"/>
      <c r="Q284" s="34"/>
      <c r="S284" s="141"/>
      <c r="U284" s="43">
        <v>215</v>
      </c>
      <c r="V284" s="186"/>
      <c r="W284" s="187"/>
      <c r="Y284" s="195">
        <f t="shared" si="1"/>
        <v>0</v>
      </c>
      <c r="Z284" s="34"/>
      <c r="AA284" s="34"/>
      <c r="AB284" s="34"/>
      <c r="AC284" s="34"/>
      <c r="AD284" s="34"/>
      <c r="AE284" s="34"/>
      <c r="AF284" s="34"/>
      <c r="AG284" s="34"/>
      <c r="AH284" s="34"/>
      <c r="AI284" s="184"/>
      <c r="AJ284" s="184"/>
      <c r="AK284" s="184"/>
      <c r="AL284" s="141"/>
    </row>
    <row r="285" spans="2:38" ht="12.75" customHeight="1">
      <c r="B285" s="43">
        <v>216</v>
      </c>
      <c r="C285" s="186"/>
      <c r="D285" s="187"/>
      <c r="F285" s="193">
        <f t="shared" si="0"/>
        <v>0</v>
      </c>
      <c r="G285" s="34"/>
      <c r="H285" s="34"/>
      <c r="I285" s="34"/>
      <c r="J285" s="34"/>
      <c r="K285" s="34"/>
      <c r="L285" s="34"/>
      <c r="M285" s="34"/>
      <c r="N285" s="34"/>
      <c r="O285" s="34"/>
      <c r="P285" s="34"/>
      <c r="Q285" s="34"/>
      <c r="S285" s="141"/>
      <c r="U285" s="43">
        <v>216</v>
      </c>
      <c r="V285" s="186"/>
      <c r="W285" s="187"/>
      <c r="Y285" s="195">
        <f t="shared" si="1"/>
        <v>0</v>
      </c>
      <c r="Z285" s="34"/>
      <c r="AA285" s="34"/>
      <c r="AB285" s="34"/>
      <c r="AC285" s="34"/>
      <c r="AD285" s="34"/>
      <c r="AE285" s="34"/>
      <c r="AF285" s="34"/>
      <c r="AG285" s="34"/>
      <c r="AH285" s="34"/>
      <c r="AI285" s="184"/>
      <c r="AJ285" s="184"/>
      <c r="AK285" s="184"/>
      <c r="AL285" s="141"/>
    </row>
    <row r="286" spans="2:38" ht="12.75" customHeight="1">
      <c r="B286" s="43">
        <v>217</v>
      </c>
      <c r="C286" s="186"/>
      <c r="D286" s="187"/>
      <c r="F286" s="193">
        <f t="shared" si="0"/>
        <v>0</v>
      </c>
      <c r="G286" s="34"/>
      <c r="H286" s="34"/>
      <c r="I286" s="34"/>
      <c r="J286" s="34"/>
      <c r="K286" s="34"/>
      <c r="L286" s="34"/>
      <c r="M286" s="34"/>
      <c r="N286" s="34"/>
      <c r="O286" s="34"/>
      <c r="P286" s="34"/>
      <c r="Q286" s="34"/>
      <c r="S286" s="141"/>
      <c r="U286" s="43">
        <v>217</v>
      </c>
      <c r="V286" s="186"/>
      <c r="W286" s="187"/>
      <c r="Y286" s="195">
        <f t="shared" si="1"/>
        <v>0</v>
      </c>
      <c r="Z286" s="34"/>
      <c r="AA286" s="34"/>
      <c r="AB286" s="34"/>
      <c r="AC286" s="34"/>
      <c r="AD286" s="34"/>
      <c r="AE286" s="34"/>
      <c r="AF286" s="34"/>
      <c r="AG286" s="34"/>
      <c r="AH286" s="34"/>
      <c r="AI286" s="184"/>
      <c r="AJ286" s="184"/>
      <c r="AK286" s="184"/>
      <c r="AL286" s="141"/>
    </row>
    <row r="287" spans="2:38" ht="12.75" customHeight="1">
      <c r="B287" s="43">
        <v>218</v>
      </c>
      <c r="C287" s="186"/>
      <c r="D287" s="187"/>
      <c r="F287" s="193">
        <f t="shared" si="0"/>
        <v>0</v>
      </c>
      <c r="G287" s="34"/>
      <c r="H287" s="34"/>
      <c r="I287" s="34"/>
      <c r="J287" s="34"/>
      <c r="K287" s="34"/>
      <c r="L287" s="34"/>
      <c r="M287" s="34"/>
      <c r="N287" s="34"/>
      <c r="O287" s="34"/>
      <c r="P287" s="34"/>
      <c r="Q287" s="34"/>
      <c r="S287" s="141"/>
      <c r="U287" s="43">
        <v>218</v>
      </c>
      <c r="V287" s="186"/>
      <c r="W287" s="187"/>
      <c r="Y287" s="195">
        <f t="shared" si="1"/>
        <v>0</v>
      </c>
      <c r="Z287" s="34"/>
      <c r="AA287" s="34"/>
      <c r="AB287" s="34"/>
      <c r="AC287" s="34"/>
      <c r="AD287" s="34"/>
      <c r="AE287" s="34"/>
      <c r="AF287" s="34"/>
      <c r="AG287" s="34"/>
      <c r="AH287" s="34"/>
      <c r="AI287" s="184"/>
      <c r="AJ287" s="184"/>
      <c r="AK287" s="184"/>
      <c r="AL287" s="141"/>
    </row>
    <row r="288" spans="2:38" ht="12.75" customHeight="1">
      <c r="B288" s="43">
        <v>219</v>
      </c>
      <c r="C288" s="186"/>
      <c r="D288" s="187"/>
      <c r="F288" s="193">
        <f t="shared" si="0"/>
        <v>0</v>
      </c>
      <c r="G288" s="34"/>
      <c r="H288" s="34"/>
      <c r="I288" s="34"/>
      <c r="J288" s="34"/>
      <c r="K288" s="34"/>
      <c r="L288" s="34"/>
      <c r="M288" s="34"/>
      <c r="N288" s="34"/>
      <c r="O288" s="34"/>
      <c r="P288" s="34"/>
      <c r="Q288" s="34"/>
      <c r="S288" s="141"/>
      <c r="U288" s="43">
        <v>219</v>
      </c>
      <c r="V288" s="186"/>
      <c r="W288" s="187"/>
      <c r="Y288" s="195">
        <f t="shared" si="1"/>
        <v>0</v>
      </c>
      <c r="Z288" s="34"/>
      <c r="AA288" s="34"/>
      <c r="AB288" s="34"/>
      <c r="AC288" s="34"/>
      <c r="AD288" s="34"/>
      <c r="AE288" s="34"/>
      <c r="AF288" s="34"/>
      <c r="AG288" s="34"/>
      <c r="AH288" s="34"/>
      <c r="AI288" s="184"/>
      <c r="AJ288" s="184"/>
      <c r="AK288" s="184"/>
      <c r="AL288" s="141"/>
    </row>
    <row r="289" spans="2:38" ht="12.75" customHeight="1">
      <c r="B289" s="43">
        <v>220</v>
      </c>
      <c r="C289" s="186"/>
      <c r="D289" s="187"/>
      <c r="F289" s="193">
        <f t="shared" si="0"/>
        <v>0</v>
      </c>
      <c r="G289" s="34"/>
      <c r="H289" s="34"/>
      <c r="I289" s="34"/>
      <c r="J289" s="34"/>
      <c r="K289" s="34"/>
      <c r="L289" s="34"/>
      <c r="M289" s="34"/>
      <c r="N289" s="34"/>
      <c r="O289" s="34"/>
      <c r="P289" s="34"/>
      <c r="Q289" s="34"/>
      <c r="S289" s="141"/>
      <c r="U289" s="43">
        <v>220</v>
      </c>
      <c r="V289" s="186"/>
      <c r="W289" s="187"/>
      <c r="Y289" s="195">
        <f t="shared" si="1"/>
        <v>0</v>
      </c>
      <c r="Z289" s="34"/>
      <c r="AA289" s="34"/>
      <c r="AB289" s="34"/>
      <c r="AC289" s="34"/>
      <c r="AD289" s="34"/>
      <c r="AE289" s="34"/>
      <c r="AF289" s="34"/>
      <c r="AG289" s="34"/>
      <c r="AH289" s="34"/>
      <c r="AI289" s="184"/>
      <c r="AJ289" s="184"/>
      <c r="AK289" s="184"/>
      <c r="AL289" s="141"/>
    </row>
    <row r="290" spans="2:38" ht="12.75" customHeight="1">
      <c r="B290" s="43">
        <v>221</v>
      </c>
      <c r="C290" s="186"/>
      <c r="D290" s="187"/>
      <c r="F290" s="193">
        <f t="shared" si="0"/>
        <v>0</v>
      </c>
      <c r="G290" s="34"/>
      <c r="H290" s="34"/>
      <c r="I290" s="34"/>
      <c r="J290" s="34"/>
      <c r="K290" s="34"/>
      <c r="L290" s="34"/>
      <c r="M290" s="34"/>
      <c r="N290" s="34"/>
      <c r="O290" s="34"/>
      <c r="P290" s="34"/>
      <c r="Q290" s="34"/>
      <c r="S290" s="141"/>
      <c r="U290" s="43">
        <v>221</v>
      </c>
      <c r="V290" s="186"/>
      <c r="W290" s="187"/>
      <c r="Y290" s="195">
        <f t="shared" si="1"/>
        <v>0</v>
      </c>
      <c r="Z290" s="34"/>
      <c r="AA290" s="34"/>
      <c r="AB290" s="34"/>
      <c r="AC290" s="34"/>
      <c r="AD290" s="34"/>
      <c r="AE290" s="34"/>
      <c r="AF290" s="34"/>
      <c r="AG290" s="34"/>
      <c r="AH290" s="34"/>
      <c r="AI290" s="184"/>
      <c r="AJ290" s="184"/>
      <c r="AK290" s="184"/>
      <c r="AL290" s="141"/>
    </row>
    <row r="291" spans="2:38" ht="12.75" customHeight="1">
      <c r="B291" s="43">
        <v>222</v>
      </c>
      <c r="C291" s="186"/>
      <c r="D291" s="187"/>
      <c r="F291" s="193">
        <f t="shared" si="0"/>
        <v>0</v>
      </c>
      <c r="G291" s="34"/>
      <c r="H291" s="34"/>
      <c r="I291" s="34"/>
      <c r="J291" s="34"/>
      <c r="K291" s="34"/>
      <c r="L291" s="34"/>
      <c r="M291" s="34"/>
      <c r="N291" s="34"/>
      <c r="O291" s="34"/>
      <c r="P291" s="34"/>
      <c r="Q291" s="34"/>
      <c r="S291" s="141"/>
      <c r="U291" s="43">
        <v>222</v>
      </c>
      <c r="V291" s="186"/>
      <c r="W291" s="187"/>
      <c r="Y291" s="195">
        <f t="shared" si="1"/>
        <v>0</v>
      </c>
      <c r="Z291" s="34"/>
      <c r="AA291" s="34"/>
      <c r="AB291" s="34"/>
      <c r="AC291" s="34"/>
      <c r="AD291" s="34"/>
      <c r="AE291" s="34"/>
      <c r="AF291" s="34"/>
      <c r="AG291" s="34"/>
      <c r="AH291" s="34"/>
      <c r="AI291" s="184"/>
      <c r="AJ291" s="184"/>
      <c r="AK291" s="184"/>
      <c r="AL291" s="141"/>
    </row>
    <row r="292" spans="2:38" ht="12.75" customHeight="1">
      <c r="B292" s="43">
        <v>223</v>
      </c>
      <c r="C292" s="186"/>
      <c r="D292" s="187"/>
      <c r="F292" s="193">
        <f t="shared" si="0"/>
        <v>0</v>
      </c>
      <c r="G292" s="34"/>
      <c r="H292" s="34"/>
      <c r="I292" s="34"/>
      <c r="J292" s="34"/>
      <c r="K292" s="34"/>
      <c r="L292" s="34"/>
      <c r="M292" s="34"/>
      <c r="N292" s="34"/>
      <c r="O292" s="34"/>
      <c r="P292" s="34"/>
      <c r="Q292" s="34"/>
      <c r="S292" s="141"/>
      <c r="U292" s="43">
        <v>223</v>
      </c>
      <c r="V292" s="186"/>
      <c r="W292" s="187"/>
      <c r="Y292" s="195">
        <f t="shared" si="1"/>
        <v>0</v>
      </c>
      <c r="Z292" s="34"/>
      <c r="AA292" s="34"/>
      <c r="AB292" s="34"/>
      <c r="AC292" s="34"/>
      <c r="AD292" s="34"/>
      <c r="AE292" s="34"/>
      <c r="AF292" s="34"/>
      <c r="AG292" s="34"/>
      <c r="AH292" s="34"/>
      <c r="AI292" s="184"/>
      <c r="AJ292" s="184"/>
      <c r="AK292" s="184"/>
      <c r="AL292" s="141"/>
    </row>
    <row r="293" spans="2:38" ht="12.75" customHeight="1">
      <c r="B293" s="43">
        <v>224</v>
      </c>
      <c r="C293" s="186"/>
      <c r="D293" s="187"/>
      <c r="F293" s="193">
        <f t="shared" si="0"/>
        <v>0</v>
      </c>
      <c r="G293" s="34"/>
      <c r="H293" s="34"/>
      <c r="I293" s="34"/>
      <c r="J293" s="34"/>
      <c r="K293" s="34"/>
      <c r="L293" s="34"/>
      <c r="M293" s="34"/>
      <c r="N293" s="34"/>
      <c r="O293" s="34"/>
      <c r="P293" s="34"/>
      <c r="Q293" s="34"/>
      <c r="S293" s="141"/>
      <c r="U293" s="43">
        <v>224</v>
      </c>
      <c r="V293" s="186"/>
      <c r="W293" s="187"/>
      <c r="Y293" s="195">
        <f t="shared" si="1"/>
        <v>0</v>
      </c>
      <c r="Z293" s="34"/>
      <c r="AA293" s="34"/>
      <c r="AB293" s="34"/>
      <c r="AC293" s="34"/>
      <c r="AD293" s="34"/>
      <c r="AE293" s="34"/>
      <c r="AF293" s="34"/>
      <c r="AG293" s="34"/>
      <c r="AH293" s="34"/>
      <c r="AI293" s="184"/>
      <c r="AJ293" s="184"/>
      <c r="AK293" s="184"/>
      <c r="AL293" s="141"/>
    </row>
    <row r="294" spans="2:38" ht="12.75" customHeight="1">
      <c r="B294" s="43">
        <v>225</v>
      </c>
      <c r="C294" s="186"/>
      <c r="D294" s="187"/>
      <c r="F294" s="193">
        <f t="shared" si="0"/>
        <v>0</v>
      </c>
      <c r="G294" s="34"/>
      <c r="H294" s="34"/>
      <c r="I294" s="34"/>
      <c r="J294" s="34"/>
      <c r="K294" s="34"/>
      <c r="L294" s="34"/>
      <c r="M294" s="34"/>
      <c r="N294" s="34"/>
      <c r="O294" s="34"/>
      <c r="P294" s="34"/>
      <c r="Q294" s="34"/>
      <c r="S294" s="141"/>
      <c r="U294" s="43">
        <v>225</v>
      </c>
      <c r="V294" s="186"/>
      <c r="W294" s="187"/>
      <c r="Y294" s="195">
        <f t="shared" si="1"/>
        <v>0</v>
      </c>
      <c r="Z294" s="34"/>
      <c r="AA294" s="34"/>
      <c r="AB294" s="34"/>
      <c r="AC294" s="34"/>
      <c r="AD294" s="34"/>
      <c r="AE294" s="34"/>
      <c r="AF294" s="34"/>
      <c r="AG294" s="34"/>
      <c r="AH294" s="34"/>
      <c r="AI294" s="184"/>
      <c r="AJ294" s="184"/>
      <c r="AK294" s="184"/>
      <c r="AL294" s="141"/>
    </row>
    <row r="295" spans="2:38" ht="12.75" customHeight="1">
      <c r="B295" s="43">
        <v>226</v>
      </c>
      <c r="C295" s="186"/>
      <c r="D295" s="187"/>
      <c r="F295" s="193">
        <f t="shared" si="0"/>
        <v>0</v>
      </c>
      <c r="G295" s="34"/>
      <c r="H295" s="34"/>
      <c r="I295" s="34"/>
      <c r="J295" s="34"/>
      <c r="K295" s="34"/>
      <c r="L295" s="34"/>
      <c r="M295" s="34"/>
      <c r="N295" s="34"/>
      <c r="O295" s="34"/>
      <c r="P295" s="34"/>
      <c r="Q295" s="34"/>
      <c r="S295" s="141"/>
      <c r="U295" s="43">
        <v>226</v>
      </c>
      <c r="V295" s="186"/>
      <c r="W295" s="187"/>
      <c r="Y295" s="195">
        <f t="shared" si="1"/>
        <v>0</v>
      </c>
      <c r="Z295" s="34"/>
      <c r="AA295" s="34"/>
      <c r="AB295" s="34"/>
      <c r="AC295" s="34"/>
      <c r="AD295" s="34"/>
      <c r="AE295" s="34"/>
      <c r="AF295" s="34"/>
      <c r="AG295" s="34"/>
      <c r="AH295" s="34"/>
      <c r="AI295" s="184"/>
      <c r="AJ295" s="184"/>
      <c r="AK295" s="184"/>
      <c r="AL295" s="141"/>
    </row>
    <row r="296" spans="2:38" ht="12.75" customHeight="1">
      <c r="B296" s="43">
        <v>227</v>
      </c>
      <c r="C296" s="186"/>
      <c r="D296" s="187"/>
      <c r="F296" s="193">
        <f t="shared" si="0"/>
        <v>0</v>
      </c>
      <c r="G296" s="34"/>
      <c r="H296" s="34"/>
      <c r="I296" s="34"/>
      <c r="J296" s="34"/>
      <c r="K296" s="34"/>
      <c r="L296" s="34"/>
      <c r="M296" s="34"/>
      <c r="N296" s="34"/>
      <c r="O296" s="34"/>
      <c r="P296" s="34"/>
      <c r="Q296" s="34"/>
      <c r="S296" s="141"/>
      <c r="U296" s="43">
        <v>227</v>
      </c>
      <c r="V296" s="186"/>
      <c r="W296" s="187"/>
      <c r="Y296" s="195">
        <f t="shared" si="1"/>
        <v>0</v>
      </c>
      <c r="Z296" s="34"/>
      <c r="AA296" s="34"/>
      <c r="AB296" s="34"/>
      <c r="AC296" s="34"/>
      <c r="AD296" s="34"/>
      <c r="AE296" s="34"/>
      <c r="AF296" s="34"/>
      <c r="AG296" s="34"/>
      <c r="AH296" s="34"/>
      <c r="AI296" s="184"/>
      <c r="AJ296" s="184"/>
      <c r="AK296" s="184"/>
      <c r="AL296" s="141"/>
    </row>
    <row r="297" spans="2:38" ht="12.75" customHeight="1">
      <c r="B297" s="43">
        <v>228</v>
      </c>
      <c r="C297" s="186"/>
      <c r="D297" s="187"/>
      <c r="F297" s="193">
        <f t="shared" si="0"/>
        <v>0</v>
      </c>
      <c r="G297" s="34"/>
      <c r="H297" s="34"/>
      <c r="I297" s="34"/>
      <c r="J297" s="34"/>
      <c r="K297" s="34"/>
      <c r="L297" s="34"/>
      <c r="M297" s="34"/>
      <c r="N297" s="34"/>
      <c r="O297" s="34"/>
      <c r="P297" s="34"/>
      <c r="Q297" s="34"/>
      <c r="S297" s="141"/>
      <c r="U297" s="43">
        <v>228</v>
      </c>
      <c r="V297" s="186"/>
      <c r="W297" s="187"/>
      <c r="Y297" s="195">
        <f t="shared" si="1"/>
        <v>0</v>
      </c>
      <c r="Z297" s="34"/>
      <c r="AA297" s="34"/>
      <c r="AB297" s="34"/>
      <c r="AC297" s="34"/>
      <c r="AD297" s="34"/>
      <c r="AE297" s="34"/>
      <c r="AF297" s="34"/>
      <c r="AG297" s="34"/>
      <c r="AH297" s="34"/>
      <c r="AI297" s="184"/>
      <c r="AJ297" s="184"/>
      <c r="AK297" s="184"/>
      <c r="AL297" s="141"/>
    </row>
    <row r="298" spans="2:38" ht="12.75" customHeight="1">
      <c r="B298" s="43">
        <v>229</v>
      </c>
      <c r="C298" s="186"/>
      <c r="D298" s="187"/>
      <c r="F298" s="193">
        <f t="shared" si="0"/>
        <v>0</v>
      </c>
      <c r="G298" s="34"/>
      <c r="H298" s="34"/>
      <c r="I298" s="34"/>
      <c r="J298" s="34"/>
      <c r="K298" s="34"/>
      <c r="L298" s="34"/>
      <c r="M298" s="34"/>
      <c r="N298" s="34"/>
      <c r="O298" s="34"/>
      <c r="P298" s="34"/>
      <c r="Q298" s="34"/>
      <c r="S298" s="141"/>
      <c r="U298" s="43">
        <v>229</v>
      </c>
      <c r="V298" s="186"/>
      <c r="W298" s="187"/>
      <c r="Y298" s="195">
        <f t="shared" si="1"/>
        <v>0</v>
      </c>
      <c r="Z298" s="34"/>
      <c r="AA298" s="34"/>
      <c r="AB298" s="34"/>
      <c r="AC298" s="34"/>
      <c r="AD298" s="34"/>
      <c r="AE298" s="34"/>
      <c r="AF298" s="34"/>
      <c r="AG298" s="34"/>
      <c r="AH298" s="34"/>
      <c r="AI298" s="184"/>
      <c r="AJ298" s="184"/>
      <c r="AK298" s="184"/>
      <c r="AL298" s="141"/>
    </row>
    <row r="299" spans="2:38" ht="12.75" customHeight="1">
      <c r="B299" s="43">
        <v>230</v>
      </c>
      <c r="C299" s="186"/>
      <c r="D299" s="187"/>
      <c r="F299" s="193">
        <f t="shared" si="0"/>
        <v>0</v>
      </c>
      <c r="G299" s="34"/>
      <c r="H299" s="34"/>
      <c r="I299" s="34"/>
      <c r="J299" s="34"/>
      <c r="K299" s="34"/>
      <c r="L299" s="34"/>
      <c r="M299" s="34"/>
      <c r="N299" s="34"/>
      <c r="O299" s="34"/>
      <c r="P299" s="34"/>
      <c r="Q299" s="34"/>
      <c r="S299" s="141"/>
      <c r="U299" s="43">
        <v>230</v>
      </c>
      <c r="V299" s="186"/>
      <c r="W299" s="187"/>
      <c r="Y299" s="195">
        <f t="shared" si="1"/>
        <v>0</v>
      </c>
      <c r="Z299" s="34"/>
      <c r="AA299" s="34"/>
      <c r="AB299" s="34"/>
      <c r="AC299" s="34"/>
      <c r="AD299" s="34"/>
      <c r="AE299" s="34"/>
      <c r="AF299" s="34"/>
      <c r="AG299" s="34"/>
      <c r="AH299" s="34"/>
      <c r="AI299" s="184"/>
      <c r="AJ299" s="184"/>
      <c r="AK299" s="184"/>
      <c r="AL299" s="141"/>
    </row>
    <row r="300" spans="2:38" ht="12.75" customHeight="1">
      <c r="B300" s="43">
        <v>231</v>
      </c>
      <c r="C300" s="186"/>
      <c r="D300" s="187"/>
      <c r="F300" s="193">
        <f t="shared" si="0"/>
        <v>0</v>
      </c>
      <c r="G300" s="34"/>
      <c r="H300" s="34"/>
      <c r="I300" s="34"/>
      <c r="J300" s="34"/>
      <c r="K300" s="34"/>
      <c r="L300" s="34"/>
      <c r="M300" s="34"/>
      <c r="N300" s="34"/>
      <c r="O300" s="34"/>
      <c r="P300" s="34"/>
      <c r="Q300" s="34"/>
      <c r="S300" s="141"/>
      <c r="U300" s="43">
        <v>231</v>
      </c>
      <c r="V300" s="186"/>
      <c r="W300" s="187"/>
      <c r="Y300" s="195">
        <f t="shared" si="1"/>
        <v>0</v>
      </c>
      <c r="Z300" s="34"/>
      <c r="AA300" s="34"/>
      <c r="AB300" s="34"/>
      <c r="AC300" s="34"/>
      <c r="AD300" s="34"/>
      <c r="AE300" s="34"/>
      <c r="AF300" s="34"/>
      <c r="AG300" s="34"/>
      <c r="AH300" s="34"/>
      <c r="AI300" s="184"/>
      <c r="AJ300" s="184"/>
      <c r="AK300" s="184"/>
      <c r="AL300" s="141"/>
    </row>
    <row r="301" spans="2:38" ht="12.75" customHeight="1">
      <c r="B301" s="43">
        <v>232</v>
      </c>
      <c r="C301" s="186"/>
      <c r="D301" s="187"/>
      <c r="F301" s="193">
        <f t="shared" si="0"/>
        <v>0</v>
      </c>
      <c r="G301" s="34"/>
      <c r="H301" s="34"/>
      <c r="I301" s="34"/>
      <c r="J301" s="34"/>
      <c r="K301" s="34"/>
      <c r="L301" s="34"/>
      <c r="M301" s="34"/>
      <c r="N301" s="34"/>
      <c r="O301" s="34"/>
      <c r="P301" s="34"/>
      <c r="Q301" s="34"/>
      <c r="S301" s="141"/>
      <c r="U301" s="43">
        <v>232</v>
      </c>
      <c r="V301" s="186"/>
      <c r="W301" s="187"/>
      <c r="Y301" s="195">
        <f t="shared" si="1"/>
        <v>0</v>
      </c>
      <c r="Z301" s="34"/>
      <c r="AA301" s="34"/>
      <c r="AB301" s="34"/>
      <c r="AC301" s="34"/>
      <c r="AD301" s="34"/>
      <c r="AE301" s="34"/>
      <c r="AF301" s="34"/>
      <c r="AG301" s="34"/>
      <c r="AH301" s="34"/>
      <c r="AI301" s="184"/>
      <c r="AJ301" s="184"/>
      <c r="AK301" s="184"/>
      <c r="AL301" s="141"/>
    </row>
    <row r="302" spans="2:38" ht="12.75" customHeight="1">
      <c r="B302" s="43">
        <v>233</v>
      </c>
      <c r="C302" s="186"/>
      <c r="D302" s="187"/>
      <c r="F302" s="193">
        <f t="shared" si="0"/>
        <v>0</v>
      </c>
      <c r="G302" s="34"/>
      <c r="H302" s="34"/>
      <c r="I302" s="34"/>
      <c r="J302" s="34"/>
      <c r="K302" s="34"/>
      <c r="L302" s="34"/>
      <c r="M302" s="34"/>
      <c r="N302" s="34"/>
      <c r="O302" s="34"/>
      <c r="P302" s="34"/>
      <c r="Q302" s="34"/>
      <c r="S302" s="141"/>
      <c r="U302" s="43">
        <v>233</v>
      </c>
      <c r="V302" s="186"/>
      <c r="W302" s="187"/>
      <c r="Y302" s="195">
        <f t="shared" si="1"/>
        <v>0</v>
      </c>
      <c r="Z302" s="34"/>
      <c r="AA302" s="34"/>
      <c r="AB302" s="34"/>
      <c r="AC302" s="34"/>
      <c r="AD302" s="34"/>
      <c r="AE302" s="34"/>
      <c r="AF302" s="34"/>
      <c r="AG302" s="34"/>
      <c r="AH302" s="34"/>
      <c r="AI302" s="184"/>
      <c r="AJ302" s="184"/>
      <c r="AK302" s="184"/>
      <c r="AL302" s="141"/>
    </row>
    <row r="303" spans="2:38" ht="12.75" customHeight="1">
      <c r="B303" s="43">
        <v>234</v>
      </c>
      <c r="C303" s="186"/>
      <c r="D303" s="187"/>
      <c r="F303" s="193">
        <f t="shared" si="0"/>
        <v>0</v>
      </c>
      <c r="G303" s="34"/>
      <c r="H303" s="34"/>
      <c r="I303" s="34"/>
      <c r="J303" s="34"/>
      <c r="K303" s="34"/>
      <c r="L303" s="34"/>
      <c r="M303" s="34"/>
      <c r="N303" s="34"/>
      <c r="O303" s="34"/>
      <c r="P303" s="34"/>
      <c r="Q303" s="34"/>
      <c r="S303" s="141"/>
      <c r="U303" s="43">
        <v>234</v>
      </c>
      <c r="V303" s="186"/>
      <c r="W303" s="187"/>
      <c r="Y303" s="195">
        <f t="shared" si="1"/>
        <v>0</v>
      </c>
      <c r="Z303" s="34"/>
      <c r="AA303" s="34"/>
      <c r="AB303" s="34"/>
      <c r="AC303" s="34"/>
      <c r="AD303" s="34"/>
      <c r="AE303" s="34"/>
      <c r="AF303" s="34"/>
      <c r="AG303" s="34"/>
      <c r="AH303" s="34"/>
      <c r="AI303" s="184"/>
      <c r="AJ303" s="184"/>
      <c r="AK303" s="184"/>
      <c r="AL303" s="141"/>
    </row>
    <row r="304" spans="2:38" ht="12.75" customHeight="1">
      <c r="B304" s="43">
        <v>235</v>
      </c>
      <c r="C304" s="186"/>
      <c r="D304" s="187"/>
      <c r="F304" s="193">
        <f t="shared" si="0"/>
        <v>0</v>
      </c>
      <c r="G304" s="34"/>
      <c r="H304" s="34"/>
      <c r="I304" s="34"/>
      <c r="J304" s="34"/>
      <c r="K304" s="34"/>
      <c r="L304" s="34"/>
      <c r="M304" s="34"/>
      <c r="N304" s="34"/>
      <c r="O304" s="34"/>
      <c r="P304" s="34"/>
      <c r="Q304" s="34"/>
      <c r="S304" s="141"/>
      <c r="U304" s="43">
        <v>235</v>
      </c>
      <c r="V304" s="186"/>
      <c r="W304" s="187"/>
      <c r="Y304" s="195">
        <f t="shared" si="1"/>
        <v>0</v>
      </c>
      <c r="Z304" s="34"/>
      <c r="AA304" s="34"/>
      <c r="AB304" s="34"/>
      <c r="AC304" s="34"/>
      <c r="AD304" s="34"/>
      <c r="AE304" s="34"/>
      <c r="AF304" s="34"/>
      <c r="AG304" s="34"/>
      <c r="AH304" s="34"/>
      <c r="AI304" s="184"/>
      <c r="AJ304" s="184"/>
      <c r="AK304" s="184"/>
      <c r="AL304" s="141"/>
    </row>
    <row r="305" spans="2:38" ht="12.75" customHeight="1">
      <c r="B305" s="43">
        <v>236</v>
      </c>
      <c r="C305" s="186"/>
      <c r="D305" s="187"/>
      <c r="F305" s="193">
        <f t="shared" si="0"/>
        <v>0</v>
      </c>
      <c r="G305" s="34"/>
      <c r="H305" s="34"/>
      <c r="I305" s="34"/>
      <c r="J305" s="34"/>
      <c r="K305" s="34"/>
      <c r="L305" s="34"/>
      <c r="M305" s="34"/>
      <c r="N305" s="34"/>
      <c r="O305" s="34"/>
      <c r="P305" s="34"/>
      <c r="Q305" s="34"/>
      <c r="S305" s="141"/>
      <c r="U305" s="43">
        <v>236</v>
      </c>
      <c r="V305" s="186"/>
      <c r="W305" s="187"/>
      <c r="Y305" s="195">
        <f t="shared" si="1"/>
        <v>0</v>
      </c>
      <c r="Z305" s="34"/>
      <c r="AA305" s="34"/>
      <c r="AB305" s="34"/>
      <c r="AC305" s="34"/>
      <c r="AD305" s="34"/>
      <c r="AE305" s="34"/>
      <c r="AF305" s="34"/>
      <c r="AG305" s="34"/>
      <c r="AH305" s="34"/>
      <c r="AI305" s="184"/>
      <c r="AJ305" s="184"/>
      <c r="AK305" s="184"/>
      <c r="AL305" s="141"/>
    </row>
    <row r="306" spans="2:38" ht="12.75" customHeight="1">
      <c r="B306" s="43">
        <v>237</v>
      </c>
      <c r="C306" s="186"/>
      <c r="D306" s="187"/>
      <c r="F306" s="193">
        <f t="shared" si="0"/>
        <v>0</v>
      </c>
      <c r="G306" s="34"/>
      <c r="H306" s="34"/>
      <c r="I306" s="34"/>
      <c r="J306" s="34"/>
      <c r="K306" s="34"/>
      <c r="L306" s="34"/>
      <c r="M306" s="34"/>
      <c r="N306" s="34"/>
      <c r="O306" s="34"/>
      <c r="P306" s="34"/>
      <c r="Q306" s="34"/>
      <c r="S306" s="141"/>
      <c r="U306" s="43">
        <v>237</v>
      </c>
      <c r="V306" s="186"/>
      <c r="W306" s="187"/>
      <c r="Y306" s="195">
        <f t="shared" si="1"/>
        <v>0</v>
      </c>
      <c r="Z306" s="34"/>
      <c r="AA306" s="34"/>
      <c r="AB306" s="34"/>
      <c r="AC306" s="34"/>
      <c r="AD306" s="34"/>
      <c r="AE306" s="34"/>
      <c r="AF306" s="34"/>
      <c r="AG306" s="34"/>
      <c r="AH306" s="34"/>
      <c r="AI306" s="184"/>
      <c r="AJ306" s="184"/>
      <c r="AK306" s="184"/>
      <c r="AL306" s="141"/>
    </row>
    <row r="307" spans="2:38" ht="12.75" customHeight="1">
      <c r="B307" s="43">
        <v>238</v>
      </c>
      <c r="C307" s="186"/>
      <c r="D307" s="187"/>
      <c r="F307" s="193">
        <f t="shared" si="0"/>
        <v>0</v>
      </c>
      <c r="G307" s="34"/>
      <c r="H307" s="34"/>
      <c r="I307" s="34"/>
      <c r="J307" s="34"/>
      <c r="K307" s="34"/>
      <c r="L307" s="34"/>
      <c r="M307" s="34"/>
      <c r="N307" s="34"/>
      <c r="O307" s="34"/>
      <c r="P307" s="34"/>
      <c r="Q307" s="34"/>
      <c r="S307" s="141"/>
      <c r="U307" s="43">
        <v>238</v>
      </c>
      <c r="V307" s="186"/>
      <c r="W307" s="187"/>
      <c r="Y307" s="195">
        <f t="shared" si="1"/>
        <v>0</v>
      </c>
      <c r="Z307" s="34"/>
      <c r="AA307" s="34"/>
      <c r="AB307" s="34"/>
      <c r="AC307" s="34"/>
      <c r="AD307" s="34"/>
      <c r="AE307" s="34"/>
      <c r="AF307" s="34"/>
      <c r="AG307" s="34"/>
      <c r="AH307" s="34"/>
      <c r="AI307" s="184"/>
      <c r="AJ307" s="184"/>
      <c r="AK307" s="184"/>
      <c r="AL307" s="141"/>
    </row>
    <row r="308" spans="2:38" ht="12.75" customHeight="1">
      <c r="B308" s="43">
        <v>239</v>
      </c>
      <c r="C308" s="186"/>
      <c r="D308" s="187"/>
      <c r="F308" s="193">
        <f t="shared" si="0"/>
        <v>0</v>
      </c>
      <c r="G308" s="34"/>
      <c r="H308" s="34"/>
      <c r="I308" s="34"/>
      <c r="J308" s="34"/>
      <c r="K308" s="34"/>
      <c r="L308" s="34"/>
      <c r="M308" s="34"/>
      <c r="N308" s="34"/>
      <c r="O308" s="34"/>
      <c r="P308" s="34"/>
      <c r="Q308" s="34"/>
      <c r="S308" s="141"/>
      <c r="U308" s="43">
        <v>239</v>
      </c>
      <c r="V308" s="186"/>
      <c r="W308" s="187"/>
      <c r="Y308" s="195">
        <f t="shared" si="1"/>
        <v>0</v>
      </c>
      <c r="Z308" s="34"/>
      <c r="AA308" s="34"/>
      <c r="AB308" s="34"/>
      <c r="AC308" s="34"/>
      <c r="AD308" s="34"/>
      <c r="AE308" s="34"/>
      <c r="AF308" s="34"/>
      <c r="AG308" s="34"/>
      <c r="AH308" s="34"/>
      <c r="AI308" s="184"/>
      <c r="AJ308" s="184"/>
      <c r="AK308" s="184"/>
      <c r="AL308" s="141"/>
    </row>
    <row r="309" spans="2:38" ht="12.75" customHeight="1">
      <c r="B309" s="43">
        <v>240</v>
      </c>
      <c r="C309" s="186"/>
      <c r="D309" s="187"/>
      <c r="F309" s="193">
        <f t="shared" si="0"/>
        <v>0</v>
      </c>
      <c r="G309" s="34"/>
      <c r="H309" s="34"/>
      <c r="I309" s="34"/>
      <c r="J309" s="34"/>
      <c r="K309" s="34"/>
      <c r="L309" s="34"/>
      <c r="M309" s="34"/>
      <c r="N309" s="34"/>
      <c r="O309" s="34"/>
      <c r="P309" s="34"/>
      <c r="Q309" s="34"/>
      <c r="S309" s="141"/>
      <c r="U309" s="43">
        <v>240</v>
      </c>
      <c r="V309" s="186"/>
      <c r="W309" s="187"/>
      <c r="Y309" s="195">
        <f t="shared" si="1"/>
        <v>0</v>
      </c>
      <c r="Z309" s="34"/>
      <c r="AA309" s="34"/>
      <c r="AB309" s="34"/>
      <c r="AC309" s="34"/>
      <c r="AD309" s="34"/>
      <c r="AE309" s="34"/>
      <c r="AF309" s="34"/>
      <c r="AG309" s="34"/>
      <c r="AH309" s="34"/>
      <c r="AI309" s="184"/>
      <c r="AJ309" s="184"/>
      <c r="AK309" s="184"/>
      <c r="AL309" s="141"/>
    </row>
    <row r="310" spans="2:38" ht="12.75" customHeight="1">
      <c r="B310" s="43">
        <v>241</v>
      </c>
      <c r="C310" s="186"/>
      <c r="D310" s="187"/>
      <c r="F310" s="193">
        <f t="shared" si="0"/>
        <v>0</v>
      </c>
      <c r="G310" s="34"/>
      <c r="H310" s="34"/>
      <c r="I310" s="34"/>
      <c r="J310" s="34"/>
      <c r="K310" s="34"/>
      <c r="L310" s="34"/>
      <c r="M310" s="34"/>
      <c r="N310" s="34"/>
      <c r="O310" s="34"/>
      <c r="P310" s="34"/>
      <c r="Q310" s="34"/>
      <c r="S310" s="141"/>
      <c r="U310" s="43">
        <v>241</v>
      </c>
      <c r="V310" s="186"/>
      <c r="W310" s="187"/>
      <c r="Y310" s="195">
        <f t="shared" si="1"/>
        <v>0</v>
      </c>
      <c r="Z310" s="34"/>
      <c r="AA310" s="34"/>
      <c r="AB310" s="34"/>
      <c r="AC310" s="34"/>
      <c r="AD310" s="34"/>
      <c r="AE310" s="34"/>
      <c r="AF310" s="34"/>
      <c r="AG310" s="34"/>
      <c r="AH310" s="34"/>
      <c r="AI310" s="184"/>
      <c r="AJ310" s="184"/>
      <c r="AK310" s="184"/>
      <c r="AL310" s="141"/>
    </row>
    <row r="311" spans="2:38" ht="12.75" customHeight="1">
      <c r="B311" s="43">
        <v>242</v>
      </c>
      <c r="C311" s="186"/>
      <c r="D311" s="187"/>
      <c r="F311" s="193">
        <f t="shared" si="0"/>
        <v>0</v>
      </c>
      <c r="G311" s="34"/>
      <c r="H311" s="34"/>
      <c r="I311" s="34"/>
      <c r="J311" s="34"/>
      <c r="K311" s="34"/>
      <c r="L311" s="34"/>
      <c r="M311" s="34"/>
      <c r="N311" s="34"/>
      <c r="O311" s="34"/>
      <c r="P311" s="34"/>
      <c r="Q311" s="34"/>
      <c r="S311" s="141"/>
      <c r="U311" s="43">
        <v>242</v>
      </c>
      <c r="V311" s="186"/>
      <c r="W311" s="187"/>
      <c r="Y311" s="195">
        <f t="shared" si="1"/>
        <v>0</v>
      </c>
      <c r="Z311" s="34"/>
      <c r="AA311" s="34"/>
      <c r="AB311" s="34"/>
      <c r="AC311" s="34"/>
      <c r="AD311" s="34"/>
      <c r="AE311" s="34"/>
      <c r="AF311" s="34"/>
      <c r="AG311" s="34"/>
      <c r="AH311" s="34"/>
      <c r="AI311" s="184"/>
      <c r="AJ311" s="184"/>
      <c r="AK311" s="184"/>
      <c r="AL311" s="141"/>
    </row>
    <row r="312" spans="2:38" ht="12.75" customHeight="1">
      <c r="B312" s="43">
        <v>243</v>
      </c>
      <c r="C312" s="186"/>
      <c r="D312" s="187"/>
      <c r="F312" s="193">
        <f t="shared" si="0"/>
        <v>0</v>
      </c>
      <c r="G312" s="34"/>
      <c r="H312" s="34"/>
      <c r="I312" s="34"/>
      <c r="J312" s="34"/>
      <c r="K312" s="34"/>
      <c r="L312" s="34"/>
      <c r="M312" s="34"/>
      <c r="N312" s="34"/>
      <c r="O312" s="34"/>
      <c r="P312" s="34"/>
      <c r="Q312" s="34"/>
      <c r="S312" s="141"/>
      <c r="U312" s="43">
        <v>243</v>
      </c>
      <c r="V312" s="186"/>
      <c r="W312" s="187"/>
      <c r="Y312" s="195">
        <f t="shared" si="1"/>
        <v>0</v>
      </c>
      <c r="Z312" s="34"/>
      <c r="AA312" s="34"/>
      <c r="AB312" s="34"/>
      <c r="AC312" s="34"/>
      <c r="AD312" s="34"/>
      <c r="AE312" s="34"/>
      <c r="AF312" s="34"/>
      <c r="AG312" s="34"/>
      <c r="AH312" s="34"/>
      <c r="AI312" s="184"/>
      <c r="AJ312" s="184"/>
      <c r="AK312" s="184"/>
      <c r="AL312" s="141"/>
    </row>
    <row r="313" spans="2:38" ht="12.75" customHeight="1">
      <c r="B313" s="43">
        <v>244</v>
      </c>
      <c r="C313" s="186"/>
      <c r="D313" s="187"/>
      <c r="F313" s="193">
        <f t="shared" si="0"/>
        <v>0</v>
      </c>
      <c r="G313" s="34"/>
      <c r="H313" s="34"/>
      <c r="I313" s="34"/>
      <c r="J313" s="34"/>
      <c r="K313" s="34"/>
      <c r="L313" s="34"/>
      <c r="M313" s="34"/>
      <c r="N313" s="34"/>
      <c r="O313" s="34"/>
      <c r="P313" s="34"/>
      <c r="Q313" s="34"/>
      <c r="S313" s="141"/>
      <c r="U313" s="43">
        <v>244</v>
      </c>
      <c r="V313" s="186"/>
      <c r="W313" s="187"/>
      <c r="Y313" s="195">
        <f t="shared" si="1"/>
        <v>0</v>
      </c>
      <c r="Z313" s="34"/>
      <c r="AA313" s="34"/>
      <c r="AB313" s="34"/>
      <c r="AC313" s="34"/>
      <c r="AD313" s="34"/>
      <c r="AE313" s="34"/>
      <c r="AF313" s="34"/>
      <c r="AG313" s="34"/>
      <c r="AH313" s="34"/>
      <c r="AI313" s="184"/>
      <c r="AJ313" s="184"/>
      <c r="AK313" s="184"/>
      <c r="AL313" s="141"/>
    </row>
    <row r="314" spans="2:38" ht="12.75" customHeight="1">
      <c r="B314" s="43">
        <v>245</v>
      </c>
      <c r="C314" s="186"/>
      <c r="D314" s="187"/>
      <c r="F314" s="193">
        <f t="shared" si="0"/>
        <v>0</v>
      </c>
      <c r="G314" s="34"/>
      <c r="H314" s="34"/>
      <c r="I314" s="34"/>
      <c r="J314" s="34"/>
      <c r="K314" s="34"/>
      <c r="L314" s="34"/>
      <c r="M314" s="34"/>
      <c r="N314" s="34"/>
      <c r="O314" s="34"/>
      <c r="P314" s="34"/>
      <c r="Q314" s="34"/>
      <c r="S314" s="141"/>
      <c r="U314" s="43">
        <v>245</v>
      </c>
      <c r="V314" s="186"/>
      <c r="W314" s="187"/>
      <c r="Y314" s="195">
        <f t="shared" si="1"/>
        <v>0</v>
      </c>
      <c r="Z314" s="34"/>
      <c r="AA314" s="34"/>
      <c r="AB314" s="34"/>
      <c r="AC314" s="34"/>
      <c r="AD314" s="34"/>
      <c r="AE314" s="34"/>
      <c r="AF314" s="34"/>
      <c r="AG314" s="34"/>
      <c r="AH314" s="34"/>
      <c r="AI314" s="184"/>
      <c r="AJ314" s="184"/>
      <c r="AK314" s="184"/>
      <c r="AL314" s="141"/>
    </row>
    <row r="315" spans="2:38" ht="12.75" customHeight="1">
      <c r="B315" s="43">
        <v>246</v>
      </c>
      <c r="C315" s="186"/>
      <c r="D315" s="187"/>
      <c r="F315" s="193">
        <f t="shared" si="0"/>
        <v>0</v>
      </c>
      <c r="G315" s="34"/>
      <c r="H315" s="34"/>
      <c r="I315" s="34"/>
      <c r="J315" s="34"/>
      <c r="K315" s="34"/>
      <c r="L315" s="34"/>
      <c r="M315" s="34"/>
      <c r="N315" s="34"/>
      <c r="O315" s="34"/>
      <c r="P315" s="34"/>
      <c r="Q315" s="34"/>
      <c r="S315" s="141"/>
      <c r="U315" s="43">
        <v>246</v>
      </c>
      <c r="V315" s="186"/>
      <c r="W315" s="187"/>
      <c r="Y315" s="195">
        <f t="shared" si="1"/>
        <v>0</v>
      </c>
      <c r="Z315" s="34"/>
      <c r="AA315" s="34"/>
      <c r="AB315" s="34"/>
      <c r="AC315" s="34"/>
      <c r="AD315" s="34"/>
      <c r="AE315" s="34"/>
      <c r="AF315" s="34"/>
      <c r="AG315" s="34"/>
      <c r="AH315" s="34"/>
      <c r="AI315" s="184"/>
      <c r="AJ315" s="184"/>
      <c r="AK315" s="184"/>
      <c r="AL315" s="141"/>
    </row>
    <row r="316" spans="2:38" ht="12.75" customHeight="1">
      <c r="B316" s="43">
        <v>247</v>
      </c>
      <c r="C316" s="186"/>
      <c r="D316" s="187"/>
      <c r="F316" s="193">
        <f t="shared" si="0"/>
        <v>0</v>
      </c>
      <c r="G316" s="34"/>
      <c r="H316" s="34"/>
      <c r="I316" s="34"/>
      <c r="J316" s="34"/>
      <c r="K316" s="34"/>
      <c r="L316" s="34"/>
      <c r="M316" s="34"/>
      <c r="N316" s="34"/>
      <c r="O316" s="34"/>
      <c r="P316" s="34"/>
      <c r="Q316" s="34"/>
      <c r="S316" s="141"/>
      <c r="U316" s="43">
        <v>247</v>
      </c>
      <c r="V316" s="186"/>
      <c r="W316" s="187"/>
      <c r="Y316" s="195">
        <f t="shared" si="1"/>
        <v>0</v>
      </c>
      <c r="Z316" s="34"/>
      <c r="AA316" s="34"/>
      <c r="AB316" s="34"/>
      <c r="AC316" s="34"/>
      <c r="AD316" s="34"/>
      <c r="AE316" s="34"/>
      <c r="AF316" s="34"/>
      <c r="AG316" s="34"/>
      <c r="AH316" s="34"/>
      <c r="AI316" s="184"/>
      <c r="AJ316" s="184"/>
      <c r="AK316" s="184"/>
      <c r="AL316" s="141"/>
    </row>
    <row r="317" spans="2:38" ht="12.75" customHeight="1">
      <c r="B317" s="43">
        <v>248</v>
      </c>
      <c r="C317" s="186"/>
      <c r="D317" s="187"/>
      <c r="F317" s="193">
        <f t="shared" si="0"/>
        <v>0</v>
      </c>
      <c r="G317" s="34"/>
      <c r="H317" s="34"/>
      <c r="I317" s="34"/>
      <c r="J317" s="34"/>
      <c r="K317" s="34"/>
      <c r="L317" s="34"/>
      <c r="M317" s="34"/>
      <c r="N317" s="34"/>
      <c r="O317" s="34"/>
      <c r="P317" s="34"/>
      <c r="Q317" s="34"/>
      <c r="S317" s="141"/>
      <c r="U317" s="43">
        <v>248</v>
      </c>
      <c r="V317" s="186"/>
      <c r="W317" s="187"/>
      <c r="Y317" s="195">
        <f t="shared" si="1"/>
        <v>0</v>
      </c>
      <c r="Z317" s="34"/>
      <c r="AA317" s="34"/>
      <c r="AB317" s="34"/>
      <c r="AC317" s="34"/>
      <c r="AD317" s="34"/>
      <c r="AE317" s="34"/>
      <c r="AF317" s="34"/>
      <c r="AG317" s="34"/>
      <c r="AH317" s="34"/>
      <c r="AI317" s="184"/>
      <c r="AJ317" s="184"/>
      <c r="AK317" s="184"/>
      <c r="AL317" s="141"/>
    </row>
    <row r="318" spans="2:38" ht="12.75" customHeight="1">
      <c r="B318" s="43">
        <v>249</v>
      </c>
      <c r="C318" s="186"/>
      <c r="D318" s="187"/>
      <c r="F318" s="193">
        <f t="shared" si="0"/>
        <v>0</v>
      </c>
      <c r="G318" s="34"/>
      <c r="H318" s="34"/>
      <c r="I318" s="34"/>
      <c r="J318" s="34"/>
      <c r="K318" s="34"/>
      <c r="L318" s="34"/>
      <c r="M318" s="34"/>
      <c r="N318" s="34"/>
      <c r="O318" s="34"/>
      <c r="P318" s="34"/>
      <c r="Q318" s="34"/>
      <c r="S318" s="141"/>
      <c r="U318" s="43">
        <v>249</v>
      </c>
      <c r="V318" s="186"/>
      <c r="W318" s="187"/>
      <c r="Y318" s="195">
        <f t="shared" si="1"/>
        <v>0</v>
      </c>
      <c r="Z318" s="34"/>
      <c r="AA318" s="34"/>
      <c r="AB318" s="34"/>
      <c r="AC318" s="34"/>
      <c r="AD318" s="34"/>
      <c r="AE318" s="34"/>
      <c r="AF318" s="34"/>
      <c r="AG318" s="34"/>
      <c r="AH318" s="34"/>
      <c r="AI318" s="184"/>
      <c r="AJ318" s="184"/>
      <c r="AK318" s="184"/>
      <c r="AL318" s="141"/>
    </row>
    <row r="319" spans="2:38" ht="12.75" customHeight="1">
      <c r="B319" s="43">
        <v>250</v>
      </c>
      <c r="C319" s="186"/>
      <c r="D319" s="187"/>
      <c r="F319" s="193">
        <f t="shared" si="0"/>
        <v>0</v>
      </c>
      <c r="G319" s="34"/>
      <c r="H319" s="34"/>
      <c r="I319" s="34"/>
      <c r="J319" s="34"/>
      <c r="K319" s="34"/>
      <c r="L319" s="34"/>
      <c r="M319" s="34"/>
      <c r="N319" s="34"/>
      <c r="O319" s="34"/>
      <c r="P319" s="34"/>
      <c r="Q319" s="34"/>
      <c r="S319" s="141"/>
      <c r="U319" s="43">
        <v>250</v>
      </c>
      <c r="V319" s="186"/>
      <c r="W319" s="187"/>
      <c r="Y319" s="195">
        <f t="shared" si="1"/>
        <v>0</v>
      </c>
      <c r="Z319" s="34"/>
      <c r="AA319" s="34"/>
      <c r="AB319" s="34"/>
      <c r="AC319" s="34"/>
      <c r="AD319" s="34"/>
      <c r="AE319" s="34"/>
      <c r="AF319" s="34"/>
      <c r="AG319" s="34"/>
      <c r="AH319" s="34"/>
      <c r="AI319" s="184"/>
      <c r="AJ319" s="184"/>
      <c r="AK319" s="184"/>
      <c r="AL319" s="141"/>
    </row>
    <row r="320" spans="2:38" ht="12.75" customHeight="1">
      <c r="B320" s="43">
        <v>251</v>
      </c>
      <c r="C320" s="186"/>
      <c r="D320" s="187"/>
      <c r="F320" s="193">
        <f t="shared" si="0"/>
        <v>0</v>
      </c>
      <c r="G320" s="34"/>
      <c r="H320" s="34"/>
      <c r="I320" s="34"/>
      <c r="J320" s="34"/>
      <c r="K320" s="34"/>
      <c r="L320" s="34"/>
      <c r="M320" s="34"/>
      <c r="N320" s="34"/>
      <c r="O320" s="34"/>
      <c r="P320" s="34"/>
      <c r="Q320" s="34"/>
      <c r="S320" s="141"/>
      <c r="U320" s="43">
        <v>251</v>
      </c>
      <c r="V320" s="186"/>
      <c r="W320" s="187"/>
      <c r="Y320" s="195">
        <f t="shared" si="1"/>
        <v>0</v>
      </c>
      <c r="Z320" s="34"/>
      <c r="AA320" s="34"/>
      <c r="AB320" s="34"/>
      <c r="AC320" s="34"/>
      <c r="AD320" s="34"/>
      <c r="AE320" s="34"/>
      <c r="AF320" s="34"/>
      <c r="AG320" s="34"/>
      <c r="AH320" s="34"/>
      <c r="AI320" s="184"/>
      <c r="AJ320" s="184"/>
      <c r="AK320" s="184"/>
      <c r="AL320" s="141"/>
    </row>
    <row r="321" spans="2:38" ht="12.75" customHeight="1">
      <c r="B321" s="43">
        <v>252</v>
      </c>
      <c r="C321" s="186"/>
      <c r="D321" s="187"/>
      <c r="F321" s="193">
        <f t="shared" si="0"/>
        <v>0</v>
      </c>
      <c r="G321" s="34"/>
      <c r="H321" s="34"/>
      <c r="I321" s="34"/>
      <c r="J321" s="34"/>
      <c r="K321" s="34"/>
      <c r="L321" s="34"/>
      <c r="M321" s="34"/>
      <c r="N321" s="34"/>
      <c r="O321" s="34"/>
      <c r="P321" s="34"/>
      <c r="Q321" s="34"/>
      <c r="S321" s="141"/>
      <c r="U321" s="43">
        <v>252</v>
      </c>
      <c r="V321" s="186"/>
      <c r="W321" s="187"/>
      <c r="Y321" s="195">
        <f t="shared" si="1"/>
        <v>0</v>
      </c>
      <c r="Z321" s="34"/>
      <c r="AA321" s="34"/>
      <c r="AB321" s="34"/>
      <c r="AC321" s="34"/>
      <c r="AD321" s="34"/>
      <c r="AE321" s="34"/>
      <c r="AF321" s="34"/>
      <c r="AG321" s="34"/>
      <c r="AH321" s="34"/>
      <c r="AI321" s="184"/>
      <c r="AJ321" s="184"/>
      <c r="AK321" s="184"/>
      <c r="AL321" s="141"/>
    </row>
    <row r="322" spans="2:38" ht="12.75" customHeight="1">
      <c r="B322" s="43">
        <v>253</v>
      </c>
      <c r="C322" s="186"/>
      <c r="D322" s="187"/>
      <c r="F322" s="193">
        <f t="shared" si="0"/>
        <v>0</v>
      </c>
      <c r="G322" s="34"/>
      <c r="H322" s="34"/>
      <c r="I322" s="34"/>
      <c r="J322" s="34"/>
      <c r="K322" s="34"/>
      <c r="L322" s="34"/>
      <c r="M322" s="34"/>
      <c r="N322" s="34"/>
      <c r="O322" s="34"/>
      <c r="P322" s="34"/>
      <c r="Q322" s="34"/>
      <c r="S322" s="141"/>
      <c r="U322" s="43">
        <v>253</v>
      </c>
      <c r="V322" s="186"/>
      <c r="W322" s="187"/>
      <c r="Y322" s="195">
        <f t="shared" si="1"/>
        <v>0</v>
      </c>
      <c r="Z322" s="34"/>
      <c r="AA322" s="34"/>
      <c r="AB322" s="34"/>
      <c r="AC322" s="34"/>
      <c r="AD322" s="34"/>
      <c r="AE322" s="34"/>
      <c r="AF322" s="34"/>
      <c r="AG322" s="34"/>
      <c r="AH322" s="34"/>
      <c r="AI322" s="184"/>
      <c r="AJ322" s="184"/>
      <c r="AK322" s="184"/>
      <c r="AL322" s="141"/>
    </row>
    <row r="323" spans="2:38" ht="12.75" customHeight="1">
      <c r="B323" s="43">
        <v>254</v>
      </c>
      <c r="C323" s="186"/>
      <c r="D323" s="187"/>
      <c r="F323" s="193">
        <f t="shared" si="0"/>
        <v>0</v>
      </c>
      <c r="G323" s="34"/>
      <c r="H323" s="34"/>
      <c r="I323" s="34"/>
      <c r="J323" s="34"/>
      <c r="K323" s="34"/>
      <c r="L323" s="34"/>
      <c r="M323" s="34"/>
      <c r="N323" s="34"/>
      <c r="O323" s="34"/>
      <c r="P323" s="34"/>
      <c r="Q323" s="34"/>
      <c r="S323" s="141"/>
      <c r="U323" s="43">
        <v>254</v>
      </c>
      <c r="V323" s="186"/>
      <c r="W323" s="187"/>
      <c r="Y323" s="195">
        <f t="shared" si="1"/>
        <v>0</v>
      </c>
      <c r="Z323" s="34"/>
      <c r="AA323" s="34"/>
      <c r="AB323" s="34"/>
      <c r="AC323" s="34"/>
      <c r="AD323" s="34"/>
      <c r="AE323" s="34"/>
      <c r="AF323" s="34"/>
      <c r="AG323" s="34"/>
      <c r="AH323" s="34"/>
      <c r="AI323" s="184"/>
      <c r="AJ323" s="184"/>
      <c r="AK323" s="184"/>
      <c r="AL323" s="141"/>
    </row>
    <row r="324" spans="2:38" ht="12.75" customHeight="1">
      <c r="B324" s="43">
        <v>255</v>
      </c>
      <c r="C324" s="186"/>
      <c r="D324" s="187"/>
      <c r="F324" s="193">
        <f t="shared" si="0"/>
        <v>0</v>
      </c>
      <c r="G324" s="34"/>
      <c r="H324" s="34"/>
      <c r="I324" s="34"/>
      <c r="J324" s="34"/>
      <c r="K324" s="34"/>
      <c r="L324" s="34"/>
      <c r="M324" s="34"/>
      <c r="N324" s="34"/>
      <c r="O324" s="34"/>
      <c r="P324" s="34"/>
      <c r="Q324" s="34"/>
      <c r="S324" s="141"/>
      <c r="U324" s="43">
        <v>255</v>
      </c>
      <c r="V324" s="186"/>
      <c r="W324" s="187"/>
      <c r="Y324" s="195">
        <f t="shared" si="1"/>
        <v>0</v>
      </c>
      <c r="Z324" s="34"/>
      <c r="AA324" s="34"/>
      <c r="AB324" s="34"/>
      <c r="AC324" s="34"/>
      <c r="AD324" s="34"/>
      <c r="AE324" s="34"/>
      <c r="AF324" s="34"/>
      <c r="AG324" s="34"/>
      <c r="AH324" s="34"/>
      <c r="AI324" s="184"/>
      <c r="AJ324" s="184"/>
      <c r="AK324" s="184"/>
      <c r="AL324" s="141"/>
    </row>
    <row r="325" spans="2:38" ht="12.75" customHeight="1">
      <c r="B325" s="43">
        <v>256</v>
      </c>
      <c r="C325" s="186"/>
      <c r="D325" s="187"/>
      <c r="F325" s="193">
        <f t="shared" si="0"/>
        <v>0</v>
      </c>
      <c r="G325" s="34"/>
      <c r="H325" s="34"/>
      <c r="I325" s="34"/>
      <c r="J325" s="34"/>
      <c r="K325" s="34"/>
      <c r="L325" s="34"/>
      <c r="M325" s="34"/>
      <c r="N325" s="34"/>
      <c r="O325" s="34"/>
      <c r="P325" s="34"/>
      <c r="Q325" s="34"/>
      <c r="S325" s="141"/>
      <c r="U325" s="43">
        <v>256</v>
      </c>
      <c r="V325" s="186"/>
      <c r="W325" s="187"/>
      <c r="Y325" s="195">
        <f t="shared" si="1"/>
        <v>0</v>
      </c>
      <c r="Z325" s="34"/>
      <c r="AA325" s="34"/>
      <c r="AB325" s="34"/>
      <c r="AC325" s="34"/>
      <c r="AD325" s="34"/>
      <c r="AE325" s="34"/>
      <c r="AF325" s="34"/>
      <c r="AG325" s="34"/>
      <c r="AH325" s="34"/>
      <c r="AI325" s="184"/>
      <c r="AJ325" s="184"/>
      <c r="AK325" s="184"/>
      <c r="AL325" s="141"/>
    </row>
    <row r="326" spans="2:38" ht="12.75" customHeight="1">
      <c r="B326" s="43">
        <v>257</v>
      </c>
      <c r="C326" s="186"/>
      <c r="D326" s="187"/>
      <c r="F326" s="193">
        <f t="shared" ref="F326:F369" si="2">D326-D325</f>
        <v>0</v>
      </c>
      <c r="G326" s="34"/>
      <c r="H326" s="34"/>
      <c r="I326" s="34"/>
      <c r="J326" s="34"/>
      <c r="K326" s="34"/>
      <c r="L326" s="34"/>
      <c r="M326" s="34"/>
      <c r="N326" s="34"/>
      <c r="O326" s="34"/>
      <c r="P326" s="34"/>
      <c r="Q326" s="34"/>
      <c r="S326" s="141"/>
      <c r="U326" s="43">
        <v>257</v>
      </c>
      <c r="V326" s="186"/>
      <c r="W326" s="187"/>
      <c r="Y326" s="195">
        <f t="shared" ref="Y326:Y369" si="3">W326-W325</f>
        <v>0</v>
      </c>
      <c r="Z326" s="34"/>
      <c r="AA326" s="34"/>
      <c r="AB326" s="34"/>
      <c r="AC326" s="34"/>
      <c r="AD326" s="34"/>
      <c r="AE326" s="34"/>
      <c r="AF326" s="34"/>
      <c r="AG326" s="34"/>
      <c r="AH326" s="34"/>
      <c r="AI326" s="184"/>
      <c r="AJ326" s="184"/>
      <c r="AK326" s="184"/>
      <c r="AL326" s="141"/>
    </row>
    <row r="327" spans="2:38" ht="12.75" customHeight="1">
      <c r="B327" s="43">
        <v>258</v>
      </c>
      <c r="C327" s="186"/>
      <c r="D327" s="187"/>
      <c r="F327" s="193">
        <f t="shared" si="2"/>
        <v>0</v>
      </c>
      <c r="G327" s="34"/>
      <c r="H327" s="34"/>
      <c r="I327" s="34"/>
      <c r="J327" s="34"/>
      <c r="K327" s="34"/>
      <c r="L327" s="34"/>
      <c r="M327" s="34"/>
      <c r="N327" s="34"/>
      <c r="O327" s="34"/>
      <c r="P327" s="34"/>
      <c r="Q327" s="34"/>
      <c r="S327" s="141"/>
      <c r="U327" s="43">
        <v>258</v>
      </c>
      <c r="V327" s="186"/>
      <c r="W327" s="187"/>
      <c r="Y327" s="195">
        <f t="shared" si="3"/>
        <v>0</v>
      </c>
      <c r="Z327" s="34"/>
      <c r="AA327" s="34"/>
      <c r="AB327" s="34"/>
      <c r="AC327" s="34"/>
      <c r="AD327" s="34"/>
      <c r="AE327" s="34"/>
      <c r="AF327" s="34"/>
      <c r="AG327" s="34"/>
      <c r="AH327" s="34"/>
      <c r="AI327" s="184"/>
      <c r="AJ327" s="184"/>
      <c r="AK327" s="184"/>
      <c r="AL327" s="141"/>
    </row>
    <row r="328" spans="2:38" ht="12.75" customHeight="1">
      <c r="B328" s="43">
        <v>259</v>
      </c>
      <c r="C328" s="186"/>
      <c r="D328" s="187"/>
      <c r="F328" s="193">
        <f t="shared" si="2"/>
        <v>0</v>
      </c>
      <c r="G328" s="34"/>
      <c r="H328" s="34"/>
      <c r="I328" s="34"/>
      <c r="J328" s="34"/>
      <c r="K328" s="34"/>
      <c r="L328" s="34"/>
      <c r="M328" s="34"/>
      <c r="N328" s="34"/>
      <c r="O328" s="34"/>
      <c r="P328" s="34"/>
      <c r="Q328" s="34"/>
      <c r="S328" s="141"/>
      <c r="U328" s="43">
        <v>259</v>
      </c>
      <c r="V328" s="186"/>
      <c r="W328" s="187"/>
      <c r="Y328" s="195">
        <f t="shared" si="3"/>
        <v>0</v>
      </c>
      <c r="Z328" s="34"/>
      <c r="AA328" s="34"/>
      <c r="AB328" s="34"/>
      <c r="AC328" s="34"/>
      <c r="AD328" s="34"/>
      <c r="AE328" s="34"/>
      <c r="AF328" s="34"/>
      <c r="AG328" s="34"/>
      <c r="AH328" s="34"/>
      <c r="AI328" s="184"/>
      <c r="AJ328" s="184"/>
      <c r="AK328" s="184"/>
      <c r="AL328" s="141"/>
    </row>
    <row r="329" spans="2:38" ht="12.75" customHeight="1">
      <c r="B329" s="43">
        <v>260</v>
      </c>
      <c r="C329" s="186"/>
      <c r="D329" s="187"/>
      <c r="F329" s="193">
        <f t="shared" si="2"/>
        <v>0</v>
      </c>
      <c r="G329" s="34"/>
      <c r="H329" s="34"/>
      <c r="I329" s="34"/>
      <c r="J329" s="34"/>
      <c r="K329" s="34"/>
      <c r="L329" s="34"/>
      <c r="M329" s="34"/>
      <c r="N329" s="34"/>
      <c r="O329" s="34"/>
      <c r="P329" s="34"/>
      <c r="Q329" s="34"/>
      <c r="S329" s="141"/>
      <c r="U329" s="43">
        <v>260</v>
      </c>
      <c r="V329" s="186"/>
      <c r="W329" s="187"/>
      <c r="Y329" s="195">
        <f t="shared" si="3"/>
        <v>0</v>
      </c>
      <c r="Z329" s="34"/>
      <c r="AA329" s="34"/>
      <c r="AB329" s="34"/>
      <c r="AC329" s="34"/>
      <c r="AD329" s="34"/>
      <c r="AE329" s="34"/>
      <c r="AF329" s="34"/>
      <c r="AG329" s="34"/>
      <c r="AH329" s="34"/>
      <c r="AI329" s="184"/>
      <c r="AJ329" s="184"/>
      <c r="AK329" s="184"/>
      <c r="AL329" s="141"/>
    </row>
    <row r="330" spans="2:38" ht="12.75" customHeight="1">
      <c r="B330" s="43">
        <v>261</v>
      </c>
      <c r="C330" s="186"/>
      <c r="D330" s="187"/>
      <c r="F330" s="193">
        <f t="shared" si="2"/>
        <v>0</v>
      </c>
      <c r="G330" s="34"/>
      <c r="H330" s="34"/>
      <c r="I330" s="34"/>
      <c r="J330" s="34"/>
      <c r="K330" s="34"/>
      <c r="L330" s="34"/>
      <c r="M330" s="34"/>
      <c r="N330" s="34"/>
      <c r="O330" s="34"/>
      <c r="P330" s="34"/>
      <c r="Q330" s="34"/>
      <c r="S330" s="141"/>
      <c r="U330" s="43">
        <v>261</v>
      </c>
      <c r="V330" s="186"/>
      <c r="W330" s="187"/>
      <c r="Y330" s="195">
        <f t="shared" si="3"/>
        <v>0</v>
      </c>
      <c r="Z330" s="34"/>
      <c r="AA330" s="34"/>
      <c r="AB330" s="34"/>
      <c r="AC330" s="34"/>
      <c r="AD330" s="34"/>
      <c r="AE330" s="34"/>
      <c r="AF330" s="34"/>
      <c r="AG330" s="34"/>
      <c r="AH330" s="34"/>
      <c r="AI330" s="184"/>
      <c r="AJ330" s="184"/>
      <c r="AK330" s="184"/>
      <c r="AL330" s="141"/>
    </row>
    <row r="331" spans="2:38" ht="12.75" customHeight="1">
      <c r="B331" s="43">
        <v>262</v>
      </c>
      <c r="C331" s="186"/>
      <c r="D331" s="187"/>
      <c r="F331" s="193">
        <f t="shared" si="2"/>
        <v>0</v>
      </c>
      <c r="G331" s="34"/>
      <c r="H331" s="34"/>
      <c r="I331" s="34"/>
      <c r="J331" s="34"/>
      <c r="K331" s="34"/>
      <c r="L331" s="34"/>
      <c r="M331" s="34"/>
      <c r="N331" s="34"/>
      <c r="O331" s="34"/>
      <c r="P331" s="34"/>
      <c r="Q331" s="34"/>
      <c r="S331" s="141"/>
      <c r="U331" s="43">
        <v>262</v>
      </c>
      <c r="V331" s="186"/>
      <c r="W331" s="187"/>
      <c r="Y331" s="195">
        <f t="shared" si="3"/>
        <v>0</v>
      </c>
      <c r="Z331" s="34"/>
      <c r="AA331" s="34"/>
      <c r="AB331" s="34"/>
      <c r="AC331" s="34"/>
      <c r="AD331" s="34"/>
      <c r="AE331" s="34"/>
      <c r="AF331" s="34"/>
      <c r="AG331" s="34"/>
      <c r="AH331" s="34"/>
      <c r="AI331" s="184"/>
      <c r="AJ331" s="184"/>
      <c r="AK331" s="184"/>
      <c r="AL331" s="141"/>
    </row>
    <row r="332" spans="2:38" ht="12.75" customHeight="1">
      <c r="B332" s="43">
        <v>263</v>
      </c>
      <c r="C332" s="186"/>
      <c r="D332" s="187"/>
      <c r="F332" s="193">
        <f t="shared" si="2"/>
        <v>0</v>
      </c>
      <c r="G332" s="34"/>
      <c r="H332" s="34"/>
      <c r="I332" s="34"/>
      <c r="J332" s="34"/>
      <c r="K332" s="34"/>
      <c r="L332" s="34"/>
      <c r="M332" s="34"/>
      <c r="N332" s="34"/>
      <c r="O332" s="34"/>
      <c r="P332" s="34"/>
      <c r="Q332" s="34"/>
      <c r="S332" s="141"/>
      <c r="U332" s="43">
        <v>263</v>
      </c>
      <c r="V332" s="186"/>
      <c r="W332" s="187"/>
      <c r="Y332" s="195">
        <f t="shared" si="3"/>
        <v>0</v>
      </c>
      <c r="Z332" s="34"/>
      <c r="AA332" s="34"/>
      <c r="AB332" s="34"/>
      <c r="AC332" s="34"/>
      <c r="AD332" s="34"/>
      <c r="AE332" s="34"/>
      <c r="AF332" s="34"/>
      <c r="AG332" s="34"/>
      <c r="AH332" s="34"/>
      <c r="AI332" s="184"/>
      <c r="AJ332" s="184"/>
      <c r="AK332" s="184"/>
      <c r="AL332" s="141"/>
    </row>
    <row r="333" spans="2:38" ht="12.75" customHeight="1">
      <c r="B333" s="43">
        <v>264</v>
      </c>
      <c r="C333" s="186"/>
      <c r="D333" s="187"/>
      <c r="F333" s="193">
        <f t="shared" si="2"/>
        <v>0</v>
      </c>
      <c r="G333" s="34"/>
      <c r="H333" s="34"/>
      <c r="I333" s="34"/>
      <c r="J333" s="34"/>
      <c r="K333" s="34"/>
      <c r="L333" s="34"/>
      <c r="M333" s="34"/>
      <c r="N333" s="34"/>
      <c r="O333" s="34"/>
      <c r="P333" s="34"/>
      <c r="Q333" s="34"/>
      <c r="S333" s="141"/>
      <c r="U333" s="43">
        <v>264</v>
      </c>
      <c r="V333" s="186"/>
      <c r="W333" s="187"/>
      <c r="Y333" s="195">
        <f t="shared" si="3"/>
        <v>0</v>
      </c>
      <c r="Z333" s="34"/>
      <c r="AA333" s="34"/>
      <c r="AB333" s="34"/>
      <c r="AC333" s="34"/>
      <c r="AD333" s="34"/>
      <c r="AE333" s="34"/>
      <c r="AF333" s="34"/>
      <c r="AG333" s="34"/>
      <c r="AH333" s="34"/>
      <c r="AI333" s="184"/>
      <c r="AJ333" s="184"/>
      <c r="AK333" s="184"/>
      <c r="AL333" s="141"/>
    </row>
    <row r="334" spans="2:38" ht="12.75" customHeight="1">
      <c r="B334" s="43">
        <v>265</v>
      </c>
      <c r="C334" s="186"/>
      <c r="D334" s="187"/>
      <c r="F334" s="193">
        <f t="shared" si="2"/>
        <v>0</v>
      </c>
      <c r="G334" s="34"/>
      <c r="H334" s="34"/>
      <c r="I334" s="34"/>
      <c r="J334" s="34"/>
      <c r="K334" s="34"/>
      <c r="L334" s="34"/>
      <c r="M334" s="34"/>
      <c r="N334" s="34"/>
      <c r="O334" s="34"/>
      <c r="P334" s="34"/>
      <c r="Q334" s="34"/>
      <c r="S334" s="141"/>
      <c r="U334" s="43">
        <v>265</v>
      </c>
      <c r="V334" s="186"/>
      <c r="W334" s="187"/>
      <c r="Y334" s="195">
        <f t="shared" si="3"/>
        <v>0</v>
      </c>
      <c r="Z334" s="34"/>
      <c r="AA334" s="34"/>
      <c r="AB334" s="34"/>
      <c r="AC334" s="34"/>
      <c r="AD334" s="34"/>
      <c r="AE334" s="34"/>
      <c r="AF334" s="34"/>
      <c r="AG334" s="34"/>
      <c r="AH334" s="34"/>
      <c r="AI334" s="184"/>
      <c r="AJ334" s="184"/>
      <c r="AK334" s="184"/>
      <c r="AL334" s="141"/>
    </row>
    <row r="335" spans="2:38" ht="12.75" customHeight="1">
      <c r="B335" s="43">
        <v>266</v>
      </c>
      <c r="C335" s="186"/>
      <c r="D335" s="187"/>
      <c r="F335" s="193">
        <f t="shared" si="2"/>
        <v>0</v>
      </c>
      <c r="G335" s="34"/>
      <c r="H335" s="34"/>
      <c r="I335" s="34"/>
      <c r="J335" s="34"/>
      <c r="K335" s="34"/>
      <c r="L335" s="34"/>
      <c r="M335" s="34"/>
      <c r="N335" s="34"/>
      <c r="O335" s="34"/>
      <c r="P335" s="34"/>
      <c r="Q335" s="34"/>
      <c r="S335" s="141"/>
      <c r="U335" s="43">
        <v>266</v>
      </c>
      <c r="V335" s="186"/>
      <c r="W335" s="187"/>
      <c r="Y335" s="195">
        <f t="shared" si="3"/>
        <v>0</v>
      </c>
      <c r="Z335" s="34"/>
      <c r="AA335" s="34"/>
      <c r="AB335" s="34"/>
      <c r="AC335" s="34"/>
      <c r="AD335" s="34"/>
      <c r="AE335" s="34"/>
      <c r="AF335" s="34"/>
      <c r="AG335" s="34"/>
      <c r="AH335" s="34"/>
      <c r="AI335" s="184"/>
      <c r="AJ335" s="184"/>
      <c r="AK335" s="184"/>
      <c r="AL335" s="141"/>
    </row>
    <row r="336" spans="2:38" ht="12.75" customHeight="1">
      <c r="B336" s="43">
        <v>267</v>
      </c>
      <c r="C336" s="186"/>
      <c r="D336" s="187"/>
      <c r="F336" s="193">
        <f t="shared" si="2"/>
        <v>0</v>
      </c>
      <c r="G336" s="34"/>
      <c r="H336" s="34"/>
      <c r="I336" s="34"/>
      <c r="J336" s="34"/>
      <c r="K336" s="34"/>
      <c r="L336" s="34"/>
      <c r="M336" s="34"/>
      <c r="N336" s="34"/>
      <c r="O336" s="34"/>
      <c r="P336" s="34"/>
      <c r="Q336" s="34"/>
      <c r="S336" s="141"/>
      <c r="U336" s="43">
        <v>267</v>
      </c>
      <c r="V336" s="186"/>
      <c r="W336" s="187"/>
      <c r="Y336" s="195">
        <f t="shared" si="3"/>
        <v>0</v>
      </c>
      <c r="Z336" s="34"/>
      <c r="AA336" s="34"/>
      <c r="AB336" s="34"/>
      <c r="AC336" s="34"/>
      <c r="AD336" s="34"/>
      <c r="AE336" s="34"/>
      <c r="AF336" s="34"/>
      <c r="AG336" s="34"/>
      <c r="AH336" s="34"/>
      <c r="AI336" s="184"/>
      <c r="AJ336" s="184"/>
      <c r="AK336" s="184"/>
      <c r="AL336" s="141"/>
    </row>
    <row r="337" spans="2:38" ht="12.75" customHeight="1">
      <c r="B337" s="43">
        <v>268</v>
      </c>
      <c r="C337" s="186"/>
      <c r="D337" s="187"/>
      <c r="F337" s="193">
        <f t="shared" si="2"/>
        <v>0</v>
      </c>
      <c r="G337" s="34"/>
      <c r="H337" s="34"/>
      <c r="I337" s="34"/>
      <c r="J337" s="34"/>
      <c r="K337" s="34"/>
      <c r="L337" s="34"/>
      <c r="M337" s="34"/>
      <c r="N337" s="34"/>
      <c r="O337" s="34"/>
      <c r="P337" s="34"/>
      <c r="Q337" s="34"/>
      <c r="S337" s="141"/>
      <c r="U337" s="43">
        <v>268</v>
      </c>
      <c r="V337" s="186"/>
      <c r="W337" s="187"/>
      <c r="Y337" s="195">
        <f t="shared" si="3"/>
        <v>0</v>
      </c>
      <c r="Z337" s="34"/>
      <c r="AA337" s="34"/>
      <c r="AB337" s="34"/>
      <c r="AC337" s="34"/>
      <c r="AD337" s="34"/>
      <c r="AE337" s="34"/>
      <c r="AF337" s="34"/>
      <c r="AG337" s="34"/>
      <c r="AH337" s="34"/>
      <c r="AI337" s="184"/>
      <c r="AJ337" s="184"/>
      <c r="AK337" s="184"/>
      <c r="AL337" s="141"/>
    </row>
    <row r="338" spans="2:38" ht="12.75" customHeight="1">
      <c r="B338" s="43">
        <v>269</v>
      </c>
      <c r="C338" s="186"/>
      <c r="D338" s="187"/>
      <c r="F338" s="193">
        <f t="shared" si="2"/>
        <v>0</v>
      </c>
      <c r="G338" s="34"/>
      <c r="H338" s="34"/>
      <c r="I338" s="34"/>
      <c r="J338" s="34"/>
      <c r="K338" s="34"/>
      <c r="L338" s="34"/>
      <c r="M338" s="34"/>
      <c r="N338" s="34"/>
      <c r="O338" s="34"/>
      <c r="P338" s="34"/>
      <c r="Q338" s="34"/>
      <c r="S338" s="141"/>
      <c r="U338" s="43">
        <v>269</v>
      </c>
      <c r="V338" s="186"/>
      <c r="W338" s="187"/>
      <c r="Y338" s="195">
        <f t="shared" si="3"/>
        <v>0</v>
      </c>
      <c r="Z338" s="34"/>
      <c r="AA338" s="34"/>
      <c r="AB338" s="34"/>
      <c r="AC338" s="34"/>
      <c r="AD338" s="34"/>
      <c r="AE338" s="34"/>
      <c r="AF338" s="34"/>
      <c r="AG338" s="34"/>
      <c r="AH338" s="34"/>
      <c r="AI338" s="184"/>
      <c r="AJ338" s="184"/>
      <c r="AK338" s="184"/>
      <c r="AL338" s="141"/>
    </row>
    <row r="339" spans="2:38" ht="12.75" customHeight="1">
      <c r="B339" s="43">
        <v>270</v>
      </c>
      <c r="C339" s="186"/>
      <c r="D339" s="187"/>
      <c r="F339" s="193">
        <f t="shared" si="2"/>
        <v>0</v>
      </c>
      <c r="G339" s="34"/>
      <c r="H339" s="34"/>
      <c r="I339" s="34"/>
      <c r="J339" s="34"/>
      <c r="K339" s="34"/>
      <c r="L339" s="34"/>
      <c r="M339" s="34"/>
      <c r="N339" s="34"/>
      <c r="O339" s="34"/>
      <c r="P339" s="34"/>
      <c r="Q339" s="34"/>
      <c r="S339" s="141"/>
      <c r="U339" s="43">
        <v>270</v>
      </c>
      <c r="V339" s="186"/>
      <c r="W339" s="187"/>
      <c r="Y339" s="195">
        <f t="shared" si="3"/>
        <v>0</v>
      </c>
      <c r="Z339" s="34"/>
      <c r="AA339" s="34"/>
      <c r="AB339" s="34"/>
      <c r="AC339" s="34"/>
      <c r="AD339" s="34"/>
      <c r="AE339" s="34"/>
      <c r="AF339" s="34"/>
      <c r="AG339" s="34"/>
      <c r="AH339" s="34"/>
      <c r="AI339" s="184"/>
      <c r="AJ339" s="184"/>
      <c r="AK339" s="184"/>
      <c r="AL339" s="141"/>
    </row>
    <row r="340" spans="2:38" ht="12.75" customHeight="1">
      <c r="B340" s="43">
        <v>271</v>
      </c>
      <c r="C340" s="186"/>
      <c r="D340" s="187"/>
      <c r="F340" s="193">
        <f t="shared" si="2"/>
        <v>0</v>
      </c>
      <c r="G340" s="34"/>
      <c r="H340" s="34"/>
      <c r="I340" s="34"/>
      <c r="J340" s="34"/>
      <c r="K340" s="34"/>
      <c r="L340" s="34"/>
      <c r="M340" s="34"/>
      <c r="N340" s="34"/>
      <c r="O340" s="34"/>
      <c r="P340" s="34"/>
      <c r="Q340" s="34"/>
      <c r="S340" s="141"/>
      <c r="U340" s="43">
        <v>271</v>
      </c>
      <c r="V340" s="186"/>
      <c r="W340" s="187"/>
      <c r="Y340" s="195">
        <f t="shared" si="3"/>
        <v>0</v>
      </c>
      <c r="Z340" s="34"/>
      <c r="AA340" s="34"/>
      <c r="AB340" s="34"/>
      <c r="AC340" s="34"/>
      <c r="AD340" s="34"/>
      <c r="AE340" s="34"/>
      <c r="AF340" s="34"/>
      <c r="AG340" s="34"/>
      <c r="AH340" s="34"/>
      <c r="AI340" s="184"/>
      <c r="AJ340" s="184"/>
      <c r="AK340" s="184"/>
      <c r="AL340" s="141"/>
    </row>
    <row r="341" spans="2:38" ht="12.75" customHeight="1">
      <c r="B341" s="43">
        <v>272</v>
      </c>
      <c r="C341" s="186"/>
      <c r="D341" s="187"/>
      <c r="F341" s="193">
        <f t="shared" si="2"/>
        <v>0</v>
      </c>
      <c r="G341" s="34"/>
      <c r="H341" s="34"/>
      <c r="I341" s="34"/>
      <c r="J341" s="34"/>
      <c r="K341" s="34"/>
      <c r="L341" s="34"/>
      <c r="M341" s="34"/>
      <c r="N341" s="34"/>
      <c r="O341" s="34"/>
      <c r="P341" s="34"/>
      <c r="Q341" s="34"/>
      <c r="S341" s="141"/>
      <c r="U341" s="43">
        <v>272</v>
      </c>
      <c r="V341" s="186"/>
      <c r="W341" s="187"/>
      <c r="Y341" s="195">
        <f t="shared" si="3"/>
        <v>0</v>
      </c>
      <c r="Z341" s="34"/>
      <c r="AA341" s="34"/>
      <c r="AB341" s="34"/>
      <c r="AC341" s="34"/>
      <c r="AD341" s="34"/>
      <c r="AE341" s="34"/>
      <c r="AF341" s="34"/>
      <c r="AG341" s="34"/>
      <c r="AH341" s="34"/>
      <c r="AI341" s="184"/>
      <c r="AJ341" s="184"/>
      <c r="AK341" s="184"/>
      <c r="AL341" s="141"/>
    </row>
    <row r="342" spans="2:38" ht="12.75" customHeight="1">
      <c r="B342" s="43">
        <v>273</v>
      </c>
      <c r="C342" s="186"/>
      <c r="D342" s="187"/>
      <c r="F342" s="193">
        <f t="shared" si="2"/>
        <v>0</v>
      </c>
      <c r="G342" s="34"/>
      <c r="H342" s="34"/>
      <c r="I342" s="34"/>
      <c r="J342" s="34"/>
      <c r="K342" s="34"/>
      <c r="L342" s="34"/>
      <c r="M342" s="34"/>
      <c r="N342" s="34"/>
      <c r="O342" s="34"/>
      <c r="P342" s="34"/>
      <c r="Q342" s="34"/>
      <c r="S342" s="141"/>
      <c r="U342" s="43">
        <v>273</v>
      </c>
      <c r="V342" s="186"/>
      <c r="W342" s="187"/>
      <c r="Y342" s="195">
        <f t="shared" si="3"/>
        <v>0</v>
      </c>
      <c r="Z342" s="34"/>
      <c r="AA342" s="34"/>
      <c r="AB342" s="34"/>
      <c r="AC342" s="34"/>
      <c r="AD342" s="34"/>
      <c r="AE342" s="34"/>
      <c r="AF342" s="34"/>
      <c r="AG342" s="34"/>
      <c r="AH342" s="34"/>
      <c r="AI342" s="184"/>
      <c r="AJ342" s="184"/>
      <c r="AK342" s="184"/>
      <c r="AL342" s="141"/>
    </row>
    <row r="343" spans="2:38" ht="12.75" customHeight="1">
      <c r="B343" s="43">
        <v>274</v>
      </c>
      <c r="C343" s="186"/>
      <c r="D343" s="187"/>
      <c r="F343" s="193">
        <f t="shared" si="2"/>
        <v>0</v>
      </c>
      <c r="G343" s="34"/>
      <c r="H343" s="34"/>
      <c r="I343" s="34"/>
      <c r="J343" s="34"/>
      <c r="K343" s="34"/>
      <c r="L343" s="34"/>
      <c r="M343" s="34"/>
      <c r="N343" s="34"/>
      <c r="O343" s="34"/>
      <c r="P343" s="34"/>
      <c r="Q343" s="34"/>
      <c r="S343" s="141"/>
      <c r="U343" s="43">
        <v>274</v>
      </c>
      <c r="V343" s="186"/>
      <c r="W343" s="187"/>
      <c r="Y343" s="195">
        <f t="shared" si="3"/>
        <v>0</v>
      </c>
      <c r="Z343" s="34"/>
      <c r="AA343" s="34"/>
      <c r="AB343" s="34"/>
      <c r="AC343" s="34"/>
      <c r="AD343" s="34"/>
      <c r="AE343" s="34"/>
      <c r="AF343" s="34"/>
      <c r="AG343" s="34"/>
      <c r="AH343" s="34"/>
      <c r="AI343" s="184"/>
      <c r="AJ343" s="184"/>
      <c r="AK343" s="184"/>
      <c r="AL343" s="141"/>
    </row>
    <row r="344" spans="2:38" ht="12.75" customHeight="1">
      <c r="B344" s="43">
        <v>275</v>
      </c>
      <c r="C344" s="186"/>
      <c r="D344" s="187"/>
      <c r="F344" s="193">
        <f t="shared" si="2"/>
        <v>0</v>
      </c>
      <c r="G344" s="34"/>
      <c r="H344" s="34"/>
      <c r="I344" s="34"/>
      <c r="J344" s="34"/>
      <c r="K344" s="34"/>
      <c r="L344" s="34"/>
      <c r="M344" s="34"/>
      <c r="N344" s="34"/>
      <c r="O344" s="34"/>
      <c r="P344" s="34"/>
      <c r="Q344" s="34"/>
      <c r="S344" s="141"/>
      <c r="U344" s="43">
        <v>275</v>
      </c>
      <c r="V344" s="186"/>
      <c r="W344" s="187"/>
      <c r="Y344" s="195">
        <f t="shared" si="3"/>
        <v>0</v>
      </c>
      <c r="Z344" s="34"/>
      <c r="AA344" s="34"/>
      <c r="AB344" s="34"/>
      <c r="AC344" s="34"/>
      <c r="AD344" s="34"/>
      <c r="AE344" s="34"/>
      <c r="AF344" s="34"/>
      <c r="AG344" s="34"/>
      <c r="AH344" s="34"/>
      <c r="AI344" s="184"/>
      <c r="AJ344" s="184"/>
      <c r="AK344" s="184"/>
      <c r="AL344" s="141"/>
    </row>
    <row r="345" spans="2:38" ht="12.75" customHeight="1">
      <c r="B345" s="43">
        <v>276</v>
      </c>
      <c r="C345" s="186"/>
      <c r="D345" s="187"/>
      <c r="F345" s="193">
        <f t="shared" si="2"/>
        <v>0</v>
      </c>
      <c r="G345" s="34"/>
      <c r="H345" s="34"/>
      <c r="I345" s="34"/>
      <c r="J345" s="34"/>
      <c r="K345" s="34"/>
      <c r="L345" s="34"/>
      <c r="M345" s="34"/>
      <c r="N345" s="34"/>
      <c r="O345" s="34"/>
      <c r="P345" s="34"/>
      <c r="Q345" s="34"/>
      <c r="S345" s="141"/>
      <c r="U345" s="43">
        <v>276</v>
      </c>
      <c r="V345" s="186"/>
      <c r="W345" s="187"/>
      <c r="Y345" s="195">
        <f t="shared" si="3"/>
        <v>0</v>
      </c>
      <c r="Z345" s="34"/>
      <c r="AA345" s="34"/>
      <c r="AB345" s="34"/>
      <c r="AC345" s="34"/>
      <c r="AD345" s="34"/>
      <c r="AE345" s="34"/>
      <c r="AF345" s="34"/>
      <c r="AG345" s="34"/>
      <c r="AH345" s="34"/>
      <c r="AI345" s="184"/>
      <c r="AJ345" s="184"/>
      <c r="AK345" s="184"/>
      <c r="AL345" s="141"/>
    </row>
    <row r="346" spans="2:38" ht="12.75" customHeight="1">
      <c r="B346" s="43">
        <v>277</v>
      </c>
      <c r="C346" s="186"/>
      <c r="D346" s="187"/>
      <c r="F346" s="193">
        <f t="shared" si="2"/>
        <v>0</v>
      </c>
      <c r="G346" s="34"/>
      <c r="H346" s="34"/>
      <c r="I346" s="34"/>
      <c r="J346" s="34"/>
      <c r="K346" s="34"/>
      <c r="L346" s="34"/>
      <c r="M346" s="34"/>
      <c r="N346" s="34"/>
      <c r="O346" s="34"/>
      <c r="P346" s="34"/>
      <c r="Q346" s="34"/>
      <c r="S346" s="141"/>
      <c r="U346" s="43">
        <v>277</v>
      </c>
      <c r="V346" s="186"/>
      <c r="W346" s="187"/>
      <c r="Y346" s="195">
        <f t="shared" si="3"/>
        <v>0</v>
      </c>
      <c r="Z346" s="34"/>
      <c r="AA346" s="34"/>
      <c r="AB346" s="34"/>
      <c r="AC346" s="34"/>
      <c r="AD346" s="34"/>
      <c r="AE346" s="34"/>
      <c r="AF346" s="34"/>
      <c r="AG346" s="34"/>
      <c r="AH346" s="34"/>
      <c r="AI346" s="184"/>
      <c r="AJ346" s="184"/>
      <c r="AK346" s="184"/>
      <c r="AL346" s="141"/>
    </row>
    <row r="347" spans="2:38" ht="12.75" customHeight="1">
      <c r="B347" s="43">
        <v>278</v>
      </c>
      <c r="C347" s="186"/>
      <c r="D347" s="187"/>
      <c r="F347" s="193">
        <f t="shared" si="2"/>
        <v>0</v>
      </c>
      <c r="G347" s="34"/>
      <c r="H347" s="34"/>
      <c r="I347" s="34"/>
      <c r="J347" s="34"/>
      <c r="K347" s="34"/>
      <c r="L347" s="34"/>
      <c r="M347" s="34"/>
      <c r="N347" s="34"/>
      <c r="O347" s="34"/>
      <c r="P347" s="34"/>
      <c r="Q347" s="34"/>
      <c r="S347" s="141"/>
      <c r="U347" s="43">
        <v>278</v>
      </c>
      <c r="V347" s="186"/>
      <c r="W347" s="187"/>
      <c r="Y347" s="195">
        <f t="shared" si="3"/>
        <v>0</v>
      </c>
      <c r="Z347" s="34"/>
      <c r="AA347" s="34"/>
      <c r="AB347" s="34"/>
      <c r="AC347" s="34"/>
      <c r="AD347" s="34"/>
      <c r="AE347" s="34"/>
      <c r="AF347" s="34"/>
      <c r="AG347" s="34"/>
      <c r="AH347" s="34"/>
      <c r="AI347" s="184"/>
      <c r="AJ347" s="184"/>
      <c r="AK347" s="184"/>
      <c r="AL347" s="141"/>
    </row>
    <row r="348" spans="2:38" ht="12.75" customHeight="1">
      <c r="B348" s="43">
        <v>279</v>
      </c>
      <c r="C348" s="186"/>
      <c r="D348" s="187"/>
      <c r="F348" s="193">
        <f t="shared" si="2"/>
        <v>0</v>
      </c>
      <c r="G348" s="34"/>
      <c r="H348" s="34"/>
      <c r="I348" s="34"/>
      <c r="J348" s="34"/>
      <c r="K348" s="34"/>
      <c r="L348" s="34"/>
      <c r="M348" s="34"/>
      <c r="N348" s="34"/>
      <c r="O348" s="34"/>
      <c r="P348" s="34"/>
      <c r="Q348" s="34"/>
      <c r="S348" s="141"/>
      <c r="U348" s="43">
        <v>279</v>
      </c>
      <c r="V348" s="186"/>
      <c r="W348" s="187"/>
      <c r="Y348" s="195">
        <f t="shared" si="3"/>
        <v>0</v>
      </c>
      <c r="Z348" s="34"/>
      <c r="AA348" s="34"/>
      <c r="AB348" s="34"/>
      <c r="AC348" s="34"/>
      <c r="AD348" s="34"/>
      <c r="AE348" s="34"/>
      <c r="AF348" s="34"/>
      <c r="AG348" s="34"/>
      <c r="AH348" s="34"/>
      <c r="AI348" s="184"/>
      <c r="AJ348" s="184"/>
      <c r="AK348" s="184"/>
      <c r="AL348" s="141"/>
    </row>
    <row r="349" spans="2:38" ht="12.75" customHeight="1">
      <c r="B349" s="43">
        <v>280</v>
      </c>
      <c r="C349" s="186"/>
      <c r="D349" s="187"/>
      <c r="F349" s="193">
        <f t="shared" si="2"/>
        <v>0</v>
      </c>
      <c r="G349" s="34"/>
      <c r="H349" s="34"/>
      <c r="I349" s="34"/>
      <c r="J349" s="34"/>
      <c r="K349" s="34"/>
      <c r="L349" s="34"/>
      <c r="M349" s="34"/>
      <c r="N349" s="34"/>
      <c r="O349" s="34"/>
      <c r="P349" s="34"/>
      <c r="Q349" s="34"/>
      <c r="S349" s="141"/>
      <c r="U349" s="43">
        <v>280</v>
      </c>
      <c r="V349" s="186"/>
      <c r="W349" s="187"/>
      <c r="Y349" s="195">
        <f t="shared" si="3"/>
        <v>0</v>
      </c>
      <c r="Z349" s="34"/>
      <c r="AA349" s="34"/>
      <c r="AB349" s="34"/>
      <c r="AC349" s="34"/>
      <c r="AD349" s="34"/>
      <c r="AE349" s="34"/>
      <c r="AF349" s="34"/>
      <c r="AG349" s="34"/>
      <c r="AH349" s="34"/>
      <c r="AI349" s="184"/>
      <c r="AJ349" s="184"/>
      <c r="AK349" s="184"/>
      <c r="AL349" s="141"/>
    </row>
    <row r="350" spans="2:38" ht="12.75" customHeight="1">
      <c r="B350" s="43">
        <v>281</v>
      </c>
      <c r="C350" s="186"/>
      <c r="D350" s="187"/>
      <c r="F350" s="193">
        <f t="shared" si="2"/>
        <v>0</v>
      </c>
      <c r="G350" s="34"/>
      <c r="H350" s="34"/>
      <c r="I350" s="34"/>
      <c r="J350" s="34"/>
      <c r="K350" s="34"/>
      <c r="L350" s="34"/>
      <c r="M350" s="34"/>
      <c r="N350" s="34"/>
      <c r="O350" s="34"/>
      <c r="P350" s="34"/>
      <c r="Q350" s="34"/>
      <c r="S350" s="141"/>
      <c r="U350" s="43">
        <v>281</v>
      </c>
      <c r="V350" s="186"/>
      <c r="W350" s="187"/>
      <c r="Y350" s="195">
        <f t="shared" si="3"/>
        <v>0</v>
      </c>
      <c r="Z350" s="34"/>
      <c r="AA350" s="34"/>
      <c r="AB350" s="34"/>
      <c r="AC350" s="34"/>
      <c r="AD350" s="34"/>
      <c r="AE350" s="34"/>
      <c r="AF350" s="34"/>
      <c r="AG350" s="34"/>
      <c r="AH350" s="34"/>
      <c r="AI350" s="184"/>
      <c r="AJ350" s="184"/>
      <c r="AK350" s="184"/>
      <c r="AL350" s="141"/>
    </row>
    <row r="351" spans="2:38" ht="12.75" customHeight="1">
      <c r="B351" s="43">
        <v>282</v>
      </c>
      <c r="C351" s="186"/>
      <c r="D351" s="187"/>
      <c r="F351" s="193">
        <f t="shared" si="2"/>
        <v>0</v>
      </c>
      <c r="G351" s="34"/>
      <c r="H351" s="34"/>
      <c r="I351" s="34"/>
      <c r="J351" s="34"/>
      <c r="K351" s="34"/>
      <c r="L351" s="34"/>
      <c r="M351" s="34"/>
      <c r="N351" s="34"/>
      <c r="O351" s="34"/>
      <c r="P351" s="34"/>
      <c r="Q351" s="34"/>
      <c r="S351" s="141"/>
      <c r="U351" s="43">
        <v>282</v>
      </c>
      <c r="V351" s="186"/>
      <c r="W351" s="187"/>
      <c r="Y351" s="195">
        <f t="shared" si="3"/>
        <v>0</v>
      </c>
      <c r="Z351" s="34"/>
      <c r="AA351" s="34"/>
      <c r="AB351" s="34"/>
      <c r="AC351" s="34"/>
      <c r="AD351" s="34"/>
      <c r="AE351" s="34"/>
      <c r="AF351" s="34"/>
      <c r="AG351" s="34"/>
      <c r="AH351" s="34"/>
      <c r="AI351" s="184"/>
      <c r="AJ351" s="184"/>
      <c r="AK351" s="184"/>
      <c r="AL351" s="141"/>
    </row>
    <row r="352" spans="2:38" ht="12.75" customHeight="1">
      <c r="B352" s="43">
        <v>283</v>
      </c>
      <c r="C352" s="186"/>
      <c r="D352" s="187"/>
      <c r="F352" s="193">
        <f t="shared" si="2"/>
        <v>0</v>
      </c>
      <c r="G352" s="34"/>
      <c r="H352" s="34"/>
      <c r="I352" s="34"/>
      <c r="J352" s="34"/>
      <c r="K352" s="34"/>
      <c r="L352" s="34"/>
      <c r="M352" s="34"/>
      <c r="N352" s="34"/>
      <c r="O352" s="34"/>
      <c r="P352" s="34"/>
      <c r="Q352" s="34"/>
      <c r="S352" s="141"/>
      <c r="U352" s="43">
        <v>283</v>
      </c>
      <c r="V352" s="186"/>
      <c r="W352" s="187"/>
      <c r="Y352" s="195">
        <f t="shared" si="3"/>
        <v>0</v>
      </c>
      <c r="Z352" s="34"/>
      <c r="AA352" s="34"/>
      <c r="AB352" s="34"/>
      <c r="AC352" s="34"/>
      <c r="AD352" s="34"/>
      <c r="AE352" s="34"/>
      <c r="AF352" s="34"/>
      <c r="AG352" s="34"/>
      <c r="AH352" s="34"/>
      <c r="AI352" s="184"/>
      <c r="AJ352" s="184"/>
      <c r="AK352" s="184"/>
      <c r="AL352" s="141"/>
    </row>
    <row r="353" spans="2:38" ht="12.75" customHeight="1">
      <c r="B353" s="43">
        <v>284</v>
      </c>
      <c r="C353" s="186"/>
      <c r="D353" s="187"/>
      <c r="F353" s="193">
        <f t="shared" si="2"/>
        <v>0</v>
      </c>
      <c r="G353" s="34"/>
      <c r="H353" s="34"/>
      <c r="I353" s="34"/>
      <c r="J353" s="34"/>
      <c r="K353" s="34"/>
      <c r="L353" s="34"/>
      <c r="M353" s="34"/>
      <c r="N353" s="34"/>
      <c r="O353" s="34"/>
      <c r="P353" s="34"/>
      <c r="Q353" s="34"/>
      <c r="S353" s="141"/>
      <c r="U353" s="43">
        <v>284</v>
      </c>
      <c r="V353" s="186"/>
      <c r="W353" s="187"/>
      <c r="Y353" s="195">
        <f t="shared" si="3"/>
        <v>0</v>
      </c>
      <c r="Z353" s="34"/>
      <c r="AA353" s="34"/>
      <c r="AB353" s="34"/>
      <c r="AC353" s="34"/>
      <c r="AD353" s="34"/>
      <c r="AE353" s="34"/>
      <c r="AF353" s="34"/>
      <c r="AG353" s="34"/>
      <c r="AH353" s="34"/>
      <c r="AI353" s="184"/>
      <c r="AJ353" s="184"/>
      <c r="AK353" s="184"/>
      <c r="AL353" s="141"/>
    </row>
    <row r="354" spans="2:38" ht="12.75" customHeight="1">
      <c r="B354" s="43">
        <v>285</v>
      </c>
      <c r="C354" s="186"/>
      <c r="D354" s="187"/>
      <c r="F354" s="193">
        <f t="shared" si="2"/>
        <v>0</v>
      </c>
      <c r="G354" s="34"/>
      <c r="H354" s="34"/>
      <c r="I354" s="34"/>
      <c r="J354" s="34"/>
      <c r="K354" s="34"/>
      <c r="L354" s="34"/>
      <c r="M354" s="34"/>
      <c r="N354" s="34"/>
      <c r="O354" s="34"/>
      <c r="P354" s="34"/>
      <c r="Q354" s="34"/>
      <c r="S354" s="141"/>
      <c r="U354" s="43">
        <v>285</v>
      </c>
      <c r="V354" s="186"/>
      <c r="W354" s="187"/>
      <c r="Y354" s="195">
        <f t="shared" si="3"/>
        <v>0</v>
      </c>
      <c r="Z354" s="34"/>
      <c r="AA354" s="34"/>
      <c r="AB354" s="34"/>
      <c r="AC354" s="34"/>
      <c r="AD354" s="34"/>
      <c r="AE354" s="34"/>
      <c r="AF354" s="34"/>
      <c r="AG354" s="34"/>
      <c r="AH354" s="34"/>
      <c r="AI354" s="184"/>
      <c r="AJ354" s="184"/>
      <c r="AK354" s="184"/>
      <c r="AL354" s="141"/>
    </row>
    <row r="355" spans="2:38" ht="12.75" customHeight="1">
      <c r="B355" s="43">
        <v>286</v>
      </c>
      <c r="C355" s="186"/>
      <c r="D355" s="187"/>
      <c r="F355" s="193">
        <f t="shared" si="2"/>
        <v>0</v>
      </c>
      <c r="G355" s="34"/>
      <c r="H355" s="34"/>
      <c r="I355" s="34"/>
      <c r="J355" s="34"/>
      <c r="K355" s="34"/>
      <c r="L355" s="34"/>
      <c r="M355" s="34"/>
      <c r="N355" s="34"/>
      <c r="O355" s="34"/>
      <c r="P355" s="34"/>
      <c r="Q355" s="34"/>
      <c r="S355" s="141"/>
      <c r="U355" s="43">
        <v>286</v>
      </c>
      <c r="V355" s="186"/>
      <c r="W355" s="187"/>
      <c r="Y355" s="195">
        <f t="shared" si="3"/>
        <v>0</v>
      </c>
      <c r="Z355" s="34"/>
      <c r="AA355" s="34"/>
      <c r="AB355" s="34"/>
      <c r="AC355" s="34"/>
      <c r="AD355" s="34"/>
      <c r="AE355" s="34"/>
      <c r="AF355" s="34"/>
      <c r="AG355" s="34"/>
      <c r="AH355" s="34"/>
      <c r="AI355" s="184"/>
      <c r="AJ355" s="184"/>
      <c r="AK355" s="184"/>
      <c r="AL355" s="141"/>
    </row>
    <row r="356" spans="2:38" ht="12.75" customHeight="1">
      <c r="B356" s="43">
        <v>287</v>
      </c>
      <c r="C356" s="186"/>
      <c r="D356" s="187"/>
      <c r="F356" s="193">
        <f t="shared" si="2"/>
        <v>0</v>
      </c>
      <c r="G356" s="34"/>
      <c r="H356" s="34"/>
      <c r="I356" s="34"/>
      <c r="J356" s="34"/>
      <c r="K356" s="34"/>
      <c r="L356" s="34"/>
      <c r="M356" s="34"/>
      <c r="N356" s="34"/>
      <c r="O356" s="34"/>
      <c r="P356" s="34"/>
      <c r="Q356" s="34"/>
      <c r="S356" s="141"/>
      <c r="U356" s="43">
        <v>287</v>
      </c>
      <c r="V356" s="186"/>
      <c r="W356" s="187"/>
      <c r="Y356" s="195">
        <f t="shared" si="3"/>
        <v>0</v>
      </c>
      <c r="Z356" s="34"/>
      <c r="AA356" s="34"/>
      <c r="AB356" s="34"/>
      <c r="AC356" s="34"/>
      <c r="AD356" s="34"/>
      <c r="AE356" s="34"/>
      <c r="AF356" s="34"/>
      <c r="AG356" s="34"/>
      <c r="AH356" s="34"/>
      <c r="AI356" s="184"/>
      <c r="AJ356" s="184"/>
      <c r="AK356" s="184"/>
      <c r="AL356" s="141"/>
    </row>
    <row r="357" spans="2:38" ht="12.75" customHeight="1">
      <c r="B357" s="43">
        <v>288</v>
      </c>
      <c r="C357" s="186"/>
      <c r="D357" s="187"/>
      <c r="F357" s="193">
        <f t="shared" si="2"/>
        <v>0</v>
      </c>
      <c r="G357" s="34"/>
      <c r="H357" s="34"/>
      <c r="I357" s="34"/>
      <c r="J357" s="34"/>
      <c r="K357" s="34"/>
      <c r="L357" s="34"/>
      <c r="M357" s="34"/>
      <c r="N357" s="34"/>
      <c r="O357" s="34"/>
      <c r="P357" s="34"/>
      <c r="Q357" s="34"/>
      <c r="S357" s="141"/>
      <c r="U357" s="43">
        <v>288</v>
      </c>
      <c r="V357" s="186"/>
      <c r="W357" s="187"/>
      <c r="Y357" s="195">
        <f t="shared" si="3"/>
        <v>0</v>
      </c>
      <c r="Z357" s="34"/>
      <c r="AA357" s="34"/>
      <c r="AB357" s="34"/>
      <c r="AC357" s="34"/>
      <c r="AD357" s="34"/>
      <c r="AE357" s="34"/>
      <c r="AF357" s="34"/>
      <c r="AG357" s="34"/>
      <c r="AH357" s="34"/>
      <c r="AI357" s="184"/>
      <c r="AJ357" s="184"/>
      <c r="AK357" s="184"/>
      <c r="AL357" s="141"/>
    </row>
    <row r="358" spans="2:38" ht="12.75" customHeight="1">
      <c r="B358" s="43">
        <v>289</v>
      </c>
      <c r="C358" s="186"/>
      <c r="D358" s="187"/>
      <c r="F358" s="193">
        <f t="shared" si="2"/>
        <v>0</v>
      </c>
      <c r="G358" s="34"/>
      <c r="H358" s="34"/>
      <c r="I358" s="34"/>
      <c r="J358" s="34"/>
      <c r="K358" s="34"/>
      <c r="L358" s="34"/>
      <c r="M358" s="34"/>
      <c r="N358" s="34"/>
      <c r="O358" s="34"/>
      <c r="P358" s="34"/>
      <c r="Q358" s="34"/>
      <c r="S358" s="141"/>
      <c r="U358" s="43">
        <v>289</v>
      </c>
      <c r="V358" s="186"/>
      <c r="W358" s="187"/>
      <c r="Y358" s="195">
        <f t="shared" si="3"/>
        <v>0</v>
      </c>
      <c r="Z358" s="34"/>
      <c r="AA358" s="34"/>
      <c r="AB358" s="34"/>
      <c r="AC358" s="34"/>
      <c r="AD358" s="34"/>
      <c r="AE358" s="34"/>
      <c r="AF358" s="34"/>
      <c r="AG358" s="34"/>
      <c r="AH358" s="34"/>
      <c r="AI358" s="184"/>
      <c r="AJ358" s="184"/>
      <c r="AK358" s="184"/>
      <c r="AL358" s="141"/>
    </row>
    <row r="359" spans="2:38" ht="12.75" customHeight="1">
      <c r="B359" s="43">
        <v>290</v>
      </c>
      <c r="C359" s="186"/>
      <c r="D359" s="187"/>
      <c r="F359" s="193">
        <f t="shared" si="2"/>
        <v>0</v>
      </c>
      <c r="G359" s="34"/>
      <c r="H359" s="34"/>
      <c r="I359" s="34"/>
      <c r="J359" s="34"/>
      <c r="K359" s="34"/>
      <c r="L359" s="34"/>
      <c r="M359" s="34"/>
      <c r="N359" s="34"/>
      <c r="O359" s="34"/>
      <c r="P359" s="34"/>
      <c r="Q359" s="34"/>
      <c r="S359" s="141"/>
      <c r="U359" s="43">
        <v>290</v>
      </c>
      <c r="V359" s="186"/>
      <c r="W359" s="187"/>
      <c r="Y359" s="195">
        <f t="shared" si="3"/>
        <v>0</v>
      </c>
      <c r="Z359" s="34"/>
      <c r="AA359" s="34"/>
      <c r="AB359" s="34"/>
      <c r="AC359" s="34"/>
      <c r="AD359" s="34"/>
      <c r="AE359" s="34"/>
      <c r="AF359" s="34"/>
      <c r="AG359" s="34"/>
      <c r="AH359" s="34"/>
      <c r="AI359" s="184"/>
      <c r="AJ359" s="184"/>
      <c r="AK359" s="184"/>
      <c r="AL359" s="141"/>
    </row>
    <row r="360" spans="2:38" ht="12.75" customHeight="1">
      <c r="B360" s="43">
        <v>291</v>
      </c>
      <c r="C360" s="186"/>
      <c r="D360" s="187"/>
      <c r="F360" s="193">
        <f t="shared" si="2"/>
        <v>0</v>
      </c>
      <c r="G360" s="34"/>
      <c r="H360" s="34"/>
      <c r="I360" s="34"/>
      <c r="J360" s="34"/>
      <c r="K360" s="34"/>
      <c r="L360" s="34"/>
      <c r="M360" s="34"/>
      <c r="N360" s="34"/>
      <c r="O360" s="34"/>
      <c r="P360" s="34"/>
      <c r="Q360" s="34"/>
      <c r="S360" s="141"/>
      <c r="U360" s="43">
        <v>291</v>
      </c>
      <c r="V360" s="186"/>
      <c r="W360" s="187"/>
      <c r="Y360" s="195">
        <f t="shared" si="3"/>
        <v>0</v>
      </c>
      <c r="Z360" s="34"/>
      <c r="AA360" s="34"/>
      <c r="AB360" s="34"/>
      <c r="AC360" s="34"/>
      <c r="AD360" s="34"/>
      <c r="AE360" s="34"/>
      <c r="AF360" s="34"/>
      <c r="AG360" s="34"/>
      <c r="AH360" s="34"/>
      <c r="AI360" s="184"/>
      <c r="AJ360" s="184"/>
      <c r="AK360" s="184"/>
      <c r="AL360" s="141"/>
    </row>
    <row r="361" spans="2:38" ht="12.75" customHeight="1">
      <c r="B361" s="43">
        <v>292</v>
      </c>
      <c r="C361" s="186"/>
      <c r="D361" s="187"/>
      <c r="F361" s="193">
        <f t="shared" si="2"/>
        <v>0</v>
      </c>
      <c r="G361" s="34"/>
      <c r="H361" s="34"/>
      <c r="I361" s="34"/>
      <c r="J361" s="34"/>
      <c r="K361" s="34"/>
      <c r="L361" s="34"/>
      <c r="M361" s="34"/>
      <c r="N361" s="34"/>
      <c r="O361" s="34"/>
      <c r="P361" s="34"/>
      <c r="Q361" s="34"/>
      <c r="S361" s="141"/>
      <c r="U361" s="43">
        <v>292</v>
      </c>
      <c r="V361" s="186"/>
      <c r="W361" s="187"/>
      <c r="Y361" s="195">
        <f t="shared" si="3"/>
        <v>0</v>
      </c>
      <c r="Z361" s="34"/>
      <c r="AA361" s="34"/>
      <c r="AB361" s="34"/>
      <c r="AC361" s="34"/>
      <c r="AD361" s="34"/>
      <c r="AE361" s="34"/>
      <c r="AF361" s="34"/>
      <c r="AG361" s="34"/>
      <c r="AH361" s="34"/>
      <c r="AI361" s="184"/>
      <c r="AJ361" s="184"/>
      <c r="AK361" s="184"/>
      <c r="AL361" s="141"/>
    </row>
    <row r="362" spans="2:38" ht="12.75" customHeight="1">
      <c r="B362" s="43">
        <v>293</v>
      </c>
      <c r="C362" s="186"/>
      <c r="D362" s="187"/>
      <c r="F362" s="193">
        <f t="shared" si="2"/>
        <v>0</v>
      </c>
      <c r="G362" s="34"/>
      <c r="H362" s="34"/>
      <c r="I362" s="34"/>
      <c r="J362" s="34"/>
      <c r="K362" s="34"/>
      <c r="L362" s="34"/>
      <c r="M362" s="34"/>
      <c r="N362" s="34"/>
      <c r="O362" s="34"/>
      <c r="P362" s="34"/>
      <c r="Q362" s="34"/>
      <c r="S362" s="141"/>
      <c r="U362" s="43">
        <v>293</v>
      </c>
      <c r="V362" s="186"/>
      <c r="W362" s="187"/>
      <c r="Y362" s="195">
        <f t="shared" si="3"/>
        <v>0</v>
      </c>
      <c r="Z362" s="34"/>
      <c r="AA362" s="34"/>
      <c r="AB362" s="34"/>
      <c r="AC362" s="34"/>
      <c r="AD362" s="34"/>
      <c r="AE362" s="34"/>
      <c r="AF362" s="34"/>
      <c r="AG362" s="34"/>
      <c r="AH362" s="34"/>
      <c r="AI362" s="184"/>
      <c r="AJ362" s="184"/>
      <c r="AK362" s="184"/>
      <c r="AL362" s="141"/>
    </row>
    <row r="363" spans="2:38" ht="12.75" customHeight="1">
      <c r="B363" s="43">
        <v>294</v>
      </c>
      <c r="C363" s="186"/>
      <c r="D363" s="187"/>
      <c r="F363" s="193">
        <f t="shared" si="2"/>
        <v>0</v>
      </c>
      <c r="G363" s="34"/>
      <c r="H363" s="34"/>
      <c r="I363" s="34"/>
      <c r="J363" s="34"/>
      <c r="K363" s="34"/>
      <c r="L363" s="34"/>
      <c r="M363" s="34"/>
      <c r="N363" s="34"/>
      <c r="O363" s="34"/>
      <c r="P363" s="34"/>
      <c r="Q363" s="34"/>
      <c r="S363" s="141"/>
      <c r="U363" s="43">
        <v>294</v>
      </c>
      <c r="V363" s="186"/>
      <c r="W363" s="187"/>
      <c r="Y363" s="195">
        <f t="shared" si="3"/>
        <v>0</v>
      </c>
      <c r="Z363" s="34"/>
      <c r="AA363" s="34"/>
      <c r="AB363" s="34"/>
      <c r="AC363" s="34"/>
      <c r="AD363" s="34"/>
      <c r="AE363" s="34"/>
      <c r="AF363" s="34"/>
      <c r="AG363" s="34"/>
      <c r="AH363" s="34"/>
      <c r="AI363" s="184"/>
      <c r="AJ363" s="184"/>
      <c r="AK363" s="184"/>
      <c r="AL363" s="141"/>
    </row>
    <row r="364" spans="2:38" ht="12.75" customHeight="1">
      <c r="B364" s="43">
        <v>295</v>
      </c>
      <c r="C364" s="186"/>
      <c r="D364" s="187"/>
      <c r="F364" s="193">
        <f t="shared" si="2"/>
        <v>0</v>
      </c>
      <c r="G364" s="34"/>
      <c r="H364" s="34"/>
      <c r="I364" s="34"/>
      <c r="J364" s="34"/>
      <c r="K364" s="34"/>
      <c r="L364" s="34"/>
      <c r="M364" s="34"/>
      <c r="N364" s="34"/>
      <c r="O364" s="34"/>
      <c r="P364" s="34"/>
      <c r="Q364" s="34"/>
      <c r="S364" s="141"/>
      <c r="U364" s="43">
        <v>295</v>
      </c>
      <c r="V364" s="186"/>
      <c r="W364" s="187"/>
      <c r="Y364" s="195">
        <f t="shared" si="3"/>
        <v>0</v>
      </c>
      <c r="Z364" s="34"/>
      <c r="AA364" s="34"/>
      <c r="AB364" s="34"/>
      <c r="AC364" s="34"/>
      <c r="AD364" s="34"/>
      <c r="AE364" s="34"/>
      <c r="AF364" s="34"/>
      <c r="AG364" s="34"/>
      <c r="AH364" s="34"/>
      <c r="AI364" s="184"/>
      <c r="AJ364" s="184"/>
      <c r="AK364" s="184"/>
      <c r="AL364" s="141"/>
    </row>
    <row r="365" spans="2:38" ht="12.75" customHeight="1">
      <c r="B365" s="43">
        <v>296</v>
      </c>
      <c r="C365" s="186"/>
      <c r="D365" s="187"/>
      <c r="F365" s="193">
        <f t="shared" si="2"/>
        <v>0</v>
      </c>
      <c r="G365" s="34"/>
      <c r="H365" s="34"/>
      <c r="I365" s="34"/>
      <c r="J365" s="34"/>
      <c r="K365" s="34"/>
      <c r="L365" s="34"/>
      <c r="M365" s="34"/>
      <c r="N365" s="34"/>
      <c r="O365" s="34"/>
      <c r="P365" s="34"/>
      <c r="Q365" s="34"/>
      <c r="S365" s="141"/>
      <c r="U365" s="43">
        <v>296</v>
      </c>
      <c r="V365" s="186"/>
      <c r="W365" s="187"/>
      <c r="Y365" s="195">
        <f t="shared" si="3"/>
        <v>0</v>
      </c>
      <c r="Z365" s="34"/>
      <c r="AA365" s="34"/>
      <c r="AB365" s="34"/>
      <c r="AC365" s="34"/>
      <c r="AD365" s="34"/>
      <c r="AE365" s="34"/>
      <c r="AF365" s="34"/>
      <c r="AG365" s="34"/>
      <c r="AH365" s="34"/>
      <c r="AI365" s="184"/>
      <c r="AJ365" s="184"/>
      <c r="AK365" s="184"/>
      <c r="AL365" s="141"/>
    </row>
    <row r="366" spans="2:38" ht="12.75" customHeight="1">
      <c r="B366" s="43">
        <v>297</v>
      </c>
      <c r="C366" s="186"/>
      <c r="D366" s="187"/>
      <c r="F366" s="193">
        <f t="shared" si="2"/>
        <v>0</v>
      </c>
      <c r="G366" s="34"/>
      <c r="H366" s="34"/>
      <c r="I366" s="34"/>
      <c r="J366" s="34"/>
      <c r="K366" s="34"/>
      <c r="L366" s="34"/>
      <c r="M366" s="34"/>
      <c r="N366" s="34"/>
      <c r="O366" s="34"/>
      <c r="P366" s="34"/>
      <c r="Q366" s="34"/>
      <c r="S366" s="141"/>
      <c r="U366" s="43">
        <v>297</v>
      </c>
      <c r="V366" s="186"/>
      <c r="W366" s="187"/>
      <c r="Y366" s="195">
        <f t="shared" si="3"/>
        <v>0</v>
      </c>
      <c r="Z366" s="34"/>
      <c r="AA366" s="34"/>
      <c r="AB366" s="34"/>
      <c r="AC366" s="34"/>
      <c r="AD366" s="34"/>
      <c r="AE366" s="34"/>
      <c r="AF366" s="34"/>
      <c r="AG366" s="34"/>
      <c r="AH366" s="34"/>
      <c r="AI366" s="184"/>
      <c r="AJ366" s="184"/>
      <c r="AK366" s="184"/>
      <c r="AL366" s="141"/>
    </row>
    <row r="367" spans="2:38" ht="12.75" customHeight="1">
      <c r="B367" s="43">
        <v>298</v>
      </c>
      <c r="C367" s="186"/>
      <c r="D367" s="187"/>
      <c r="F367" s="193">
        <f t="shared" si="2"/>
        <v>0</v>
      </c>
      <c r="G367" s="34"/>
      <c r="H367" s="34"/>
      <c r="I367" s="34"/>
      <c r="J367" s="34"/>
      <c r="K367" s="34"/>
      <c r="L367" s="34"/>
      <c r="M367" s="34"/>
      <c r="N367" s="34"/>
      <c r="O367" s="34"/>
      <c r="P367" s="34"/>
      <c r="Q367" s="34"/>
      <c r="S367" s="141"/>
      <c r="U367" s="43">
        <v>298</v>
      </c>
      <c r="V367" s="186"/>
      <c r="W367" s="187"/>
      <c r="Y367" s="195">
        <f t="shared" si="3"/>
        <v>0</v>
      </c>
      <c r="Z367" s="34"/>
      <c r="AA367" s="34"/>
      <c r="AB367" s="34"/>
      <c r="AC367" s="34"/>
      <c r="AD367" s="34"/>
      <c r="AE367" s="34"/>
      <c r="AF367" s="34"/>
      <c r="AG367" s="34"/>
      <c r="AH367" s="34"/>
      <c r="AI367" s="184"/>
      <c r="AJ367" s="184"/>
      <c r="AK367" s="184"/>
      <c r="AL367" s="141"/>
    </row>
    <row r="368" spans="2:38" ht="12.75" customHeight="1">
      <c r="B368" s="43">
        <v>299</v>
      </c>
      <c r="C368" s="186"/>
      <c r="D368" s="187"/>
      <c r="F368" s="193">
        <f t="shared" si="2"/>
        <v>0</v>
      </c>
      <c r="G368" s="34"/>
      <c r="H368" s="34"/>
      <c r="I368" s="34"/>
      <c r="J368" s="34"/>
      <c r="K368" s="34"/>
      <c r="L368" s="34"/>
      <c r="M368" s="34"/>
      <c r="N368" s="34"/>
      <c r="O368" s="34"/>
      <c r="P368" s="34"/>
      <c r="Q368" s="34"/>
      <c r="S368" s="141"/>
      <c r="U368" s="43">
        <v>299</v>
      </c>
      <c r="V368" s="186"/>
      <c r="W368" s="187"/>
      <c r="Y368" s="195">
        <f t="shared" si="3"/>
        <v>0</v>
      </c>
      <c r="Z368" s="34"/>
      <c r="AA368" s="34"/>
      <c r="AB368" s="34"/>
      <c r="AC368" s="34"/>
      <c r="AD368" s="34"/>
      <c r="AE368" s="34"/>
      <c r="AF368" s="34"/>
      <c r="AG368" s="34"/>
      <c r="AH368" s="34"/>
      <c r="AI368" s="184"/>
      <c r="AJ368" s="184"/>
      <c r="AK368" s="184"/>
      <c r="AL368" s="141"/>
    </row>
    <row r="369" spans="1:38" ht="12.75" customHeight="1">
      <c r="B369" s="43">
        <v>300</v>
      </c>
      <c r="C369" s="186"/>
      <c r="D369" s="187"/>
      <c r="F369" s="193">
        <f t="shared" si="2"/>
        <v>0</v>
      </c>
      <c r="G369" s="34"/>
      <c r="H369" s="34"/>
      <c r="I369" s="34"/>
      <c r="J369" s="34"/>
      <c r="K369" s="34"/>
      <c r="L369" s="34"/>
      <c r="M369" s="34"/>
      <c r="N369" s="34"/>
      <c r="O369" s="34"/>
      <c r="P369" s="34"/>
      <c r="Q369" s="34"/>
      <c r="S369" s="141"/>
      <c r="U369" s="43">
        <v>300</v>
      </c>
      <c r="V369" s="186"/>
      <c r="W369" s="187"/>
      <c r="Y369" s="195">
        <f t="shared" si="3"/>
        <v>0</v>
      </c>
      <c r="Z369" s="34"/>
      <c r="AA369" s="34"/>
      <c r="AB369" s="34"/>
      <c r="AC369" s="34"/>
      <c r="AD369" s="34"/>
      <c r="AE369" s="34"/>
      <c r="AF369" s="34"/>
      <c r="AG369" s="34"/>
      <c r="AH369" s="34"/>
      <c r="AI369" s="184"/>
      <c r="AJ369" s="184"/>
      <c r="AK369" s="184"/>
      <c r="AL369" s="141"/>
    </row>
    <row r="370" spans="1:38" ht="12.75" customHeight="1">
      <c r="A370" s="25"/>
      <c r="B370" s="25"/>
      <c r="C370" s="25"/>
      <c r="D370" s="25"/>
      <c r="E370" s="25"/>
      <c r="F370" s="25"/>
      <c r="G370" s="25"/>
      <c r="H370" s="25"/>
      <c r="I370" s="25"/>
      <c r="J370" s="25"/>
      <c r="K370" s="25"/>
      <c r="L370" s="25"/>
      <c r="M370" s="25"/>
      <c r="N370" s="25"/>
      <c r="O370" s="25"/>
      <c r="P370" s="25"/>
      <c r="Q370" s="25"/>
      <c r="R370" s="25"/>
      <c r="S370" s="197"/>
      <c r="T370" s="25"/>
      <c r="U370" s="25"/>
      <c r="V370" s="25"/>
      <c r="W370" s="25"/>
      <c r="X370" s="25"/>
      <c r="Y370" s="25"/>
      <c r="Z370" s="25"/>
      <c r="AA370" s="25"/>
      <c r="AB370" s="25"/>
      <c r="AC370" s="25"/>
      <c r="AD370" s="25"/>
      <c r="AE370" s="25"/>
      <c r="AF370" s="25"/>
      <c r="AG370" s="25"/>
      <c r="AH370" s="25"/>
      <c r="AI370" s="25"/>
      <c r="AJ370" s="25"/>
      <c r="AK370" s="25"/>
      <c r="AL370" s="197"/>
    </row>
    <row r="371" spans="1:38" ht="12.75" customHeight="1"/>
    <row r="372" spans="1:38" ht="12.75" customHeight="1"/>
    <row r="373" spans="1:38" ht="12.75" customHeight="1"/>
    <row r="374" spans="1:38" ht="12.75" customHeight="1"/>
    <row r="375" spans="1:38" ht="12.75" customHeight="1"/>
    <row r="376" spans="1:38" ht="12.75" customHeight="1"/>
    <row r="377" spans="1:38" ht="12.75" customHeight="1"/>
    <row r="378" spans="1:38" ht="12.75" customHeight="1"/>
    <row r="379" spans="1:38" ht="12.75" customHeight="1"/>
    <row r="380" spans="1:38" ht="12.75" customHeight="1"/>
    <row r="381" spans="1:38" ht="12.75" customHeight="1"/>
    <row r="382" spans="1:38" ht="12.75" customHeight="1"/>
    <row r="383" spans="1:38" ht="12.75" customHeight="1"/>
    <row r="384" spans="1:38"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3">
    <mergeCell ref="V57:W57"/>
    <mergeCell ref="U60:AK61"/>
    <mergeCell ref="V47:W47"/>
    <mergeCell ref="X47:Y47"/>
    <mergeCell ref="Z47:AA47"/>
    <mergeCell ref="AG47:AH47"/>
    <mergeCell ref="V51:W51"/>
    <mergeCell ref="V54:W54"/>
    <mergeCell ref="V55:W55"/>
    <mergeCell ref="X48:Y48"/>
    <mergeCell ref="Z48:AA48"/>
    <mergeCell ref="AG54:AH54"/>
    <mergeCell ref="AG55:AH55"/>
    <mergeCell ref="V56:W56"/>
    <mergeCell ref="AG56:AH56"/>
    <mergeCell ref="T48:U48"/>
    <mergeCell ref="V48:W48"/>
    <mergeCell ref="A60:B60"/>
    <mergeCell ref="C60:D60"/>
    <mergeCell ref="A1:S1"/>
    <mergeCell ref="T1:AL1"/>
    <mergeCell ref="D3:J3"/>
    <mergeCell ref="O3:S3"/>
    <mergeCell ref="W3:AC3"/>
    <mergeCell ref="AH3:AL3"/>
    <mergeCell ref="A5:S5"/>
    <mergeCell ref="A47:B47"/>
    <mergeCell ref="C47:D47"/>
    <mergeCell ref="E47:F47"/>
    <mergeCell ref="G47:H47"/>
    <mergeCell ref="N47:O47"/>
    <mergeCell ref="P47:R47"/>
    <mergeCell ref="T47:U47"/>
    <mergeCell ref="C57:D57"/>
    <mergeCell ref="A58:B58"/>
    <mergeCell ref="C58:D58"/>
    <mergeCell ref="A59:B59"/>
    <mergeCell ref="C59:D59"/>
    <mergeCell ref="E54:F54"/>
    <mergeCell ref="G54:H54"/>
    <mergeCell ref="A48:B48"/>
    <mergeCell ref="A51:B51"/>
    <mergeCell ref="C51:D51"/>
    <mergeCell ref="C52:D52"/>
    <mergeCell ref="C54:D54"/>
    <mergeCell ref="C48:D48"/>
    <mergeCell ref="E48:F48"/>
    <mergeCell ref="G48:H48"/>
    <mergeCell ref="A61:B61"/>
    <mergeCell ref="C61:D61"/>
    <mergeCell ref="C62:D62"/>
    <mergeCell ref="C63:D63"/>
    <mergeCell ref="C64:D64"/>
  </mergeCells>
  <conditionalFormatting sqref="C51:D51">
    <cfRule type="cellIs" dxfId="347" priority="1" stopIfTrue="1" operator="greaterThanOrEqual">
      <formula>$C$52</formula>
    </cfRule>
    <cfRule type="cellIs" dxfId="346" priority="2" stopIfTrue="1" operator="between">
      <formula>0.01</formula>
      <formula>$C$52</formula>
    </cfRule>
    <cfRule type="cellIs" dxfId="345" priority="3" stopIfTrue="1" operator="equal">
      <formula>0</formula>
    </cfRule>
  </conditionalFormatting>
  <conditionalFormatting sqref="C54:D54">
    <cfRule type="expression" dxfId="344" priority="4">
      <formula>OR($C$54&lt;65,$C$54&lt;$V$51)</formula>
    </cfRule>
  </conditionalFormatting>
  <conditionalFormatting sqref="C58:D58">
    <cfRule type="expression" dxfId="343" priority="5">
      <formula>C58&gt;275</formula>
    </cfRule>
    <cfRule type="expression" dxfId="342" priority="6">
      <formula>C58&lt;275</formula>
    </cfRule>
  </conditionalFormatting>
  <conditionalFormatting sqref="C60:D60">
    <cfRule type="expression" dxfId="341" priority="7">
      <formula>AND($C$60&lt;0.4*$C$61,$C$60&lt;1)</formula>
    </cfRule>
  </conditionalFormatting>
  <conditionalFormatting sqref="C61:D61">
    <cfRule type="expression" dxfId="340" priority="8">
      <formula>AND($C$61&lt;0.4*$C$60,$C$61&lt;1)</formula>
    </cfRule>
  </conditionalFormatting>
  <conditionalFormatting sqref="N47:O47">
    <cfRule type="cellIs" dxfId="339" priority="9" stopIfTrue="1" operator="equal">
      <formula>0</formula>
    </cfRule>
    <cfRule type="cellIs" dxfId="338" priority="10" stopIfTrue="1" operator="greaterThanOrEqual">
      <formula>$P$47</formula>
    </cfRule>
    <cfRule type="cellIs" dxfId="337" priority="11" stopIfTrue="1" operator="lessThan">
      <formula>$P$47</formula>
    </cfRule>
  </conditionalFormatting>
  <conditionalFormatting sqref="V51:W51">
    <cfRule type="expression" dxfId="336" priority="12">
      <formula>V51&lt;65</formula>
    </cfRule>
  </conditionalFormatting>
  <conditionalFormatting sqref="AJ55">
    <cfRule type="cellIs" dxfId="335" priority="13" stopIfTrue="1" operator="greaterThanOrEqual">
      <formula>100</formula>
    </cfRule>
    <cfRule type="cellIs" dxfId="334" priority="14" stopIfTrue="1" operator="lessThan">
      <formula>85</formula>
    </cfRule>
    <cfRule type="cellIs" dxfId="333" priority="15" stopIfTrue="1" operator="greaterThanOrEqual">
      <formula>85</formula>
    </cfRule>
  </conditionalFormatting>
  <hyperlinks>
    <hyperlink ref="AM2" location="'Cover Sheet'!A1" display="BACK to COVER SHEET" xr:uid="{00000000-0004-0000-0700-000000000000}"/>
  </hyperlinks>
  <printOptions horizontalCentered="1"/>
  <pageMargins left="0.39370078740157483" right="0.39370078740157483" top="0.39370078740157483" bottom="0.39370078740157483"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99FF"/>
  </sheetPr>
  <dimension ref="A1:AO1000"/>
  <sheetViews>
    <sheetView showGridLines="0" workbookViewId="0"/>
  </sheetViews>
  <sheetFormatPr baseColWidth="10" defaultColWidth="12.5703125" defaultRowHeight="15" customHeight="1"/>
  <cols>
    <col min="1" max="38" width="5" customWidth="1"/>
    <col min="39" max="41" width="11.42578125" customWidth="1"/>
  </cols>
  <sheetData>
    <row r="1" spans="1:41" ht="12.75" customHeight="1">
      <c r="A1" s="675" t="s">
        <v>324</v>
      </c>
      <c r="B1" s="595"/>
      <c r="C1" s="595"/>
      <c r="D1" s="595"/>
      <c r="E1" s="595"/>
      <c r="F1" s="595"/>
      <c r="G1" s="595"/>
      <c r="H1" s="595"/>
      <c r="I1" s="595"/>
      <c r="J1" s="595"/>
      <c r="K1" s="595"/>
      <c r="L1" s="595"/>
      <c r="M1" s="595"/>
      <c r="N1" s="595"/>
      <c r="O1" s="595"/>
      <c r="P1" s="595"/>
      <c r="Q1" s="595"/>
      <c r="R1" s="595"/>
      <c r="S1" s="596"/>
      <c r="T1" s="675" t="s">
        <v>325</v>
      </c>
      <c r="U1" s="595"/>
      <c r="V1" s="595"/>
      <c r="W1" s="595"/>
      <c r="X1" s="595"/>
      <c r="Y1" s="595"/>
      <c r="Z1" s="595"/>
      <c r="AA1" s="595"/>
      <c r="AB1" s="595"/>
      <c r="AC1" s="595"/>
      <c r="AD1" s="595"/>
      <c r="AE1" s="595"/>
      <c r="AF1" s="595"/>
      <c r="AG1" s="595"/>
      <c r="AH1" s="595"/>
      <c r="AI1" s="595"/>
      <c r="AJ1" s="595"/>
      <c r="AK1" s="595"/>
      <c r="AL1" s="596"/>
    </row>
    <row r="2" spans="1:41" ht="12.75" customHeight="1">
      <c r="A2" s="80"/>
      <c r="S2" s="141"/>
      <c r="T2" s="80"/>
      <c r="AL2" s="141"/>
      <c r="AM2" s="39" t="s">
        <v>252</v>
      </c>
      <c r="AN2" s="39"/>
      <c r="AO2" s="39"/>
    </row>
    <row r="3" spans="1:41" ht="12.75" customHeight="1">
      <c r="A3" s="67" t="s">
        <v>45</v>
      </c>
      <c r="D3" s="635" t="str">
        <f>IF('Cover Sheet'!$D$14&gt;0,'Cover Sheet'!$D$14,"")</f>
        <v>Ecole Centrale Lyon</v>
      </c>
      <c r="E3" s="601"/>
      <c r="F3" s="601"/>
      <c r="G3" s="601"/>
      <c r="H3" s="601"/>
      <c r="I3" s="601"/>
      <c r="J3" s="601"/>
      <c r="K3" s="67" t="s">
        <v>47</v>
      </c>
      <c r="O3" s="635" t="str">
        <f>IF('Cover Sheet'!$O$14&gt;0,'Cover Sheet'!$O$14,"")</f>
        <v>81 FSCH/FSS/FSF</v>
      </c>
      <c r="P3" s="601"/>
      <c r="Q3" s="601"/>
      <c r="R3" s="601"/>
      <c r="S3" s="601"/>
      <c r="T3" s="67" t="s">
        <v>45</v>
      </c>
      <c r="W3" s="635" t="str">
        <f>IF('Cover Sheet'!$D$14&gt;0,'Cover Sheet'!$D$14,"")</f>
        <v>Ecole Centrale Lyon</v>
      </c>
      <c r="X3" s="601"/>
      <c r="Y3" s="601"/>
      <c r="Z3" s="601"/>
      <c r="AA3" s="601"/>
      <c r="AB3" s="601"/>
      <c r="AC3" s="601"/>
      <c r="AD3" s="67" t="s">
        <v>47</v>
      </c>
      <c r="AH3" s="635" t="str">
        <f>IF('Cover Sheet'!$O$14&gt;0,'Cover Sheet'!$O$14,"")</f>
        <v>81 FSCH/FSS/FSF</v>
      </c>
      <c r="AI3" s="601"/>
      <c r="AJ3" s="601"/>
      <c r="AK3" s="601"/>
      <c r="AL3" s="601"/>
    </row>
    <row r="4" spans="1:41" ht="12.75" customHeight="1">
      <c r="A4" s="80"/>
      <c r="S4" s="141"/>
      <c r="T4" s="80"/>
      <c r="AL4" s="141"/>
    </row>
    <row r="5" spans="1:41" ht="12.75" customHeight="1">
      <c r="A5" s="685"/>
      <c r="B5" s="677"/>
      <c r="C5" s="677"/>
      <c r="D5" s="677"/>
      <c r="E5" s="677"/>
      <c r="F5" s="677"/>
      <c r="G5" s="677"/>
      <c r="H5" s="677"/>
      <c r="I5" s="677"/>
      <c r="J5" s="677"/>
      <c r="K5" s="677"/>
      <c r="L5" s="677"/>
      <c r="M5" s="677"/>
      <c r="N5" s="677"/>
      <c r="O5" s="677"/>
      <c r="P5" s="677"/>
      <c r="Q5" s="677"/>
      <c r="R5" s="677"/>
      <c r="S5" s="667"/>
      <c r="T5" s="142"/>
      <c r="U5" s="143"/>
      <c r="V5" s="143"/>
      <c r="W5" s="143"/>
      <c r="X5" s="143"/>
      <c r="Y5" s="143"/>
      <c r="Z5" s="143"/>
      <c r="AA5" s="143"/>
      <c r="AB5" s="143"/>
      <c r="AC5" s="143"/>
      <c r="AD5" s="143"/>
      <c r="AE5" s="143"/>
      <c r="AF5" s="143"/>
      <c r="AG5" s="143"/>
      <c r="AH5" s="143"/>
      <c r="AI5" s="143"/>
      <c r="AJ5" s="143"/>
      <c r="AK5" s="143"/>
      <c r="AL5" s="144"/>
    </row>
    <row r="6" spans="1:41" ht="12.75" customHeight="1">
      <c r="A6" s="147"/>
      <c r="B6" s="147"/>
      <c r="C6" s="64"/>
      <c r="D6" s="147"/>
      <c r="E6" s="64"/>
      <c r="F6" s="64"/>
      <c r="G6" s="64"/>
      <c r="H6" s="64"/>
      <c r="I6" s="64"/>
      <c r="J6" s="64"/>
      <c r="K6" s="64"/>
      <c r="L6" s="64"/>
      <c r="M6" s="64"/>
      <c r="N6" s="64"/>
      <c r="O6" s="64"/>
      <c r="P6" s="64"/>
      <c r="Q6" s="64"/>
      <c r="R6" s="64"/>
      <c r="S6" s="96"/>
      <c r="T6" s="95"/>
      <c r="U6" s="64"/>
      <c r="V6" s="64"/>
      <c r="W6" s="64"/>
      <c r="X6" s="64"/>
      <c r="Y6" s="64"/>
      <c r="Z6" s="64"/>
      <c r="AA6" s="64"/>
      <c r="AB6" s="64"/>
      <c r="AC6" s="64"/>
      <c r="AD6" s="64"/>
      <c r="AE6" s="64"/>
      <c r="AF6" s="64"/>
      <c r="AG6" s="64"/>
      <c r="AH6" s="64"/>
      <c r="AI6" s="64"/>
      <c r="AJ6" s="64"/>
      <c r="AK6" s="64"/>
      <c r="AL6" s="96"/>
    </row>
    <row r="7" spans="1:41" ht="12.75" customHeight="1">
      <c r="A7" s="147"/>
      <c r="B7" s="147" t="s">
        <v>253</v>
      </c>
      <c r="C7" s="64"/>
      <c r="D7" s="147"/>
      <c r="E7" s="64"/>
      <c r="F7" s="64"/>
      <c r="G7" s="64"/>
      <c r="H7" s="64"/>
      <c r="I7" s="64"/>
      <c r="J7" s="64"/>
      <c r="K7" s="64"/>
      <c r="L7" s="64"/>
      <c r="M7" s="64"/>
      <c r="N7" s="64"/>
      <c r="O7" s="64"/>
      <c r="P7" s="64"/>
      <c r="Q7" s="64"/>
      <c r="R7" s="64"/>
      <c r="S7" s="96"/>
      <c r="T7" s="95"/>
      <c r="U7" s="147" t="s">
        <v>253</v>
      </c>
      <c r="V7" s="64"/>
      <c r="W7" s="64"/>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95"/>
      <c r="U8" s="65"/>
      <c r="V8" s="64"/>
      <c r="W8" s="64"/>
      <c r="X8" s="64"/>
      <c r="Y8" s="64"/>
      <c r="Z8" s="64"/>
      <c r="AA8" s="64"/>
      <c r="AB8" s="64"/>
      <c r="AC8" s="64"/>
      <c r="AD8" s="64"/>
      <c r="AE8" s="64"/>
      <c r="AF8" s="64"/>
      <c r="AG8" s="64"/>
      <c r="AH8" s="64"/>
      <c r="AI8" s="64"/>
      <c r="AJ8" s="64"/>
      <c r="AK8" s="64"/>
      <c r="AL8" s="96"/>
    </row>
    <row r="9" spans="1:41" ht="12.75" customHeight="1">
      <c r="A9" s="147"/>
      <c r="B9" s="147" t="s">
        <v>254</v>
      </c>
      <c r="C9" s="64"/>
      <c r="D9" s="147"/>
      <c r="E9" s="64"/>
      <c r="F9" s="64"/>
      <c r="G9" s="64"/>
      <c r="H9" s="64"/>
      <c r="I9" s="64"/>
      <c r="J9" s="64"/>
      <c r="K9" s="64"/>
      <c r="L9" s="64"/>
      <c r="M9" s="64"/>
      <c r="N9" s="64"/>
      <c r="O9" s="64"/>
      <c r="P9" s="64"/>
      <c r="Q9" s="64"/>
      <c r="R9" s="64"/>
      <c r="S9" s="96"/>
      <c r="T9" s="95"/>
      <c r="U9" s="147" t="s">
        <v>254</v>
      </c>
      <c r="V9" s="64"/>
      <c r="W9" s="64"/>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95"/>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255</v>
      </c>
      <c r="C11" s="64"/>
      <c r="D11" s="64"/>
      <c r="E11" s="64"/>
      <c r="F11" s="64"/>
      <c r="G11" s="64"/>
      <c r="H11" s="64"/>
      <c r="I11" s="64"/>
      <c r="J11" s="64"/>
      <c r="K11" s="64"/>
      <c r="L11" s="64"/>
      <c r="M11" s="64"/>
      <c r="N11" s="64"/>
      <c r="O11" s="64"/>
      <c r="P11" s="64"/>
      <c r="Q11" s="64"/>
      <c r="R11" s="64"/>
      <c r="S11" s="96"/>
      <c r="T11" s="95"/>
      <c r="U11" s="147" t="s">
        <v>255</v>
      </c>
      <c r="V11" s="64"/>
      <c r="W11" s="64"/>
      <c r="X11" s="147"/>
      <c r="Y11" s="64"/>
      <c r="Z11" s="147"/>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326</v>
      </c>
      <c r="B19" s="77"/>
      <c r="C19" s="77"/>
      <c r="D19" s="77"/>
      <c r="E19" s="77"/>
      <c r="F19" s="77"/>
      <c r="G19" s="77"/>
      <c r="H19" s="77"/>
      <c r="I19" s="77"/>
      <c r="J19" s="77"/>
      <c r="K19" s="77"/>
      <c r="L19" s="77"/>
      <c r="M19" s="77"/>
      <c r="N19" s="77"/>
      <c r="O19" s="77"/>
      <c r="P19" s="77"/>
      <c r="Q19" s="77"/>
      <c r="R19" s="77"/>
      <c r="S19" s="152"/>
      <c r="T19" s="151" t="s">
        <v>327</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258</v>
      </c>
      <c r="C23" s="64"/>
      <c r="D23" s="64"/>
      <c r="E23" s="64"/>
      <c r="F23" s="64"/>
      <c r="G23" s="64"/>
      <c r="H23" s="64"/>
      <c r="I23" s="64"/>
      <c r="J23" s="64"/>
      <c r="K23" s="64"/>
      <c r="L23" s="64"/>
      <c r="M23" s="64"/>
      <c r="N23" s="64"/>
      <c r="O23" s="64"/>
      <c r="P23" s="64"/>
      <c r="Q23" s="64"/>
      <c r="R23" s="64"/>
      <c r="S23" s="96"/>
      <c r="T23" s="95"/>
      <c r="U23" s="147" t="s">
        <v>258</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259</v>
      </c>
      <c r="C25" s="64"/>
      <c r="D25" s="64"/>
      <c r="E25" s="64"/>
      <c r="F25" s="64"/>
      <c r="G25" s="64"/>
      <c r="H25" s="64"/>
      <c r="I25" s="64"/>
      <c r="J25" s="64"/>
      <c r="K25" s="64"/>
      <c r="L25" s="64"/>
      <c r="M25" s="64"/>
      <c r="N25" s="64"/>
      <c r="O25" s="64"/>
      <c r="P25" s="64"/>
      <c r="Q25" s="64"/>
      <c r="R25" s="64"/>
      <c r="S25" s="96"/>
      <c r="T25" s="95"/>
      <c r="U25" s="147" t="s">
        <v>259</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260</v>
      </c>
      <c r="C27" s="64"/>
      <c r="D27" s="64"/>
      <c r="E27" s="64"/>
      <c r="F27" s="64"/>
      <c r="G27" s="64"/>
      <c r="H27" s="64"/>
      <c r="I27" s="64"/>
      <c r="J27" s="64"/>
      <c r="K27" s="64"/>
      <c r="L27" s="64"/>
      <c r="M27" s="64"/>
      <c r="N27" s="64"/>
      <c r="O27" s="64"/>
      <c r="P27" s="64"/>
      <c r="Q27" s="64"/>
      <c r="R27" s="64"/>
      <c r="S27" s="96"/>
      <c r="T27" s="95"/>
      <c r="U27" s="147" t="s">
        <v>260</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261</v>
      </c>
      <c r="C29" s="64"/>
      <c r="D29" s="64"/>
      <c r="E29" s="64"/>
      <c r="F29" s="64"/>
      <c r="G29" s="64"/>
      <c r="H29" s="64"/>
      <c r="I29" s="64"/>
      <c r="J29" s="64"/>
      <c r="K29" s="64"/>
      <c r="L29" s="64"/>
      <c r="M29" s="64"/>
      <c r="N29" s="64"/>
      <c r="O29" s="64"/>
      <c r="P29" s="64"/>
      <c r="Q29" s="64"/>
      <c r="R29" s="64"/>
      <c r="S29" s="96"/>
      <c r="T29" s="95"/>
      <c r="U29" s="147" t="s">
        <v>261</v>
      </c>
      <c r="V29" s="64"/>
      <c r="W29" s="64"/>
      <c r="X29" s="64"/>
      <c r="Y29" s="64"/>
      <c r="Z29" s="64"/>
      <c r="AA29" s="64"/>
      <c r="AB29" s="64"/>
      <c r="AC29" s="64"/>
      <c r="AD29" s="64"/>
      <c r="AE29" s="64"/>
      <c r="AF29" s="64"/>
      <c r="AG29" s="64"/>
      <c r="AH29" s="64"/>
      <c r="AI29" s="64"/>
      <c r="AJ29" s="64"/>
      <c r="AK29" s="64"/>
      <c r="AL29" s="96"/>
    </row>
    <row r="30" spans="1:38" ht="12.75" customHeight="1">
      <c r="A30" s="95"/>
      <c r="B30" s="147" t="s">
        <v>262</v>
      </c>
      <c r="C30" s="64"/>
      <c r="D30" s="64"/>
      <c r="E30" s="64"/>
      <c r="F30" s="64"/>
      <c r="G30" s="64"/>
      <c r="H30" s="64"/>
      <c r="I30" s="64"/>
      <c r="J30" s="64"/>
      <c r="K30" s="64"/>
      <c r="L30" s="64"/>
      <c r="M30" s="64"/>
      <c r="N30" s="64"/>
      <c r="O30" s="64"/>
      <c r="P30" s="64"/>
      <c r="Q30" s="64"/>
      <c r="R30" s="64"/>
      <c r="S30" s="96"/>
      <c r="T30" s="95"/>
      <c r="U30" s="147" t="s">
        <v>262</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328</v>
      </c>
      <c r="B43" s="77"/>
      <c r="C43" s="77"/>
      <c r="D43" s="77"/>
      <c r="E43" s="77"/>
      <c r="F43" s="77"/>
      <c r="G43" s="77"/>
      <c r="H43" s="77"/>
      <c r="I43" s="77"/>
      <c r="J43" s="77"/>
      <c r="K43" s="77"/>
      <c r="L43" s="77"/>
      <c r="M43" s="77"/>
      <c r="N43" s="77"/>
      <c r="O43" s="77"/>
      <c r="P43" s="77"/>
      <c r="Q43" s="77"/>
      <c r="R43" s="77"/>
      <c r="S43" s="152"/>
      <c r="T43" s="151" t="s">
        <v>329</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266</v>
      </c>
      <c r="B45" s="158"/>
      <c r="C45" s="158"/>
      <c r="D45" s="158"/>
      <c r="E45" s="158"/>
      <c r="F45" s="158"/>
      <c r="G45" s="158"/>
      <c r="H45" s="158"/>
      <c r="I45" s="158"/>
      <c r="J45" s="158"/>
      <c r="K45" s="158"/>
      <c r="L45" s="158"/>
      <c r="M45" s="158"/>
      <c r="N45" s="158"/>
      <c r="O45" s="158"/>
      <c r="P45" s="158"/>
      <c r="Q45" s="158"/>
      <c r="R45" s="158"/>
      <c r="S45" s="159"/>
      <c r="T45" s="157" t="s">
        <v>266</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64" t="s">
        <v>330</v>
      </c>
      <c r="B46" s="598"/>
      <c r="C46" s="665"/>
      <c r="D46" s="588"/>
      <c r="E46" s="671" t="s">
        <v>331</v>
      </c>
      <c r="F46" s="598"/>
      <c r="G46" s="665"/>
      <c r="H46" s="588"/>
      <c r="I46" s="155"/>
      <c r="J46" s="158"/>
      <c r="K46" s="158"/>
      <c r="L46" s="158"/>
      <c r="M46" s="162" t="s">
        <v>270</v>
      </c>
      <c r="N46" s="678">
        <f>IF(C47&gt;0,(((G47-G46)/(C47-C46))^-1)^-1,0)</f>
        <v>0</v>
      </c>
      <c r="O46" s="588"/>
      <c r="P46" s="679"/>
      <c r="Q46" s="598"/>
      <c r="R46" s="598"/>
      <c r="S46" s="159"/>
      <c r="T46" s="664" t="s">
        <v>332</v>
      </c>
      <c r="U46" s="598"/>
      <c r="V46" s="672"/>
      <c r="W46" s="588"/>
      <c r="X46" s="671" t="s">
        <v>333</v>
      </c>
      <c r="Y46" s="598"/>
      <c r="Z46" s="665"/>
      <c r="AA46" s="588"/>
      <c r="AB46" s="155"/>
      <c r="AC46" s="158"/>
      <c r="AD46" s="158"/>
      <c r="AE46" s="158"/>
      <c r="AF46" s="162" t="s">
        <v>270</v>
      </c>
      <c r="AG46" s="663">
        <f>IF((V47-V46)&gt;0,(Z47-Z46)/(V47-V46),0)</f>
        <v>0</v>
      </c>
      <c r="AH46" s="588"/>
      <c r="AI46" s="158"/>
      <c r="AJ46" s="158"/>
      <c r="AK46" s="158"/>
      <c r="AL46" s="159"/>
    </row>
    <row r="47" spans="1:38" ht="14.25" customHeight="1">
      <c r="A47" s="664" t="s">
        <v>334</v>
      </c>
      <c r="B47" s="598"/>
      <c r="C47" s="665"/>
      <c r="D47" s="588"/>
      <c r="E47" s="671" t="s">
        <v>335</v>
      </c>
      <c r="F47" s="598"/>
      <c r="G47" s="665"/>
      <c r="H47" s="588"/>
      <c r="I47" s="34" t="str">
        <f>IFERROR(IF(AND(N46&lt;0,G47&gt;G46),"Congrats! You've found an Easter egg!",""),"")</f>
        <v/>
      </c>
      <c r="P47" s="158"/>
      <c r="Q47" s="158"/>
      <c r="R47" s="158"/>
      <c r="S47" s="159"/>
      <c r="T47" s="664" t="s">
        <v>336</v>
      </c>
      <c r="U47" s="598"/>
      <c r="V47" s="672"/>
      <c r="W47" s="588"/>
      <c r="X47" s="671" t="s">
        <v>337</v>
      </c>
      <c r="Y47" s="598"/>
      <c r="Z47" s="665"/>
      <c r="AA47" s="588"/>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277</v>
      </c>
      <c r="B49" s="158"/>
      <c r="C49" s="158"/>
      <c r="D49" s="158"/>
      <c r="E49" s="158"/>
      <c r="F49" s="158"/>
      <c r="G49" s="158"/>
      <c r="H49" s="158"/>
      <c r="I49" s="158"/>
      <c r="J49" s="158"/>
      <c r="K49" s="158"/>
      <c r="L49" s="158"/>
      <c r="M49" s="158"/>
      <c r="N49" s="158"/>
      <c r="O49" s="158"/>
      <c r="P49" s="158"/>
      <c r="Q49" s="158"/>
      <c r="R49" s="158"/>
      <c r="S49" s="159"/>
      <c r="T49" s="151" t="s">
        <v>283</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64" t="s">
        <v>338</v>
      </c>
      <c r="B50" s="598"/>
      <c r="C50" s="669"/>
      <c r="D50" s="588"/>
      <c r="E50" s="155"/>
      <c r="F50" s="158"/>
      <c r="G50" s="158"/>
      <c r="H50" s="158"/>
      <c r="I50" s="158"/>
      <c r="J50" s="158"/>
      <c r="K50" s="158"/>
      <c r="L50" s="158"/>
      <c r="M50" s="158"/>
      <c r="N50" s="158"/>
      <c r="O50" s="158"/>
      <c r="P50" s="158"/>
      <c r="Q50" s="158"/>
      <c r="R50" s="158"/>
      <c r="S50" s="159"/>
      <c r="T50" s="151"/>
      <c r="U50" s="162" t="s">
        <v>286</v>
      </c>
      <c r="V50" s="681">
        <f>C53</f>
        <v>400</v>
      </c>
      <c r="W50" s="588"/>
      <c r="X50" s="155" t="s">
        <v>287</v>
      </c>
      <c r="Y50" s="155"/>
      <c r="Z50" s="155"/>
      <c r="AA50" s="155"/>
      <c r="AB50" s="155"/>
      <c r="AC50" s="155"/>
      <c r="AD50" s="155"/>
      <c r="AE50" s="155"/>
      <c r="AF50" s="162" t="s">
        <v>339</v>
      </c>
      <c r="AG50" s="683">
        <f>V51*(1/64)*PI()*(V52^4-V53^4)*200000</f>
        <v>1339009872.1404533</v>
      </c>
      <c r="AH50" s="588"/>
      <c r="AI50" s="166">
        <f>AG50*48/V50^3</f>
        <v>1004.25740410534</v>
      </c>
      <c r="AJ50" s="155"/>
      <c r="AK50" s="155"/>
      <c r="AL50" s="156"/>
    </row>
    <row r="51" spans="1:38" ht="15" customHeight="1">
      <c r="A51" s="165"/>
      <c r="B51" s="158"/>
      <c r="C51" s="198" t="str">
        <f>IF(L67&gt;12.7,"Force must be taken at max. 12.7 mm deflection!","")</f>
        <v/>
      </c>
      <c r="D51" s="199"/>
      <c r="E51" s="158"/>
      <c r="F51" s="158"/>
      <c r="G51" s="158"/>
      <c r="H51" s="158"/>
      <c r="I51" s="158"/>
      <c r="J51" s="158"/>
      <c r="K51" s="158"/>
      <c r="L51" s="158"/>
      <c r="M51" s="158"/>
      <c r="N51" s="158"/>
      <c r="O51" s="158"/>
      <c r="P51" s="158"/>
      <c r="Q51" s="158"/>
      <c r="R51" s="158"/>
      <c r="S51" s="159"/>
      <c r="T51" s="151"/>
      <c r="U51" s="162" t="s">
        <v>289</v>
      </c>
      <c r="V51" s="660">
        <v>1</v>
      </c>
      <c r="W51" s="588"/>
      <c r="X51" s="155" t="s">
        <v>290</v>
      </c>
      <c r="Y51" s="155"/>
      <c r="Z51" s="155"/>
      <c r="AA51" s="155"/>
      <c r="AB51" s="155"/>
      <c r="AC51" s="155"/>
      <c r="AD51" s="155"/>
      <c r="AE51" s="155"/>
      <c r="AF51" s="162" t="s">
        <v>340</v>
      </c>
      <c r="AG51" s="683">
        <f>IF(AG46&gt;0,(AG46*V50^3)/48,AG50)</f>
        <v>1339009872.1404533</v>
      </c>
      <c r="AH51" s="588"/>
      <c r="AI51" s="166">
        <f>AG51*48/V50^3</f>
        <v>1004.25740410534</v>
      </c>
      <c r="AJ51" s="167">
        <f>100*AG51/AG50</f>
        <v>100</v>
      </c>
      <c r="AK51" s="155" t="s">
        <v>292</v>
      </c>
      <c r="AL51" s="156"/>
    </row>
    <row r="52" spans="1:38" ht="14.25" customHeight="1">
      <c r="A52" s="157" t="s">
        <v>293</v>
      </c>
      <c r="B52" s="158"/>
      <c r="C52" s="158"/>
      <c r="D52" s="158"/>
      <c r="E52" s="158"/>
      <c r="F52" s="158"/>
      <c r="G52" s="158"/>
      <c r="H52" s="158"/>
      <c r="I52" s="158"/>
      <c r="J52" s="158"/>
      <c r="K52" s="158"/>
      <c r="L52" s="158"/>
      <c r="M52" s="158"/>
      <c r="N52" s="158"/>
      <c r="O52" s="158"/>
      <c r="P52" s="158"/>
      <c r="Q52" s="158"/>
      <c r="R52" s="158"/>
      <c r="S52" s="159"/>
      <c r="T52" s="151"/>
      <c r="U52" s="162" t="s">
        <v>341</v>
      </c>
      <c r="V52" s="660">
        <v>25.4</v>
      </c>
      <c r="W52" s="588"/>
      <c r="X52" s="155" t="s">
        <v>295</v>
      </c>
      <c r="Y52" s="155"/>
      <c r="Z52" s="155"/>
      <c r="AA52" s="155"/>
      <c r="AB52" s="155"/>
      <c r="AC52" s="155"/>
      <c r="AD52" s="155"/>
      <c r="AE52" s="155"/>
      <c r="AF52" s="162" t="s">
        <v>296</v>
      </c>
      <c r="AG52" s="684">
        <f>IF(AJ51&lt;75,0,IF(AG51&gt;=AG50,0,(AI51^-1-AI50^-1)^-1))</f>
        <v>0</v>
      </c>
      <c r="AH52" s="588"/>
      <c r="AI52" s="155"/>
      <c r="AJ52" s="155"/>
      <c r="AK52" s="155"/>
      <c r="AL52" s="156"/>
    </row>
    <row r="53" spans="1:38" ht="12.75" customHeight="1">
      <c r="A53" s="151"/>
      <c r="B53" s="168" t="s">
        <v>286</v>
      </c>
      <c r="C53" s="665">
        <v>400</v>
      </c>
      <c r="D53" s="588"/>
      <c r="E53" s="155" t="s">
        <v>297</v>
      </c>
      <c r="F53" s="158"/>
      <c r="G53" s="158"/>
      <c r="H53" s="158"/>
      <c r="I53" s="158"/>
      <c r="J53" s="158"/>
      <c r="K53" s="158"/>
      <c r="L53" s="158"/>
      <c r="M53" s="158"/>
      <c r="N53" s="158"/>
      <c r="O53" s="158"/>
      <c r="P53" s="158"/>
      <c r="Q53" s="158"/>
      <c r="R53" s="158"/>
      <c r="S53" s="159"/>
      <c r="T53" s="151"/>
      <c r="U53" s="162" t="s">
        <v>342</v>
      </c>
      <c r="V53" s="660">
        <v>23</v>
      </c>
      <c r="W53" s="588"/>
      <c r="X53" s="155" t="s">
        <v>299</v>
      </c>
      <c r="Y53" s="155"/>
      <c r="Z53" s="155"/>
      <c r="AA53" s="155"/>
      <c r="AB53" s="155"/>
      <c r="AC53" s="155"/>
      <c r="AD53" s="155"/>
      <c r="AE53" s="155"/>
      <c r="AF53" s="155"/>
      <c r="AG53" s="155"/>
      <c r="AH53" s="155"/>
      <c r="AI53" s="155"/>
      <c r="AJ53" s="155"/>
      <c r="AK53" s="155"/>
      <c r="AL53" s="156"/>
    </row>
    <row r="54" spans="1:38" ht="12.75" customHeight="1">
      <c r="A54" s="659" t="s">
        <v>300</v>
      </c>
      <c r="B54" s="598"/>
      <c r="C54" s="665">
        <v>275</v>
      </c>
      <c r="D54" s="588"/>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59" t="s">
        <v>302</v>
      </c>
      <c r="B55" s="598"/>
      <c r="C55" s="660"/>
      <c r="D55" s="588"/>
      <c r="E55" s="155" t="s">
        <v>303</v>
      </c>
      <c r="F55" s="155"/>
      <c r="G55" s="155"/>
      <c r="H55" s="155"/>
      <c r="I55" s="155"/>
      <c r="J55" s="23" t="e">
        <f t="array" aca="1" ref="J55" ca="1">_xludf.IFS(
    C55&lt;'Chassis Pics'!Z11, "Test panel with the thicker core must be tested, see T3.5.3.",
    C55&gt;(0.66^(-1))*'Chassis Pics'!Z11, "Test panel vs. used core thickness not in line with T3.5.3 (66%).",
    OR(C55&gt;='Chassis Pics'!Z11, C55&lt;=(0.66^(-1))*'Chassis Pics'!Z11,""),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59" t="s">
        <v>343</v>
      </c>
      <c r="B56" s="598"/>
      <c r="C56" s="673"/>
      <c r="D56" s="674"/>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80" t="str">
        <f>IF(AND(0&lt;$AJ$51,$AJ$51&lt;85),"Rig compliance out of normal bounds, perform and document another rig compliance test!","")</f>
        <v/>
      </c>
      <c r="V56" s="598"/>
      <c r="W56" s="598"/>
      <c r="X56" s="598"/>
      <c r="Y56" s="598"/>
      <c r="Z56" s="598"/>
      <c r="AA56" s="598"/>
      <c r="AB56" s="598"/>
      <c r="AC56" s="598"/>
      <c r="AD56" s="598"/>
      <c r="AE56" s="598"/>
      <c r="AF56" s="598"/>
      <c r="AG56" s="598"/>
      <c r="AH56" s="598"/>
      <c r="AI56" s="598"/>
      <c r="AJ56" s="598"/>
      <c r="AK56" s="598"/>
      <c r="AL56" s="156"/>
    </row>
    <row r="57" spans="1:38" ht="15.75" customHeight="1">
      <c r="A57" s="659" t="s">
        <v>344</v>
      </c>
      <c r="B57" s="598"/>
      <c r="C57" s="660"/>
      <c r="D57" s="588"/>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598"/>
      <c r="V57" s="598"/>
      <c r="W57" s="598"/>
      <c r="X57" s="598"/>
      <c r="Y57" s="598"/>
      <c r="Z57" s="598"/>
      <c r="AA57" s="598"/>
      <c r="AB57" s="598"/>
      <c r="AC57" s="598"/>
      <c r="AD57" s="598"/>
      <c r="AE57" s="598"/>
      <c r="AF57" s="598"/>
      <c r="AG57" s="598"/>
      <c r="AH57" s="598"/>
      <c r="AI57" s="598"/>
      <c r="AJ57" s="598"/>
      <c r="AK57" s="598"/>
      <c r="AL57" s="156"/>
    </row>
    <row r="58" spans="1:38" ht="12.75" customHeight="1">
      <c r="A58" s="170"/>
      <c r="B58" s="162" t="s">
        <v>345</v>
      </c>
      <c r="C58" s="661">
        <f>(C54*(((C55+C56+C57)^3)-(C55^3)))/12</f>
        <v>0</v>
      </c>
      <c r="D58" s="588"/>
      <c r="E58" s="155" t="s">
        <v>307</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308</v>
      </c>
      <c r="C59" s="662">
        <f>IF(C47&gt;0,0.001*((N46*(C47-C46)*C53^3)/(48*C58*(C47-C46))),0)</f>
        <v>0</v>
      </c>
      <c r="D59" s="588"/>
      <c r="E59" s="155" t="s">
        <v>309</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346</v>
      </c>
      <c r="C60" s="663" t="e">
        <f>C50*C53*0.5*SUM(C55:D57)/(4*C58)</f>
        <v>#DIV/0!</v>
      </c>
      <c r="D60" s="588"/>
      <c r="E60" s="174" t="s">
        <v>311</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312</v>
      </c>
      <c r="S61" s="141"/>
      <c r="T61" s="179" t="s">
        <v>312</v>
      </c>
      <c r="AL61" s="141"/>
    </row>
    <row r="62" spans="1:38" ht="12.75" customHeight="1">
      <c r="A62" s="155" t="s">
        <v>347</v>
      </c>
      <c r="S62" s="141"/>
      <c r="T62" s="155" t="s">
        <v>348</v>
      </c>
      <c r="AL62" s="141"/>
    </row>
    <row r="63" spans="1:38" ht="12.75" customHeight="1">
      <c r="A63" s="155" t="s">
        <v>315</v>
      </c>
      <c r="B63" s="34"/>
      <c r="C63" s="34"/>
      <c r="D63" s="34"/>
      <c r="E63" s="34"/>
      <c r="F63" s="34"/>
      <c r="G63" s="34"/>
      <c r="H63" s="34"/>
      <c r="I63" s="34"/>
      <c r="J63" s="34"/>
      <c r="K63" s="34"/>
      <c r="L63" s="34"/>
      <c r="M63" s="34"/>
      <c r="N63" s="34"/>
      <c r="O63" s="34"/>
      <c r="P63" s="34"/>
      <c r="Q63" s="34"/>
      <c r="R63" s="34"/>
      <c r="S63" s="141"/>
      <c r="T63" s="155" t="s">
        <v>315</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316</v>
      </c>
      <c r="D65" s="182" t="s">
        <v>317</v>
      </c>
      <c r="H65" s="687"/>
      <c r="I65" s="598"/>
      <c r="J65" s="184"/>
      <c r="K65" s="184"/>
      <c r="L65" s="184"/>
      <c r="M65" s="184"/>
      <c r="N65" s="184"/>
      <c r="S65" s="141"/>
      <c r="T65" s="80"/>
      <c r="U65" s="180"/>
      <c r="V65" s="181" t="s">
        <v>316</v>
      </c>
      <c r="W65" s="182" t="s">
        <v>317</v>
      </c>
      <c r="AA65" s="686"/>
      <c r="AB65" s="598"/>
      <c r="AL65" s="141"/>
    </row>
    <row r="66" spans="1:38" ht="12.75" customHeight="1">
      <c r="A66" s="80"/>
      <c r="B66" s="43">
        <v>1</v>
      </c>
      <c r="C66" s="186"/>
      <c r="D66" s="187"/>
      <c r="G66" s="34"/>
      <c r="H66" s="200"/>
      <c r="I66" s="200"/>
      <c r="J66" s="184" t="s">
        <v>322</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321</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0">
    <mergeCell ref="C58:D58"/>
    <mergeCell ref="C59:D59"/>
    <mergeCell ref="C60:D60"/>
    <mergeCell ref="H65:I65"/>
    <mergeCell ref="A47:B47"/>
    <mergeCell ref="A50:B50"/>
    <mergeCell ref="C50:D50"/>
    <mergeCell ref="C53:D53"/>
    <mergeCell ref="A54:B54"/>
    <mergeCell ref="C54:D54"/>
    <mergeCell ref="C55:D55"/>
    <mergeCell ref="A55:B55"/>
    <mergeCell ref="A56:B56"/>
    <mergeCell ref="A57:B57"/>
    <mergeCell ref="C57:D57"/>
    <mergeCell ref="C56:D56"/>
    <mergeCell ref="C47:D47"/>
    <mergeCell ref="E47:F47"/>
    <mergeCell ref="G47:H47"/>
    <mergeCell ref="T47:U47"/>
    <mergeCell ref="AG46:AH46"/>
    <mergeCell ref="AA65:AB65"/>
    <mergeCell ref="V46:W46"/>
    <mergeCell ref="X46:Y46"/>
    <mergeCell ref="Z46:AA46"/>
    <mergeCell ref="V47:W47"/>
    <mergeCell ref="X47:Y47"/>
    <mergeCell ref="Z47:AA47"/>
    <mergeCell ref="V51:W51"/>
    <mergeCell ref="V52:W52"/>
    <mergeCell ref="U56:AK57"/>
    <mergeCell ref="V53:W53"/>
    <mergeCell ref="T46:U46"/>
    <mergeCell ref="V50:W50"/>
    <mergeCell ref="AG50:AH50"/>
    <mergeCell ref="AG51:AH51"/>
    <mergeCell ref="AG52:AH52"/>
    <mergeCell ref="A5:S5"/>
    <mergeCell ref="A46:B46"/>
    <mergeCell ref="C46:D46"/>
    <mergeCell ref="E46:F46"/>
    <mergeCell ref="G46:H46"/>
    <mergeCell ref="N46:O46"/>
    <mergeCell ref="P46:R46"/>
    <mergeCell ref="A1:S1"/>
    <mergeCell ref="T1:AL1"/>
    <mergeCell ref="D3:J3"/>
    <mergeCell ref="O3:S3"/>
    <mergeCell ref="W3:AC3"/>
    <mergeCell ref="AH3:AL3"/>
  </mergeCells>
  <conditionalFormatting sqref="C56:D56">
    <cfRule type="expression" dxfId="332" priority="1">
      <formula>AND($C$56&lt;0.4*$C$57,$C$56&lt;1)</formula>
    </cfRule>
  </conditionalFormatting>
  <conditionalFormatting sqref="C57:D57">
    <cfRule type="expression" dxfId="331" priority="2">
      <formula>AND($C$56&lt;0.4*$C$57,$C$57&lt;1)</formula>
    </cfRule>
  </conditionalFormatting>
  <conditionalFormatting sqref="N46:O46">
    <cfRule type="cellIs" dxfId="330" priority="3" stopIfTrue="1" operator="equal">
      <formula>0</formula>
    </cfRule>
    <cfRule type="cellIs" dxfId="329" priority="4" stopIfTrue="1" operator="greaterThanOrEqual">
      <formula>$P$47</formula>
    </cfRule>
    <cfRule type="cellIs" dxfId="328" priority="5" stopIfTrue="1" operator="lessThan">
      <formula>$P$47</formula>
    </cfRule>
  </conditionalFormatting>
  <conditionalFormatting sqref="AJ51">
    <cfRule type="cellIs" dxfId="327" priority="6" stopIfTrue="1" operator="greaterThanOrEqual">
      <formula>100</formula>
    </cfRule>
    <cfRule type="cellIs" dxfId="326" priority="7" stopIfTrue="1" operator="lessThan">
      <formula>85</formula>
    </cfRule>
    <cfRule type="cellIs" dxfId="325" priority="8" stopIfTrue="1" operator="greaterThanOrEqual">
      <formula>85</formula>
    </cfRule>
  </conditionalFormatting>
  <hyperlinks>
    <hyperlink ref="AM2" location="'Cover Sheet'!A1" display="BACK to COVER SHEET" xr:uid="{00000000-0004-0000-0800-000000000000}"/>
  </hyperlinks>
  <printOptions horizontalCentered="1"/>
  <pageMargins left="0.39370078740157483" right="0.39370078740157483" top="0.39370078740157483" bottom="0.39370078740157483"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999FF"/>
  </sheetPr>
  <dimension ref="A1:AO1000"/>
  <sheetViews>
    <sheetView showGridLines="0" workbookViewId="0"/>
  </sheetViews>
  <sheetFormatPr baseColWidth="10" defaultColWidth="12.5703125" defaultRowHeight="15" customHeight="1"/>
  <cols>
    <col min="1" max="38" width="5" customWidth="1"/>
    <col min="39" max="41" width="11.42578125" customWidth="1"/>
  </cols>
  <sheetData>
    <row r="1" spans="1:41" ht="12.75" customHeight="1">
      <c r="A1" s="675" t="s">
        <v>349</v>
      </c>
      <c r="B1" s="595"/>
      <c r="C1" s="595"/>
      <c r="D1" s="595"/>
      <c r="E1" s="595"/>
      <c r="F1" s="595"/>
      <c r="G1" s="595"/>
      <c r="H1" s="595"/>
      <c r="I1" s="595"/>
      <c r="J1" s="595"/>
      <c r="K1" s="595"/>
      <c r="L1" s="595"/>
      <c r="M1" s="595"/>
      <c r="N1" s="595"/>
      <c r="O1" s="595"/>
      <c r="P1" s="595"/>
      <c r="Q1" s="595"/>
      <c r="R1" s="595"/>
      <c r="S1" s="596"/>
      <c r="T1" s="675" t="s">
        <v>325</v>
      </c>
      <c r="U1" s="595"/>
      <c r="V1" s="595"/>
      <c r="W1" s="595"/>
      <c r="X1" s="595"/>
      <c r="Y1" s="595"/>
      <c r="Z1" s="595"/>
      <c r="AA1" s="595"/>
      <c r="AB1" s="595"/>
      <c r="AC1" s="595"/>
      <c r="AD1" s="595"/>
      <c r="AE1" s="595"/>
      <c r="AF1" s="595"/>
      <c r="AG1" s="595"/>
      <c r="AH1" s="595"/>
      <c r="AI1" s="595"/>
      <c r="AJ1" s="595"/>
      <c r="AK1" s="595"/>
      <c r="AL1" s="596"/>
    </row>
    <row r="2" spans="1:41" ht="12.75" customHeight="1">
      <c r="A2" s="80"/>
      <c r="S2" s="141"/>
      <c r="T2" s="80"/>
      <c r="AL2" s="141"/>
      <c r="AM2" s="39" t="s">
        <v>252</v>
      </c>
      <c r="AN2" s="39"/>
      <c r="AO2" s="39"/>
    </row>
    <row r="3" spans="1:41" ht="12.75" customHeight="1">
      <c r="A3" s="67" t="s">
        <v>45</v>
      </c>
      <c r="D3" s="635" t="str">
        <f>IF('Cover Sheet'!$D$14&gt;0,'Cover Sheet'!$D$14,"")</f>
        <v>Ecole Centrale Lyon</v>
      </c>
      <c r="E3" s="601"/>
      <c r="F3" s="601"/>
      <c r="G3" s="601"/>
      <c r="H3" s="601"/>
      <c r="I3" s="601"/>
      <c r="J3" s="601"/>
      <c r="K3" s="67" t="s">
        <v>47</v>
      </c>
      <c r="O3" s="635" t="str">
        <f>IF('Cover Sheet'!$O$14&gt;0,'Cover Sheet'!$O$14,"")</f>
        <v>81 FSCH/FSS/FSF</v>
      </c>
      <c r="P3" s="601"/>
      <c r="Q3" s="601"/>
      <c r="R3" s="601"/>
      <c r="S3" s="601"/>
      <c r="T3" s="67" t="s">
        <v>45</v>
      </c>
      <c r="W3" s="635" t="str">
        <f>IF('Cover Sheet'!$D$14&gt;0,'Cover Sheet'!$D$14,"")</f>
        <v>Ecole Centrale Lyon</v>
      </c>
      <c r="X3" s="601"/>
      <c r="Y3" s="601"/>
      <c r="Z3" s="601"/>
      <c r="AA3" s="601"/>
      <c r="AB3" s="601"/>
      <c r="AC3" s="601"/>
      <c r="AD3" s="67" t="s">
        <v>47</v>
      </c>
      <c r="AH3" s="635" t="str">
        <f>IF('Cover Sheet'!$O$14&gt;0,'Cover Sheet'!$O$14,"")</f>
        <v>81 FSCH/FSS/FSF</v>
      </c>
      <c r="AI3" s="601"/>
      <c r="AJ3" s="601"/>
      <c r="AK3" s="601"/>
      <c r="AL3" s="601"/>
    </row>
    <row r="4" spans="1:41" ht="12.75" customHeight="1">
      <c r="A4" s="80"/>
      <c r="S4" s="141"/>
      <c r="T4" s="80"/>
      <c r="AL4" s="141"/>
    </row>
    <row r="5" spans="1:41" ht="12.75" customHeight="1">
      <c r="A5" s="685"/>
      <c r="B5" s="677"/>
      <c r="C5" s="677"/>
      <c r="D5" s="677"/>
      <c r="E5" s="677"/>
      <c r="F5" s="677"/>
      <c r="G5" s="677"/>
      <c r="H5" s="677"/>
      <c r="I5" s="677"/>
      <c r="J5" s="677"/>
      <c r="K5" s="677"/>
      <c r="L5" s="677"/>
      <c r="M5" s="677"/>
      <c r="N5" s="677"/>
      <c r="O5" s="677"/>
      <c r="P5" s="677"/>
      <c r="Q5" s="677"/>
      <c r="R5" s="677"/>
      <c r="S5" s="667"/>
      <c r="T5" s="685"/>
      <c r="U5" s="677"/>
      <c r="V5" s="677"/>
      <c r="W5" s="677"/>
      <c r="X5" s="677"/>
      <c r="Y5" s="677"/>
      <c r="Z5" s="677"/>
      <c r="AA5" s="677"/>
      <c r="AB5" s="677"/>
      <c r="AC5" s="677"/>
      <c r="AD5" s="677"/>
      <c r="AE5" s="677"/>
      <c r="AF5" s="677"/>
      <c r="AG5" s="677"/>
      <c r="AH5" s="677"/>
      <c r="AI5" s="677"/>
      <c r="AJ5" s="677"/>
      <c r="AK5" s="677"/>
      <c r="AL5" s="667"/>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253</v>
      </c>
      <c r="C7" s="64"/>
      <c r="D7" s="147"/>
      <c r="E7" s="64"/>
      <c r="F7" s="64"/>
      <c r="G7" s="64"/>
      <c r="H7" s="64"/>
      <c r="I7" s="64"/>
      <c r="J7" s="64"/>
      <c r="K7" s="64"/>
      <c r="L7" s="64"/>
      <c r="M7" s="64"/>
      <c r="N7" s="64"/>
      <c r="O7" s="64"/>
      <c r="P7" s="64"/>
      <c r="Q7" s="64"/>
      <c r="R7" s="64"/>
      <c r="S7" s="96"/>
      <c r="T7" s="147"/>
      <c r="U7" s="147" t="s">
        <v>253</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254</v>
      </c>
      <c r="C9" s="64"/>
      <c r="D9" s="147"/>
      <c r="E9" s="64"/>
      <c r="F9" s="64"/>
      <c r="G9" s="64"/>
      <c r="H9" s="64"/>
      <c r="I9" s="64"/>
      <c r="J9" s="64"/>
      <c r="K9" s="64"/>
      <c r="L9" s="64"/>
      <c r="M9" s="64"/>
      <c r="N9" s="64"/>
      <c r="O9" s="64"/>
      <c r="P9" s="64"/>
      <c r="Q9" s="64"/>
      <c r="R9" s="64"/>
      <c r="S9" s="96"/>
      <c r="T9" s="147"/>
      <c r="U9" s="147" t="s">
        <v>254</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255</v>
      </c>
      <c r="C11" s="64"/>
      <c r="D11" s="64"/>
      <c r="E11" s="64"/>
      <c r="F11" s="64"/>
      <c r="G11" s="64"/>
      <c r="H11" s="64"/>
      <c r="I11" s="64"/>
      <c r="J11" s="64"/>
      <c r="K11" s="64"/>
      <c r="L11" s="64"/>
      <c r="M11" s="64"/>
      <c r="N11" s="64"/>
      <c r="O11" s="64"/>
      <c r="P11" s="64"/>
      <c r="Q11" s="64"/>
      <c r="R11" s="64"/>
      <c r="S11" s="96"/>
      <c r="T11" s="95"/>
      <c r="U11" s="147" t="s">
        <v>255</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350</v>
      </c>
      <c r="B19" s="77"/>
      <c r="C19" s="77"/>
      <c r="D19" s="77"/>
      <c r="E19" s="77"/>
      <c r="F19" s="77"/>
      <c r="G19" s="77"/>
      <c r="H19" s="77"/>
      <c r="I19" s="77"/>
      <c r="J19" s="77"/>
      <c r="K19" s="77"/>
      <c r="L19" s="77"/>
      <c r="M19" s="77"/>
      <c r="N19" s="77"/>
      <c r="O19" s="77"/>
      <c r="P19" s="77"/>
      <c r="Q19" s="77"/>
      <c r="R19" s="77"/>
      <c r="S19" s="152"/>
      <c r="T19" s="151" t="s">
        <v>351</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258</v>
      </c>
      <c r="C23" s="64"/>
      <c r="D23" s="64"/>
      <c r="E23" s="64"/>
      <c r="F23" s="64"/>
      <c r="G23" s="64"/>
      <c r="H23" s="64"/>
      <c r="I23" s="64"/>
      <c r="J23" s="64"/>
      <c r="K23" s="64"/>
      <c r="L23" s="64"/>
      <c r="M23" s="64"/>
      <c r="N23" s="64"/>
      <c r="O23" s="64"/>
      <c r="P23" s="64"/>
      <c r="Q23" s="64"/>
      <c r="R23" s="64"/>
      <c r="S23" s="96"/>
      <c r="T23" s="95"/>
      <c r="U23" s="147" t="s">
        <v>258</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259</v>
      </c>
      <c r="C25" s="64"/>
      <c r="D25" s="64"/>
      <c r="E25" s="64"/>
      <c r="F25" s="64"/>
      <c r="G25" s="64"/>
      <c r="H25" s="64"/>
      <c r="I25" s="64"/>
      <c r="J25" s="64"/>
      <c r="K25" s="64"/>
      <c r="L25" s="64"/>
      <c r="M25" s="64"/>
      <c r="N25" s="64"/>
      <c r="O25" s="64"/>
      <c r="P25" s="64"/>
      <c r="Q25" s="64"/>
      <c r="R25" s="64"/>
      <c r="S25" s="96"/>
      <c r="T25" s="95"/>
      <c r="U25" s="147" t="s">
        <v>259</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260</v>
      </c>
      <c r="C27" s="64"/>
      <c r="D27" s="64"/>
      <c r="E27" s="64"/>
      <c r="F27" s="64"/>
      <c r="G27" s="64"/>
      <c r="H27" s="64"/>
      <c r="I27" s="64"/>
      <c r="J27" s="64"/>
      <c r="K27" s="64"/>
      <c r="L27" s="64"/>
      <c r="M27" s="64"/>
      <c r="N27" s="64"/>
      <c r="O27" s="64"/>
      <c r="P27" s="64"/>
      <c r="Q27" s="64"/>
      <c r="R27" s="64"/>
      <c r="S27" s="96"/>
      <c r="T27" s="95"/>
      <c r="U27" s="147" t="s">
        <v>260</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261</v>
      </c>
      <c r="C29" s="64"/>
      <c r="D29" s="64"/>
      <c r="E29" s="64"/>
      <c r="F29" s="64"/>
      <c r="G29" s="64"/>
      <c r="H29" s="64"/>
      <c r="I29" s="64"/>
      <c r="J29" s="64"/>
      <c r="K29" s="64"/>
      <c r="L29" s="64"/>
      <c r="M29" s="64"/>
      <c r="N29" s="64"/>
      <c r="O29" s="64"/>
      <c r="P29" s="64"/>
      <c r="Q29" s="64"/>
      <c r="R29" s="64"/>
      <c r="S29" s="96"/>
      <c r="T29" s="95"/>
      <c r="U29" s="147" t="s">
        <v>261</v>
      </c>
      <c r="V29" s="64"/>
      <c r="W29" s="64"/>
      <c r="X29" s="64"/>
      <c r="Y29" s="64"/>
      <c r="Z29" s="64"/>
      <c r="AA29" s="64"/>
      <c r="AB29" s="64"/>
      <c r="AC29" s="64"/>
      <c r="AD29" s="64"/>
      <c r="AE29" s="64"/>
      <c r="AF29" s="64"/>
      <c r="AG29" s="64"/>
      <c r="AH29" s="64"/>
      <c r="AI29" s="64"/>
      <c r="AJ29" s="64"/>
      <c r="AK29" s="64"/>
      <c r="AL29" s="96"/>
    </row>
    <row r="30" spans="1:38" ht="12.75" customHeight="1">
      <c r="A30" s="95"/>
      <c r="B30" s="147" t="s">
        <v>262</v>
      </c>
      <c r="C30" s="64"/>
      <c r="D30" s="64"/>
      <c r="E30" s="64"/>
      <c r="F30" s="64"/>
      <c r="G30" s="64"/>
      <c r="H30" s="64"/>
      <c r="I30" s="64"/>
      <c r="J30" s="64"/>
      <c r="K30" s="64"/>
      <c r="L30" s="64"/>
      <c r="M30" s="64"/>
      <c r="N30" s="64"/>
      <c r="O30" s="64"/>
      <c r="P30" s="64"/>
      <c r="Q30" s="64"/>
      <c r="R30" s="64"/>
      <c r="S30" s="96"/>
      <c r="T30" s="95"/>
      <c r="U30" s="147" t="s">
        <v>262</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352</v>
      </c>
      <c r="B43" s="77"/>
      <c r="C43" s="77"/>
      <c r="D43" s="77"/>
      <c r="E43" s="77"/>
      <c r="F43" s="77"/>
      <c r="G43" s="77"/>
      <c r="H43" s="77"/>
      <c r="I43" s="77"/>
      <c r="J43" s="77"/>
      <c r="K43" s="77"/>
      <c r="L43" s="77"/>
      <c r="M43" s="77"/>
      <c r="N43" s="77"/>
      <c r="O43" s="77"/>
      <c r="P43" s="77"/>
      <c r="Q43" s="77"/>
      <c r="R43" s="77"/>
      <c r="S43" s="152"/>
      <c r="T43" s="151" t="s">
        <v>353</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266</v>
      </c>
      <c r="B45" s="158"/>
      <c r="C45" s="158"/>
      <c r="D45" s="158"/>
      <c r="E45" s="158"/>
      <c r="F45" s="158"/>
      <c r="G45" s="158"/>
      <c r="H45" s="158"/>
      <c r="I45" s="158"/>
      <c r="J45" s="158"/>
      <c r="K45" s="158"/>
      <c r="L45" s="158"/>
      <c r="M45" s="158"/>
      <c r="N45" s="158"/>
      <c r="O45" s="158"/>
      <c r="P45" s="158"/>
      <c r="Q45" s="158"/>
      <c r="R45" s="158"/>
      <c r="S45" s="159"/>
      <c r="T45" s="157" t="s">
        <v>266</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64" t="s">
        <v>354</v>
      </c>
      <c r="B46" s="598"/>
      <c r="C46" s="665"/>
      <c r="D46" s="588"/>
      <c r="E46" s="671" t="s">
        <v>355</v>
      </c>
      <c r="F46" s="598"/>
      <c r="G46" s="665"/>
      <c r="H46" s="588"/>
      <c r="I46" s="155"/>
      <c r="J46" s="158"/>
      <c r="K46" s="158"/>
      <c r="L46" s="158"/>
      <c r="M46" s="162" t="s">
        <v>270</v>
      </c>
      <c r="N46" s="678">
        <f>IF(C47&gt;0,(((G47-G46)/(C47-C46))^-1)^-1,0)</f>
        <v>0</v>
      </c>
      <c r="O46" s="588"/>
      <c r="P46" s="679"/>
      <c r="Q46" s="598"/>
      <c r="R46" s="598"/>
      <c r="S46" s="159"/>
      <c r="T46" s="664" t="s">
        <v>356</v>
      </c>
      <c r="U46" s="598"/>
      <c r="V46" s="665"/>
      <c r="W46" s="588"/>
      <c r="X46" s="671" t="s">
        <v>357</v>
      </c>
      <c r="Y46" s="598"/>
      <c r="Z46" s="665"/>
      <c r="AA46" s="588"/>
      <c r="AB46" s="155"/>
      <c r="AC46" s="158"/>
      <c r="AD46" s="158"/>
      <c r="AE46" s="158"/>
      <c r="AF46" s="162" t="s">
        <v>270</v>
      </c>
      <c r="AG46" s="663">
        <f>IF((V47-V46)&gt;0,(Z47-Z46)/(V47-V46),0)</f>
        <v>0</v>
      </c>
      <c r="AH46" s="588"/>
      <c r="AI46" s="158"/>
      <c r="AJ46" s="158"/>
      <c r="AK46" s="158"/>
      <c r="AL46" s="159"/>
    </row>
    <row r="47" spans="1:38" ht="14.25" customHeight="1">
      <c r="A47" s="664" t="s">
        <v>358</v>
      </c>
      <c r="B47" s="598"/>
      <c r="C47" s="665"/>
      <c r="D47" s="588"/>
      <c r="E47" s="671" t="s">
        <v>359</v>
      </c>
      <c r="F47" s="598"/>
      <c r="G47" s="665"/>
      <c r="H47" s="588"/>
      <c r="I47" s="34" t="str">
        <f>IFERROR(IF(AND(N46&lt;0,G47&gt;G46),"Congrats! You've found an Easter egg!",""),"")</f>
        <v/>
      </c>
      <c r="N47" s="688"/>
      <c r="O47" s="595"/>
      <c r="P47" s="158"/>
      <c r="Q47" s="158"/>
      <c r="R47" s="158"/>
      <c r="S47" s="159"/>
      <c r="T47" s="664" t="s">
        <v>360</v>
      </c>
      <c r="U47" s="598"/>
      <c r="V47" s="665"/>
      <c r="W47" s="588"/>
      <c r="X47" s="671" t="s">
        <v>361</v>
      </c>
      <c r="Y47" s="598"/>
      <c r="Z47" s="665"/>
      <c r="AA47" s="588"/>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277</v>
      </c>
      <c r="B49" s="158"/>
      <c r="C49" s="158"/>
      <c r="D49" s="158"/>
      <c r="E49" s="158"/>
      <c r="F49" s="158"/>
      <c r="G49" s="158"/>
      <c r="H49" s="158"/>
      <c r="I49" s="158"/>
      <c r="J49" s="158"/>
      <c r="K49" s="158"/>
      <c r="L49" s="158"/>
      <c r="M49" s="158"/>
      <c r="N49" s="158"/>
      <c r="O49" s="158"/>
      <c r="P49" s="158"/>
      <c r="Q49" s="158"/>
      <c r="R49" s="158"/>
      <c r="S49" s="159"/>
      <c r="T49" s="151" t="s">
        <v>283</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64" t="s">
        <v>362</v>
      </c>
      <c r="B50" s="598"/>
      <c r="C50" s="669"/>
      <c r="D50" s="588"/>
      <c r="E50" s="155"/>
      <c r="F50" s="158"/>
      <c r="G50" s="158"/>
      <c r="H50" s="158"/>
      <c r="I50" s="158"/>
      <c r="J50" s="158"/>
      <c r="K50" s="158"/>
      <c r="L50" s="158"/>
      <c r="M50" s="158"/>
      <c r="N50" s="158"/>
      <c r="O50" s="158"/>
      <c r="P50" s="158"/>
      <c r="Q50" s="158"/>
      <c r="R50" s="158"/>
      <c r="S50" s="159"/>
      <c r="T50" s="151"/>
      <c r="U50" s="162" t="s">
        <v>286</v>
      </c>
      <c r="V50" s="681">
        <f>C53</f>
        <v>400</v>
      </c>
      <c r="W50" s="588"/>
      <c r="X50" s="155" t="s">
        <v>287</v>
      </c>
      <c r="Y50" s="155"/>
      <c r="Z50" s="155"/>
      <c r="AA50" s="155"/>
      <c r="AB50" s="155"/>
      <c r="AC50" s="155"/>
      <c r="AD50" s="155"/>
      <c r="AE50" s="155"/>
      <c r="AF50" s="162" t="s">
        <v>363</v>
      </c>
      <c r="AG50" s="683">
        <f>V51*(1/64)*PI()*(V52^4-V53^4)*200000</f>
        <v>2678019744.2809067</v>
      </c>
      <c r="AH50" s="588"/>
      <c r="AI50" s="166">
        <f>AG50*48/V50^3</f>
        <v>2008.51480821068</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289</v>
      </c>
      <c r="V51" s="660">
        <v>2</v>
      </c>
      <c r="W51" s="588"/>
      <c r="X51" s="155" t="s">
        <v>290</v>
      </c>
      <c r="Y51" s="155"/>
      <c r="Z51" s="155"/>
      <c r="AA51" s="155"/>
      <c r="AB51" s="155"/>
      <c r="AC51" s="155"/>
      <c r="AD51" s="155"/>
      <c r="AE51" s="155"/>
      <c r="AF51" s="162" t="s">
        <v>364</v>
      </c>
      <c r="AG51" s="683">
        <f>IF(AG46&gt;0,(AG46*V50^3)/48,AG50)</f>
        <v>2678019744.2809067</v>
      </c>
      <c r="AH51" s="588"/>
      <c r="AI51" s="166">
        <f>AG51*48/V50^3</f>
        <v>2008.51480821068</v>
      </c>
      <c r="AJ51" s="167">
        <f>100*AG51/AG50</f>
        <v>100</v>
      </c>
      <c r="AK51" s="155" t="s">
        <v>292</v>
      </c>
      <c r="AL51" s="156"/>
    </row>
    <row r="52" spans="1:38" ht="12.75" customHeight="1">
      <c r="A52" s="157" t="s">
        <v>293</v>
      </c>
      <c r="B52" s="158"/>
      <c r="C52" s="158"/>
      <c r="D52" s="158"/>
      <c r="E52" s="158"/>
      <c r="F52" s="158"/>
      <c r="G52" s="158"/>
      <c r="H52" s="158"/>
      <c r="I52" s="158"/>
      <c r="J52" s="158"/>
      <c r="K52" s="158"/>
      <c r="L52" s="158"/>
      <c r="M52" s="158"/>
      <c r="N52" s="158"/>
      <c r="O52" s="158"/>
      <c r="P52" s="158"/>
      <c r="Q52" s="158"/>
      <c r="R52" s="158"/>
      <c r="S52" s="159"/>
      <c r="T52" s="151"/>
      <c r="U52" s="162" t="s">
        <v>365</v>
      </c>
      <c r="V52" s="660">
        <v>25.4</v>
      </c>
      <c r="W52" s="588"/>
      <c r="X52" s="155" t="s">
        <v>295</v>
      </c>
      <c r="Y52" s="155"/>
      <c r="Z52" s="155"/>
      <c r="AA52" s="155"/>
      <c r="AB52" s="155"/>
      <c r="AC52" s="155"/>
      <c r="AD52" s="155"/>
      <c r="AE52" s="155"/>
      <c r="AF52" s="162" t="s">
        <v>296</v>
      </c>
      <c r="AG52" s="684">
        <f>IF(AJ51&lt;75,0,IF(AG51&gt;=AG50,0,(AI51^-1-AI50^-1)^-1))</f>
        <v>0</v>
      </c>
      <c r="AH52" s="588"/>
      <c r="AI52" s="155"/>
      <c r="AJ52" s="155"/>
      <c r="AK52" s="155"/>
      <c r="AL52" s="156"/>
    </row>
    <row r="53" spans="1:38" ht="12.75" customHeight="1">
      <c r="A53" s="151"/>
      <c r="B53" s="168" t="s">
        <v>286</v>
      </c>
      <c r="C53" s="665">
        <v>400</v>
      </c>
      <c r="D53" s="588"/>
      <c r="E53" s="155" t="s">
        <v>297</v>
      </c>
      <c r="F53" s="158"/>
      <c r="G53" s="158"/>
      <c r="H53" s="158"/>
      <c r="I53" s="158"/>
      <c r="J53" s="158"/>
      <c r="K53" s="158"/>
      <c r="L53" s="158"/>
      <c r="M53" s="158"/>
      <c r="N53" s="158"/>
      <c r="O53" s="158"/>
      <c r="P53" s="158"/>
      <c r="Q53" s="158"/>
      <c r="R53" s="158"/>
      <c r="S53" s="159"/>
      <c r="T53" s="151"/>
      <c r="U53" s="162" t="s">
        <v>366</v>
      </c>
      <c r="V53" s="660">
        <v>23</v>
      </c>
      <c r="W53" s="588"/>
      <c r="X53" s="155" t="s">
        <v>299</v>
      </c>
      <c r="Y53" s="155"/>
      <c r="Z53" s="155"/>
      <c r="AA53" s="155"/>
      <c r="AB53" s="155"/>
      <c r="AC53" s="155"/>
      <c r="AD53" s="155"/>
      <c r="AE53" s="155"/>
      <c r="AF53" s="155"/>
      <c r="AG53" s="155"/>
      <c r="AH53" s="155"/>
      <c r="AI53" s="155"/>
      <c r="AJ53" s="155"/>
      <c r="AK53" s="155"/>
      <c r="AL53" s="156"/>
    </row>
    <row r="54" spans="1:38" ht="12.75" customHeight="1">
      <c r="A54" s="659" t="s">
        <v>300</v>
      </c>
      <c r="B54" s="598"/>
      <c r="C54" s="665">
        <v>275</v>
      </c>
      <c r="D54" s="588"/>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59" t="s">
        <v>302</v>
      </c>
      <c r="B55" s="598"/>
      <c r="C55" s="660"/>
      <c r="D55" s="588"/>
      <c r="E55" s="155" t="s">
        <v>303</v>
      </c>
      <c r="F55" s="155"/>
      <c r="G55" s="155"/>
      <c r="H55" s="155"/>
      <c r="I55" s="155"/>
      <c r="J55" s="23" t="e">
        <f t="array" aca="1" ref="J55" ca="1">_xludf.IFS(
    C55&lt;'Chassis Pics'!Z10, "Test panel with the thicker core must be tested, see T3.5.3.",
    C55&gt;(0.66^(-1))*'Chassis Pics'!Z10, "Test panel vs. used core thickness not in line with T3.5.3 (66%).",
    OR(C55&gt;='Chassis Pics'!Z10, C55&lt;=(0.66^(-1))*'Chassis Pics'!Z10,""), "","",""
)</f>
        <v>#NAME?</v>
      </c>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59" t="s">
        <v>367</v>
      </c>
      <c r="B56" s="598"/>
      <c r="C56" s="673"/>
      <c r="D56" s="674"/>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80" t="str">
        <f>IF(AND(0&lt;$AJ$51,$AJ$51&lt;85),"Rig compliance out of normal bounds, perform and document another rig compliance test!","")</f>
        <v/>
      </c>
      <c r="V56" s="598"/>
      <c r="W56" s="598"/>
      <c r="X56" s="598"/>
      <c r="Y56" s="598"/>
      <c r="Z56" s="598"/>
      <c r="AA56" s="598"/>
      <c r="AB56" s="598"/>
      <c r="AC56" s="598"/>
      <c r="AD56" s="598"/>
      <c r="AE56" s="598"/>
      <c r="AF56" s="598"/>
      <c r="AG56" s="598"/>
      <c r="AH56" s="598"/>
      <c r="AI56" s="598"/>
      <c r="AJ56" s="598"/>
      <c r="AK56" s="598"/>
      <c r="AL56" s="156"/>
    </row>
    <row r="57" spans="1:38" ht="15.75" customHeight="1">
      <c r="A57" s="659" t="s">
        <v>368</v>
      </c>
      <c r="B57" s="598"/>
      <c r="C57" s="660"/>
      <c r="D57" s="588"/>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598"/>
      <c r="V57" s="598"/>
      <c r="W57" s="598"/>
      <c r="X57" s="598"/>
      <c r="Y57" s="598"/>
      <c r="Z57" s="598"/>
      <c r="AA57" s="598"/>
      <c r="AB57" s="598"/>
      <c r="AC57" s="598"/>
      <c r="AD57" s="598"/>
      <c r="AE57" s="598"/>
      <c r="AF57" s="598"/>
      <c r="AG57" s="598"/>
      <c r="AH57" s="598"/>
      <c r="AI57" s="598"/>
      <c r="AJ57" s="598"/>
      <c r="AK57" s="598"/>
      <c r="AL57" s="156"/>
    </row>
    <row r="58" spans="1:38" ht="12.75" customHeight="1">
      <c r="A58" s="170"/>
      <c r="B58" s="162" t="s">
        <v>369</v>
      </c>
      <c r="C58" s="661">
        <f>(C54*(((C55+C56+C57)^3)-(C55^3)))/12</f>
        <v>0</v>
      </c>
      <c r="D58" s="588"/>
      <c r="E58" s="155" t="s">
        <v>307</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308</v>
      </c>
      <c r="C59" s="662">
        <f>IF(C47&gt;0,0.001*((N46*(C47-C46)*C53^3)/(48*C58*(C47-C46))),0)</f>
        <v>0</v>
      </c>
      <c r="D59" s="588"/>
      <c r="E59" s="155" t="s">
        <v>309</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370</v>
      </c>
      <c r="C60" s="663" t="e">
        <f>C50*C53*0.5*SUM(C55:D57)/(4*C58)</f>
        <v>#DIV/0!</v>
      </c>
      <c r="D60" s="588"/>
      <c r="E60" s="174" t="s">
        <v>311</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312</v>
      </c>
      <c r="S61" s="141"/>
      <c r="T61" s="179" t="s">
        <v>312</v>
      </c>
      <c r="AL61" s="141"/>
    </row>
    <row r="62" spans="1:38" ht="12.75" customHeight="1">
      <c r="A62" s="155" t="s">
        <v>371</v>
      </c>
      <c r="S62" s="141"/>
      <c r="T62" s="155" t="s">
        <v>372</v>
      </c>
      <c r="AL62" s="141"/>
    </row>
    <row r="63" spans="1:38" ht="12.75" customHeight="1">
      <c r="A63" s="155" t="s">
        <v>315</v>
      </c>
      <c r="B63" s="34"/>
      <c r="C63" s="34"/>
      <c r="D63" s="34"/>
      <c r="E63" s="34"/>
      <c r="F63" s="34"/>
      <c r="G63" s="34"/>
      <c r="H63" s="34"/>
      <c r="I63" s="34"/>
      <c r="J63" s="34"/>
      <c r="K63" s="34"/>
      <c r="L63" s="34"/>
      <c r="M63" s="34"/>
      <c r="N63" s="34"/>
      <c r="O63" s="34"/>
      <c r="P63" s="34"/>
      <c r="Q63" s="34"/>
      <c r="R63" s="34"/>
      <c r="S63" s="141"/>
      <c r="T63" s="155" t="s">
        <v>315</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316</v>
      </c>
      <c r="D65" s="182" t="s">
        <v>317</v>
      </c>
      <c r="H65" s="687"/>
      <c r="I65" s="598"/>
      <c r="J65" s="184"/>
      <c r="K65" s="184"/>
      <c r="L65" s="184"/>
      <c r="M65" s="184"/>
      <c r="N65" s="184"/>
      <c r="O65" s="184"/>
      <c r="S65" s="141"/>
      <c r="T65" s="80"/>
      <c r="U65" s="180"/>
      <c r="V65" s="181" t="s">
        <v>316</v>
      </c>
      <c r="W65" s="182" t="s">
        <v>317</v>
      </c>
      <c r="AA65" s="686"/>
      <c r="AB65" s="598"/>
      <c r="AL65" s="141"/>
    </row>
    <row r="66" spans="1:38" ht="12.75" customHeight="1">
      <c r="A66" s="80"/>
      <c r="B66" s="43">
        <v>1</v>
      </c>
      <c r="C66" s="186"/>
      <c r="D66" s="187"/>
      <c r="G66" s="34"/>
      <c r="H66" s="200"/>
      <c r="I66" s="200"/>
      <c r="J66" s="184" t="s">
        <v>322</v>
      </c>
      <c r="K66" s="184"/>
      <c r="L66" s="184">
        <f t="array" ref="L66">MATCH(MIN(ABS(C66:C365-C50)),ABS(C66:C365-C50),0)</f>
        <v>1</v>
      </c>
      <c r="M66" s="184"/>
      <c r="N66" s="184"/>
      <c r="O66" s="184"/>
      <c r="S66" s="141"/>
      <c r="T66" s="80"/>
      <c r="U66" s="43">
        <v>1</v>
      </c>
      <c r="V66" s="186"/>
      <c r="W66" s="187"/>
      <c r="Z66" s="34"/>
      <c r="AA66" s="201"/>
      <c r="AB66" s="201"/>
      <c r="AL66" s="141"/>
    </row>
    <row r="67" spans="1:38" ht="12.75" customHeight="1">
      <c r="A67" s="80"/>
      <c r="B67" s="43">
        <v>2</v>
      </c>
      <c r="C67" s="191"/>
      <c r="D67" s="192"/>
      <c r="G67" s="34"/>
      <c r="H67" s="184"/>
      <c r="I67" s="184"/>
      <c r="J67" s="184" t="s">
        <v>321</v>
      </c>
      <c r="K67" s="184"/>
      <c r="L67" s="196">
        <f t="array" ref="L67">INDEX(C66:E393,L66,2)</f>
        <v>0</v>
      </c>
      <c r="M67" s="184"/>
      <c r="N67" s="184"/>
      <c r="O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O68" s="184"/>
      <c r="S68" s="141"/>
      <c r="T68" s="80"/>
      <c r="U68" s="43">
        <v>3</v>
      </c>
      <c r="V68" s="191"/>
      <c r="W68" s="192"/>
      <c r="Z68" s="34"/>
      <c r="AL68" s="141"/>
    </row>
    <row r="69" spans="1:38" ht="12.75" customHeight="1">
      <c r="A69" s="80"/>
      <c r="B69" s="43">
        <v>4</v>
      </c>
      <c r="C69" s="191"/>
      <c r="D69" s="192"/>
      <c r="H69" s="184"/>
      <c r="I69" s="184"/>
      <c r="J69" s="184"/>
      <c r="K69" s="184"/>
      <c r="L69" s="184"/>
      <c r="M69" s="184"/>
      <c r="N69" s="184"/>
      <c r="O69" s="184"/>
      <c r="S69" s="141"/>
      <c r="T69" s="80"/>
      <c r="U69" s="43">
        <v>4</v>
      </c>
      <c r="V69" s="191"/>
      <c r="W69" s="192"/>
      <c r="AL69" s="141"/>
    </row>
    <row r="70" spans="1:38" ht="12.75" customHeight="1">
      <c r="A70" s="80"/>
      <c r="B70" s="43">
        <v>5</v>
      </c>
      <c r="C70" s="191"/>
      <c r="D70" s="192"/>
      <c r="H70" s="184"/>
      <c r="I70" s="184"/>
      <c r="J70" s="184"/>
      <c r="K70" s="184"/>
      <c r="L70" s="184"/>
      <c r="M70" s="184"/>
      <c r="N70" s="184"/>
      <c r="O70" s="184"/>
      <c r="S70" s="141"/>
      <c r="T70" s="80"/>
      <c r="U70" s="43">
        <v>5</v>
      </c>
      <c r="V70" s="191"/>
      <c r="W70" s="192"/>
      <c r="AL70" s="141"/>
    </row>
    <row r="71" spans="1:38" ht="12.75" customHeight="1">
      <c r="A71" s="80"/>
      <c r="B71" s="43">
        <v>6</v>
      </c>
      <c r="C71" s="191"/>
      <c r="D71" s="192"/>
      <c r="H71" s="184"/>
      <c r="I71" s="184"/>
      <c r="J71" s="184"/>
      <c r="K71" s="184"/>
      <c r="L71" s="184"/>
      <c r="M71" s="184"/>
      <c r="N71" s="184"/>
      <c r="O71" s="184"/>
      <c r="S71" s="141"/>
      <c r="T71" s="80"/>
      <c r="U71" s="43">
        <v>6</v>
      </c>
      <c r="V71" s="191"/>
      <c r="W71" s="192"/>
      <c r="AL71" s="141"/>
    </row>
    <row r="72" spans="1:38" ht="12.75" customHeight="1">
      <c r="A72" s="80"/>
      <c r="B72" s="43">
        <v>7</v>
      </c>
      <c r="C72" s="191"/>
      <c r="D72" s="192"/>
      <c r="H72" s="184"/>
      <c r="I72" s="184"/>
      <c r="J72" s="184"/>
      <c r="K72" s="184"/>
      <c r="L72" s="184"/>
      <c r="M72" s="184"/>
      <c r="N72" s="184"/>
      <c r="O72" s="184"/>
      <c r="S72" s="141"/>
      <c r="T72" s="80"/>
      <c r="U72" s="43">
        <v>7</v>
      </c>
      <c r="V72" s="191"/>
      <c r="W72" s="192"/>
      <c r="AL72" s="141"/>
    </row>
    <row r="73" spans="1:38" ht="12.75" customHeight="1">
      <c r="A73" s="80"/>
      <c r="B73" s="43">
        <v>8</v>
      </c>
      <c r="C73" s="191"/>
      <c r="D73" s="192"/>
      <c r="S73" s="141"/>
      <c r="T73" s="80"/>
      <c r="U73" s="43">
        <v>8</v>
      </c>
      <c r="V73" s="191"/>
      <c r="W73" s="192"/>
      <c r="AL73" s="141"/>
    </row>
    <row r="74" spans="1:38" ht="12.75" customHeight="1">
      <c r="A74" s="80"/>
      <c r="B74" s="43">
        <v>9</v>
      </c>
      <c r="C74" s="191"/>
      <c r="D74" s="192"/>
      <c r="S74" s="141"/>
      <c r="T74" s="80"/>
      <c r="U74" s="43">
        <v>9</v>
      </c>
      <c r="V74" s="191"/>
      <c r="W74" s="192"/>
      <c r="AL74" s="141"/>
    </row>
    <row r="75" spans="1:38" ht="12.75" customHeight="1">
      <c r="A75" s="80"/>
      <c r="B75" s="43">
        <v>10</v>
      </c>
      <c r="C75" s="191"/>
      <c r="D75" s="192"/>
      <c r="S75" s="141"/>
      <c r="T75" s="80"/>
      <c r="U75" s="43">
        <v>10</v>
      </c>
      <c r="V75" s="191"/>
      <c r="W75" s="192"/>
      <c r="AL75" s="141"/>
    </row>
    <row r="76" spans="1:38" ht="12.75" customHeight="1">
      <c r="A76" s="80"/>
      <c r="B76" s="43">
        <v>11</v>
      </c>
      <c r="C76" s="191"/>
      <c r="D76" s="192"/>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2">
    <mergeCell ref="C60:D60"/>
    <mergeCell ref="H65:I65"/>
    <mergeCell ref="C53:D53"/>
    <mergeCell ref="A54:B54"/>
    <mergeCell ref="C54:D54"/>
    <mergeCell ref="A55:B55"/>
    <mergeCell ref="C55:D55"/>
    <mergeCell ref="A56:B56"/>
    <mergeCell ref="C56:D56"/>
    <mergeCell ref="AA65:AB65"/>
    <mergeCell ref="A47:B47"/>
    <mergeCell ref="C47:D47"/>
    <mergeCell ref="E47:F47"/>
    <mergeCell ref="G47:H47"/>
    <mergeCell ref="N47:O47"/>
    <mergeCell ref="T47:U47"/>
    <mergeCell ref="V47:W47"/>
    <mergeCell ref="A50:B50"/>
    <mergeCell ref="C50:D50"/>
    <mergeCell ref="V50:W50"/>
    <mergeCell ref="V53:W53"/>
    <mergeCell ref="A57:B57"/>
    <mergeCell ref="C57:D57"/>
    <mergeCell ref="C58:D58"/>
    <mergeCell ref="C59:D59"/>
    <mergeCell ref="X47:Y47"/>
    <mergeCell ref="Z47:AA47"/>
    <mergeCell ref="V51:W51"/>
    <mergeCell ref="V52:W52"/>
    <mergeCell ref="U56:AK57"/>
    <mergeCell ref="AG50:AH50"/>
    <mergeCell ref="AG51:AH51"/>
    <mergeCell ref="AG52:AH52"/>
    <mergeCell ref="A5:S5"/>
    <mergeCell ref="T5:AL5"/>
    <mergeCell ref="T46:U46"/>
    <mergeCell ref="V46:W46"/>
    <mergeCell ref="X46:Y46"/>
    <mergeCell ref="Z46:AA46"/>
    <mergeCell ref="AG46:AH46"/>
    <mergeCell ref="A46:B46"/>
    <mergeCell ref="C46:D46"/>
    <mergeCell ref="E46:F46"/>
    <mergeCell ref="G46:H46"/>
    <mergeCell ref="N46:O46"/>
    <mergeCell ref="P46:R46"/>
    <mergeCell ref="A1:S1"/>
    <mergeCell ref="T1:AL1"/>
    <mergeCell ref="O3:S3"/>
    <mergeCell ref="W3:AC3"/>
    <mergeCell ref="AH3:AL3"/>
    <mergeCell ref="D3:J3"/>
  </mergeCells>
  <conditionalFormatting sqref="C56:D56">
    <cfRule type="expression" dxfId="324" priority="1">
      <formula>AND($C$56&lt;0.4*$C$57,$C$56&lt;1)</formula>
    </cfRule>
  </conditionalFormatting>
  <conditionalFormatting sqref="C57:D57">
    <cfRule type="expression" dxfId="323" priority="2">
      <formula>AND($C$56&lt;0.4*$C$57,$C$57&lt;1)</formula>
    </cfRule>
  </conditionalFormatting>
  <conditionalFormatting sqref="N46:O46">
    <cfRule type="cellIs" dxfId="322" priority="3" stopIfTrue="1" operator="equal">
      <formula>0</formula>
    </cfRule>
    <cfRule type="cellIs" dxfId="321" priority="4" stopIfTrue="1" operator="greaterThanOrEqual">
      <formula>$P$47</formula>
    </cfRule>
    <cfRule type="cellIs" dxfId="320" priority="5" stopIfTrue="1" operator="lessThan">
      <formula>$P$47</formula>
    </cfRule>
  </conditionalFormatting>
  <conditionalFormatting sqref="AJ51">
    <cfRule type="cellIs" dxfId="319" priority="6" stopIfTrue="1" operator="greaterThanOrEqual">
      <formula>100</formula>
    </cfRule>
    <cfRule type="cellIs" dxfId="318" priority="7" stopIfTrue="1" operator="lessThan">
      <formula>85</formula>
    </cfRule>
    <cfRule type="cellIs" dxfId="317" priority="8" stopIfTrue="1" operator="greaterThanOrEqual">
      <formula>85</formula>
    </cfRule>
  </conditionalFormatting>
  <hyperlinks>
    <hyperlink ref="AM2" location="'Cover Sheet'!A1" display="BACK to COVER SHEET" xr:uid="{00000000-0004-0000-0900-000000000000}"/>
  </hyperlinks>
  <printOptions horizontalCentered="1"/>
  <pageMargins left="0.39370078740157483" right="0.39370078740157483" top="0.39370078740157483" bottom="0.39370078740157483"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999FF"/>
  </sheetPr>
  <dimension ref="A1:AO1000"/>
  <sheetViews>
    <sheetView showGridLines="0" workbookViewId="0"/>
  </sheetViews>
  <sheetFormatPr baseColWidth="10" defaultColWidth="12.5703125" defaultRowHeight="15" customHeight="1"/>
  <cols>
    <col min="1" max="38" width="5" customWidth="1"/>
    <col min="39" max="41" width="11.42578125" customWidth="1"/>
  </cols>
  <sheetData>
    <row r="1" spans="1:41" ht="12.75" customHeight="1">
      <c r="A1" s="675" t="s">
        <v>373</v>
      </c>
      <c r="B1" s="595"/>
      <c r="C1" s="595"/>
      <c r="D1" s="595"/>
      <c r="E1" s="595"/>
      <c r="F1" s="595"/>
      <c r="G1" s="595"/>
      <c r="H1" s="595"/>
      <c r="I1" s="595"/>
      <c r="J1" s="595"/>
      <c r="K1" s="595"/>
      <c r="L1" s="595"/>
      <c r="M1" s="595"/>
      <c r="N1" s="595"/>
      <c r="O1" s="595"/>
      <c r="P1" s="595"/>
      <c r="Q1" s="595"/>
      <c r="R1" s="595"/>
      <c r="S1" s="596"/>
      <c r="T1" s="675" t="s">
        <v>374</v>
      </c>
      <c r="U1" s="595"/>
      <c r="V1" s="595"/>
      <c r="W1" s="595"/>
      <c r="X1" s="595"/>
      <c r="Y1" s="595"/>
      <c r="Z1" s="595"/>
      <c r="AA1" s="595"/>
      <c r="AB1" s="595"/>
      <c r="AC1" s="595"/>
      <c r="AD1" s="595"/>
      <c r="AE1" s="595"/>
      <c r="AF1" s="595"/>
      <c r="AG1" s="595"/>
      <c r="AH1" s="595"/>
      <c r="AI1" s="595"/>
      <c r="AJ1" s="595"/>
      <c r="AK1" s="595"/>
      <c r="AL1" s="596"/>
    </row>
    <row r="2" spans="1:41" ht="12.75" customHeight="1">
      <c r="A2" s="80"/>
      <c r="S2" s="141"/>
      <c r="T2" s="80"/>
      <c r="AL2" s="141"/>
      <c r="AM2" s="39" t="s">
        <v>252</v>
      </c>
      <c r="AN2" s="39"/>
      <c r="AO2" s="39"/>
    </row>
    <row r="3" spans="1:41" ht="12.75" customHeight="1">
      <c r="A3" s="67" t="s">
        <v>45</v>
      </c>
      <c r="D3" s="635" t="str">
        <f>IF('Cover Sheet'!$D$14&gt;0,'Cover Sheet'!$D$14,"")</f>
        <v>Ecole Centrale Lyon</v>
      </c>
      <c r="E3" s="601"/>
      <c r="F3" s="601"/>
      <c r="G3" s="601"/>
      <c r="H3" s="601"/>
      <c r="I3" s="601"/>
      <c r="J3" s="601"/>
      <c r="K3" s="67" t="s">
        <v>47</v>
      </c>
      <c r="O3" s="635" t="str">
        <f>IF('Cover Sheet'!$O$14&gt;0,'Cover Sheet'!$O$14,"")</f>
        <v>81 FSCH/FSS/FSF</v>
      </c>
      <c r="P3" s="601"/>
      <c r="Q3" s="601"/>
      <c r="R3" s="601"/>
      <c r="S3" s="601"/>
      <c r="T3" s="67" t="s">
        <v>45</v>
      </c>
      <c r="W3" s="635" t="str">
        <f>IF('Cover Sheet'!$D$14&gt;0,'Cover Sheet'!$D$14,"")</f>
        <v>Ecole Centrale Lyon</v>
      </c>
      <c r="X3" s="601"/>
      <c r="Y3" s="601"/>
      <c r="Z3" s="601"/>
      <c r="AA3" s="601"/>
      <c r="AB3" s="601"/>
      <c r="AC3" s="601"/>
      <c r="AD3" s="67" t="s">
        <v>47</v>
      </c>
      <c r="AH3" s="635" t="str">
        <f>IF('Cover Sheet'!$O$14&gt;0,'Cover Sheet'!$O$14,"")</f>
        <v>81 FSCH/FSS/FSF</v>
      </c>
      <c r="AI3" s="601"/>
      <c r="AJ3" s="601"/>
      <c r="AK3" s="601"/>
      <c r="AL3" s="601"/>
    </row>
    <row r="4" spans="1:41" ht="12.75" customHeight="1">
      <c r="A4" s="80"/>
      <c r="S4" s="141"/>
      <c r="T4" s="80"/>
      <c r="AL4" s="141"/>
    </row>
    <row r="5" spans="1:41" ht="12.75" customHeight="1">
      <c r="A5" s="685"/>
      <c r="B5" s="677"/>
      <c r="C5" s="677"/>
      <c r="D5" s="677"/>
      <c r="E5" s="677"/>
      <c r="F5" s="677"/>
      <c r="G5" s="677"/>
      <c r="H5" s="677"/>
      <c r="I5" s="677"/>
      <c r="J5" s="677"/>
      <c r="K5" s="677"/>
      <c r="L5" s="677"/>
      <c r="M5" s="677"/>
      <c r="N5" s="677"/>
      <c r="O5" s="677"/>
      <c r="P5" s="677"/>
      <c r="Q5" s="677"/>
      <c r="R5" s="677"/>
      <c r="S5" s="667"/>
      <c r="T5" s="685"/>
      <c r="U5" s="677"/>
      <c r="V5" s="677"/>
      <c r="W5" s="677"/>
      <c r="X5" s="677"/>
      <c r="Y5" s="677"/>
      <c r="Z5" s="677"/>
      <c r="AA5" s="677"/>
      <c r="AB5" s="677"/>
      <c r="AC5" s="677"/>
      <c r="AD5" s="677"/>
      <c r="AE5" s="677"/>
      <c r="AF5" s="677"/>
      <c r="AG5" s="677"/>
      <c r="AH5" s="677"/>
      <c r="AI5" s="677"/>
      <c r="AJ5" s="677"/>
      <c r="AK5" s="677"/>
      <c r="AL5" s="667"/>
    </row>
    <row r="6" spans="1:41" ht="12.7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253</v>
      </c>
      <c r="C7" s="64"/>
      <c r="D7" s="147"/>
      <c r="E7" s="64"/>
      <c r="F7" s="64"/>
      <c r="G7" s="64"/>
      <c r="H7" s="64"/>
      <c r="I7" s="64"/>
      <c r="J7" s="64"/>
      <c r="K7" s="64"/>
      <c r="L7" s="64"/>
      <c r="M7" s="64"/>
      <c r="N7" s="64"/>
      <c r="O7" s="64"/>
      <c r="P7" s="64"/>
      <c r="Q7" s="64"/>
      <c r="R7" s="64"/>
      <c r="S7" s="96"/>
      <c r="T7" s="147"/>
      <c r="U7" s="147" t="s">
        <v>253</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254</v>
      </c>
      <c r="C9" s="64"/>
      <c r="D9" s="147"/>
      <c r="E9" s="64"/>
      <c r="F9" s="64"/>
      <c r="G9" s="64"/>
      <c r="H9" s="64"/>
      <c r="I9" s="64"/>
      <c r="J9" s="64"/>
      <c r="K9" s="64"/>
      <c r="L9" s="64"/>
      <c r="M9" s="64"/>
      <c r="N9" s="64"/>
      <c r="O9" s="64"/>
      <c r="P9" s="64"/>
      <c r="Q9" s="64"/>
      <c r="R9" s="64"/>
      <c r="S9" s="96"/>
      <c r="T9" s="147"/>
      <c r="U9" s="147" t="s">
        <v>254</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255</v>
      </c>
      <c r="C11" s="64"/>
      <c r="D11" s="64"/>
      <c r="E11" s="64"/>
      <c r="F11" s="64"/>
      <c r="G11" s="64"/>
      <c r="H11" s="64"/>
      <c r="I11" s="64"/>
      <c r="J11" s="64"/>
      <c r="K11" s="64"/>
      <c r="L11" s="64"/>
      <c r="M11" s="64"/>
      <c r="N11" s="64"/>
      <c r="O11" s="64"/>
      <c r="P11" s="64"/>
      <c r="Q11" s="64"/>
      <c r="R11" s="64"/>
      <c r="S11" s="96"/>
      <c r="T11" s="95"/>
      <c r="U11" s="147" t="s">
        <v>255</v>
      </c>
      <c r="V11" s="64"/>
      <c r="W11" s="64"/>
      <c r="X11" s="64"/>
      <c r="Y11" s="64"/>
      <c r="Z11" s="64"/>
      <c r="AA11" s="64"/>
      <c r="AB11" s="64"/>
      <c r="AC11" s="64"/>
      <c r="AD11" s="64"/>
      <c r="AE11" s="64"/>
      <c r="AF11" s="64"/>
      <c r="AG11" s="64"/>
      <c r="AH11" s="64"/>
      <c r="AI11" s="64"/>
      <c r="AJ11" s="64"/>
      <c r="AK11" s="64"/>
      <c r="AL11" s="96"/>
    </row>
    <row r="12" spans="1:41" ht="12.75" customHeight="1">
      <c r="A12" s="95"/>
      <c r="B12" s="64"/>
      <c r="C12" s="64"/>
      <c r="D12" s="64"/>
      <c r="E12" s="64"/>
      <c r="F12" s="64"/>
      <c r="G12" s="147"/>
      <c r="H12" s="64"/>
      <c r="I12" s="64"/>
      <c r="J12" s="64"/>
      <c r="K12" s="64"/>
      <c r="L12" s="64"/>
      <c r="M12" s="64"/>
      <c r="N12" s="64"/>
      <c r="O12" s="64"/>
      <c r="P12" s="64"/>
      <c r="Q12" s="64"/>
      <c r="R12" s="64"/>
      <c r="S12" s="96"/>
      <c r="T12" s="95"/>
      <c r="U12" s="64"/>
      <c r="V12" s="64"/>
      <c r="W12" s="64"/>
      <c r="X12" s="64"/>
      <c r="Y12" s="64"/>
      <c r="Z12" s="64"/>
      <c r="AA12" s="64"/>
      <c r="AB12" s="64"/>
      <c r="AC12" s="64"/>
      <c r="AD12" s="64"/>
      <c r="AE12" s="64"/>
      <c r="AF12" s="64"/>
      <c r="AG12" s="64"/>
      <c r="AH12" s="64"/>
      <c r="AI12" s="64"/>
      <c r="AJ12" s="64"/>
      <c r="AK12" s="64"/>
      <c r="AL12" s="96"/>
    </row>
    <row r="13" spans="1:41" ht="12.75" customHeight="1">
      <c r="A13" s="95"/>
      <c r="B13" s="64"/>
      <c r="C13" s="64"/>
      <c r="D13" s="64"/>
      <c r="E13" s="64"/>
      <c r="F13" s="64"/>
      <c r="G13" s="64"/>
      <c r="H13" s="64"/>
      <c r="I13" s="64"/>
      <c r="J13" s="64"/>
      <c r="K13" s="64"/>
      <c r="L13" s="64"/>
      <c r="M13" s="64"/>
      <c r="N13" s="64"/>
      <c r="O13" s="64"/>
      <c r="P13" s="64"/>
      <c r="Q13" s="64"/>
      <c r="R13" s="64"/>
      <c r="S13" s="96"/>
      <c r="T13" s="95"/>
      <c r="U13" s="64"/>
      <c r="V13" s="64"/>
      <c r="W13" s="64"/>
      <c r="X13" s="64"/>
      <c r="Y13" s="64"/>
      <c r="Z13" s="147"/>
      <c r="AA13" s="64"/>
      <c r="AB13" s="64"/>
      <c r="AC13" s="64"/>
      <c r="AD13" s="64"/>
      <c r="AE13" s="64"/>
      <c r="AF13" s="64"/>
      <c r="AG13" s="64"/>
      <c r="AH13" s="64"/>
      <c r="AI13" s="64"/>
      <c r="AJ13" s="64"/>
      <c r="AK13" s="64"/>
      <c r="AL13" s="96"/>
    </row>
    <row r="14" spans="1:41" ht="12.75" customHeight="1">
      <c r="A14" s="95"/>
      <c r="B14" s="64"/>
      <c r="C14" s="64"/>
      <c r="D14" s="64"/>
      <c r="E14" s="64"/>
      <c r="F14" s="64"/>
      <c r="G14" s="147"/>
      <c r="H14" s="64"/>
      <c r="I14" s="64"/>
      <c r="J14" s="64"/>
      <c r="K14" s="64"/>
      <c r="L14" s="64"/>
      <c r="M14" s="64"/>
      <c r="N14" s="64"/>
      <c r="O14" s="64"/>
      <c r="P14" s="64"/>
      <c r="Q14" s="64"/>
      <c r="R14" s="64"/>
      <c r="S14" s="96"/>
      <c r="T14" s="95"/>
      <c r="U14" s="64"/>
      <c r="V14" s="64"/>
      <c r="W14" s="64"/>
      <c r="X14" s="64"/>
      <c r="Y14" s="64"/>
      <c r="Z14" s="64"/>
      <c r="AA14" s="64"/>
      <c r="AB14" s="64"/>
      <c r="AC14" s="64"/>
      <c r="AD14" s="64"/>
      <c r="AE14" s="64"/>
      <c r="AF14" s="64"/>
      <c r="AG14" s="64"/>
      <c r="AH14" s="64"/>
      <c r="AI14" s="64"/>
      <c r="AJ14" s="64"/>
      <c r="AK14" s="64"/>
      <c r="AL14" s="96"/>
    </row>
    <row r="15" spans="1:41" ht="12.75" customHeight="1">
      <c r="A15" s="95"/>
      <c r="B15" s="64"/>
      <c r="C15" s="64"/>
      <c r="D15" s="64"/>
      <c r="E15" s="64"/>
      <c r="F15" s="64"/>
      <c r="G15" s="64"/>
      <c r="H15" s="64"/>
      <c r="I15" s="64"/>
      <c r="J15" s="64"/>
      <c r="K15" s="64"/>
      <c r="L15" s="64"/>
      <c r="M15" s="64"/>
      <c r="N15" s="64"/>
      <c r="O15" s="64"/>
      <c r="P15" s="64"/>
      <c r="Q15" s="64"/>
      <c r="R15" s="64"/>
      <c r="S15" s="96"/>
      <c r="T15" s="95"/>
      <c r="U15" s="64"/>
      <c r="V15" s="64"/>
      <c r="W15" s="64"/>
      <c r="X15" s="64"/>
      <c r="Y15" s="64"/>
      <c r="Z15" s="64"/>
      <c r="AA15" s="64"/>
      <c r="AB15" s="64"/>
      <c r="AC15" s="64"/>
      <c r="AD15" s="64"/>
      <c r="AE15" s="64"/>
      <c r="AF15" s="64"/>
      <c r="AG15" s="64"/>
      <c r="AH15" s="64"/>
      <c r="AI15" s="64"/>
      <c r="AJ15" s="64"/>
      <c r="AK15" s="64"/>
      <c r="AL15" s="96"/>
    </row>
    <row r="16" spans="1:41" ht="12.75" customHeight="1">
      <c r="A16" s="95"/>
      <c r="B16" s="64"/>
      <c r="C16" s="64"/>
      <c r="D16" s="64"/>
      <c r="E16" s="64"/>
      <c r="F16" s="64"/>
      <c r="G16" s="64"/>
      <c r="H16" s="64"/>
      <c r="I16" s="64"/>
      <c r="J16" s="64"/>
      <c r="K16" s="64"/>
      <c r="L16" s="64"/>
      <c r="M16" s="64"/>
      <c r="N16" s="64"/>
      <c r="O16" s="64"/>
      <c r="P16" s="64"/>
      <c r="Q16" s="64"/>
      <c r="R16" s="64"/>
      <c r="S16" s="96"/>
      <c r="T16" s="95"/>
      <c r="U16" s="64"/>
      <c r="V16" s="64"/>
      <c r="W16" s="64"/>
      <c r="X16" s="64"/>
      <c r="Y16" s="64"/>
      <c r="Z16" s="64"/>
      <c r="AA16" s="64"/>
      <c r="AB16" s="64"/>
      <c r="AC16" s="64"/>
      <c r="AD16" s="64"/>
      <c r="AE16" s="64"/>
      <c r="AF16" s="64"/>
      <c r="AG16" s="64"/>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96"/>
      <c r="T17" s="95"/>
      <c r="U17" s="64"/>
      <c r="V17" s="64"/>
      <c r="W17" s="64"/>
      <c r="X17" s="64"/>
      <c r="Y17" s="64"/>
      <c r="Z17" s="64"/>
      <c r="AA17" s="64"/>
      <c r="AB17" s="64"/>
      <c r="AC17" s="64"/>
      <c r="AD17" s="64"/>
      <c r="AE17" s="64"/>
      <c r="AF17" s="64"/>
      <c r="AG17" s="64"/>
      <c r="AH17" s="64"/>
      <c r="AI17" s="64"/>
      <c r="AJ17" s="64"/>
      <c r="AK17" s="64"/>
      <c r="AL17" s="96"/>
    </row>
    <row r="18" spans="1:38" ht="12.75" customHeight="1">
      <c r="A18" s="100"/>
      <c r="B18" s="101"/>
      <c r="C18" s="101"/>
      <c r="D18" s="101"/>
      <c r="E18" s="101"/>
      <c r="F18" s="101"/>
      <c r="G18" s="101"/>
      <c r="H18" s="101"/>
      <c r="I18" s="101"/>
      <c r="J18" s="101"/>
      <c r="K18" s="101"/>
      <c r="L18" s="101"/>
      <c r="M18" s="101"/>
      <c r="N18" s="101"/>
      <c r="O18" s="101"/>
      <c r="P18" s="101"/>
      <c r="Q18" s="101"/>
      <c r="R18" s="101"/>
      <c r="S18" s="150"/>
      <c r="T18" s="100"/>
      <c r="U18" s="101"/>
      <c r="V18" s="101"/>
      <c r="W18" s="101"/>
      <c r="X18" s="101"/>
      <c r="Y18" s="101"/>
      <c r="Z18" s="101"/>
      <c r="AA18" s="101"/>
      <c r="AB18" s="101"/>
      <c r="AC18" s="101"/>
      <c r="AD18" s="101"/>
      <c r="AE18" s="101"/>
      <c r="AF18" s="101"/>
      <c r="AG18" s="101"/>
      <c r="AH18" s="101"/>
      <c r="AI18" s="101"/>
      <c r="AJ18" s="101"/>
      <c r="AK18" s="101"/>
      <c r="AL18" s="150"/>
    </row>
    <row r="19" spans="1:38" ht="12.75" customHeight="1">
      <c r="A19" s="151" t="s">
        <v>375</v>
      </c>
      <c r="B19" s="77"/>
      <c r="C19" s="77"/>
      <c r="D19" s="77"/>
      <c r="E19" s="77"/>
      <c r="F19" s="77"/>
      <c r="G19" s="77"/>
      <c r="H19" s="77"/>
      <c r="I19" s="77"/>
      <c r="J19" s="77"/>
      <c r="K19" s="77"/>
      <c r="L19" s="77"/>
      <c r="M19" s="77"/>
      <c r="N19" s="77"/>
      <c r="O19" s="77"/>
      <c r="P19" s="77"/>
      <c r="Q19" s="77"/>
      <c r="R19" s="77"/>
      <c r="S19" s="152"/>
      <c r="T19" s="151" t="s">
        <v>376</v>
      </c>
      <c r="AL19" s="141"/>
    </row>
    <row r="20" spans="1:38" ht="12.75" customHeight="1">
      <c r="A20" s="153"/>
      <c r="B20" s="77"/>
      <c r="C20" s="77"/>
      <c r="D20" s="77"/>
      <c r="E20" s="77"/>
      <c r="F20" s="77"/>
      <c r="G20" s="77"/>
      <c r="H20" s="77"/>
      <c r="I20" s="77"/>
      <c r="J20" s="77"/>
      <c r="K20" s="77"/>
      <c r="L20" s="77"/>
      <c r="M20" s="77"/>
      <c r="N20" s="77"/>
      <c r="O20" s="77"/>
      <c r="P20" s="77"/>
      <c r="Q20" s="77"/>
      <c r="R20" s="77"/>
      <c r="S20" s="152"/>
      <c r="T20" s="80"/>
      <c r="AL20" s="141"/>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258</v>
      </c>
      <c r="C23" s="64"/>
      <c r="D23" s="64"/>
      <c r="E23" s="64"/>
      <c r="F23" s="64"/>
      <c r="G23" s="64"/>
      <c r="H23" s="64"/>
      <c r="I23" s="64"/>
      <c r="J23" s="64"/>
      <c r="K23" s="64"/>
      <c r="L23" s="64"/>
      <c r="M23" s="64"/>
      <c r="N23" s="64"/>
      <c r="O23" s="64"/>
      <c r="P23" s="64"/>
      <c r="Q23" s="64"/>
      <c r="R23" s="64"/>
      <c r="S23" s="96"/>
      <c r="T23" s="95"/>
      <c r="U23" s="147" t="s">
        <v>258</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259</v>
      </c>
      <c r="C25" s="64"/>
      <c r="D25" s="64"/>
      <c r="E25" s="64"/>
      <c r="F25" s="64"/>
      <c r="G25" s="64"/>
      <c r="H25" s="64"/>
      <c r="I25" s="64"/>
      <c r="J25" s="64"/>
      <c r="K25" s="64"/>
      <c r="L25" s="64"/>
      <c r="M25" s="64"/>
      <c r="N25" s="64"/>
      <c r="O25" s="64"/>
      <c r="P25" s="64"/>
      <c r="Q25" s="64"/>
      <c r="R25" s="64"/>
      <c r="S25" s="96"/>
      <c r="T25" s="95"/>
      <c r="U25" s="147" t="s">
        <v>259</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260</v>
      </c>
      <c r="C27" s="64"/>
      <c r="D27" s="64"/>
      <c r="E27" s="64"/>
      <c r="F27" s="64"/>
      <c r="G27" s="64"/>
      <c r="H27" s="64"/>
      <c r="I27" s="64"/>
      <c r="J27" s="64"/>
      <c r="K27" s="64"/>
      <c r="L27" s="64"/>
      <c r="M27" s="64"/>
      <c r="N27" s="64"/>
      <c r="O27" s="64"/>
      <c r="P27" s="64"/>
      <c r="Q27" s="64"/>
      <c r="R27" s="64"/>
      <c r="S27" s="96"/>
      <c r="T27" s="95"/>
      <c r="U27" s="147" t="s">
        <v>260</v>
      </c>
      <c r="V27" s="64"/>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64"/>
      <c r="W28" s="64"/>
      <c r="X28" s="64"/>
      <c r="Y28" s="64"/>
      <c r="Z28" s="64"/>
      <c r="AA28" s="64"/>
      <c r="AB28" s="64"/>
      <c r="AC28" s="64"/>
      <c r="AD28" s="64"/>
      <c r="AE28" s="64"/>
      <c r="AF28" s="64"/>
      <c r="AG28" s="64"/>
      <c r="AH28" s="64"/>
      <c r="AI28" s="64"/>
      <c r="AJ28" s="64"/>
      <c r="AK28" s="64"/>
      <c r="AL28" s="96"/>
    </row>
    <row r="29" spans="1:38" ht="12.75" customHeight="1">
      <c r="A29" s="95"/>
      <c r="B29" s="147" t="s">
        <v>261</v>
      </c>
      <c r="C29" s="64"/>
      <c r="D29" s="64"/>
      <c r="E29" s="64"/>
      <c r="F29" s="64"/>
      <c r="G29" s="64"/>
      <c r="H29" s="64"/>
      <c r="I29" s="64"/>
      <c r="J29" s="64"/>
      <c r="K29" s="64"/>
      <c r="L29" s="64"/>
      <c r="M29" s="64"/>
      <c r="N29" s="64"/>
      <c r="O29" s="64"/>
      <c r="P29" s="64"/>
      <c r="Q29" s="64"/>
      <c r="R29" s="64"/>
      <c r="S29" s="96"/>
      <c r="T29" s="95"/>
      <c r="U29" s="147" t="s">
        <v>261</v>
      </c>
      <c r="V29" s="64"/>
      <c r="W29" s="64"/>
      <c r="X29" s="64"/>
      <c r="Y29" s="64"/>
      <c r="Z29" s="64"/>
      <c r="AA29" s="64"/>
      <c r="AB29" s="64"/>
      <c r="AC29" s="64"/>
      <c r="AD29" s="64"/>
      <c r="AE29" s="64"/>
      <c r="AF29" s="64"/>
      <c r="AG29" s="64"/>
      <c r="AH29" s="64"/>
      <c r="AI29" s="64"/>
      <c r="AJ29" s="64"/>
      <c r="AK29" s="64"/>
      <c r="AL29" s="96"/>
    </row>
    <row r="30" spans="1:38" ht="12.75" customHeight="1">
      <c r="A30" s="95"/>
      <c r="B30" s="147" t="s">
        <v>262</v>
      </c>
      <c r="C30" s="64"/>
      <c r="D30" s="64"/>
      <c r="E30" s="64"/>
      <c r="F30" s="64"/>
      <c r="G30" s="64"/>
      <c r="H30" s="64"/>
      <c r="I30" s="64"/>
      <c r="J30" s="64"/>
      <c r="K30" s="64"/>
      <c r="L30" s="64"/>
      <c r="M30" s="64"/>
      <c r="N30" s="64"/>
      <c r="O30" s="64"/>
      <c r="P30" s="64"/>
      <c r="Q30" s="64"/>
      <c r="R30" s="64"/>
      <c r="S30" s="96"/>
      <c r="T30" s="95"/>
      <c r="U30" s="147" t="s">
        <v>262</v>
      </c>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64"/>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147"/>
      <c r="H32" s="64"/>
      <c r="I32" s="64"/>
      <c r="J32" s="64"/>
      <c r="K32" s="64"/>
      <c r="L32" s="64"/>
      <c r="M32" s="64"/>
      <c r="N32" s="64"/>
      <c r="O32" s="64"/>
      <c r="P32" s="64"/>
      <c r="Q32" s="64"/>
      <c r="R32" s="64"/>
      <c r="S32" s="96"/>
      <c r="T32" s="95"/>
      <c r="U32" s="64"/>
      <c r="V32" s="64"/>
      <c r="W32" s="64"/>
      <c r="X32" s="64"/>
      <c r="Y32" s="64"/>
      <c r="Z32" s="147"/>
      <c r="AA32" s="64"/>
      <c r="AB32" s="64"/>
      <c r="AC32" s="64"/>
      <c r="AD32" s="64"/>
      <c r="AE32" s="64"/>
      <c r="AF32" s="64"/>
      <c r="AG32" s="64"/>
      <c r="AH32" s="64"/>
      <c r="AI32" s="64"/>
      <c r="AJ32" s="64"/>
      <c r="AK32" s="64"/>
      <c r="AL32" s="96"/>
    </row>
    <row r="33" spans="1:38" ht="12.75" customHeight="1">
      <c r="A33" s="95"/>
      <c r="B33" s="64"/>
      <c r="C33" s="64"/>
      <c r="D33" s="147"/>
      <c r="E33" s="64"/>
      <c r="F33" s="64"/>
      <c r="G33" s="64"/>
      <c r="H33" s="64"/>
      <c r="I33" s="64"/>
      <c r="J33" s="64"/>
      <c r="K33" s="64"/>
      <c r="L33" s="64"/>
      <c r="M33" s="64"/>
      <c r="N33" s="64"/>
      <c r="O33" s="64"/>
      <c r="P33" s="64"/>
      <c r="Q33" s="64"/>
      <c r="R33" s="64"/>
      <c r="S33" s="96"/>
      <c r="T33" s="95"/>
      <c r="U33" s="64"/>
      <c r="V33" s="64"/>
      <c r="W33" s="64"/>
      <c r="X33" s="64"/>
      <c r="Y33" s="64"/>
      <c r="Z33" s="64"/>
      <c r="AA33" s="64"/>
      <c r="AB33" s="64"/>
      <c r="AC33" s="64"/>
      <c r="AD33" s="64"/>
      <c r="AE33" s="64"/>
      <c r="AF33" s="64"/>
      <c r="AG33" s="64"/>
      <c r="AH33" s="64"/>
      <c r="AI33" s="64"/>
      <c r="AJ33" s="64"/>
      <c r="AK33" s="64"/>
      <c r="AL33" s="96"/>
    </row>
    <row r="34" spans="1:38" ht="12.75" customHeight="1">
      <c r="A34" s="95"/>
      <c r="B34" s="64"/>
      <c r="C34" s="64"/>
      <c r="D34" s="64"/>
      <c r="E34" s="64"/>
      <c r="F34" s="64"/>
      <c r="G34" s="147"/>
      <c r="H34" s="147"/>
      <c r="I34" s="64"/>
      <c r="J34" s="64"/>
      <c r="K34" s="64"/>
      <c r="L34" s="64"/>
      <c r="M34" s="64"/>
      <c r="N34" s="64"/>
      <c r="O34" s="64"/>
      <c r="P34" s="64"/>
      <c r="Q34" s="64"/>
      <c r="R34" s="64"/>
      <c r="S34" s="96"/>
      <c r="T34" s="95"/>
      <c r="U34" s="64"/>
      <c r="V34" s="64"/>
      <c r="W34" s="64"/>
      <c r="X34" s="64"/>
      <c r="Y34" s="64"/>
      <c r="Z34" s="147"/>
      <c r="AA34" s="64"/>
      <c r="AB34" s="64"/>
      <c r="AC34" s="64"/>
      <c r="AD34" s="64"/>
      <c r="AE34" s="64"/>
      <c r="AF34" s="64"/>
      <c r="AG34" s="64"/>
      <c r="AH34" s="64"/>
      <c r="AI34" s="64"/>
      <c r="AJ34" s="64"/>
      <c r="AK34" s="64"/>
      <c r="AL34" s="96"/>
    </row>
    <row r="35" spans="1:38" ht="12.75" customHeight="1">
      <c r="A35" s="95"/>
      <c r="B35" s="64"/>
      <c r="C35" s="64"/>
      <c r="D35" s="64"/>
      <c r="E35" s="64"/>
      <c r="F35" s="64"/>
      <c r="G35" s="64"/>
      <c r="H35" s="64"/>
      <c r="I35" s="64"/>
      <c r="J35" s="64"/>
      <c r="K35" s="64"/>
      <c r="L35" s="64"/>
      <c r="M35" s="64"/>
      <c r="N35" s="64"/>
      <c r="O35" s="64"/>
      <c r="P35" s="64"/>
      <c r="Q35" s="64"/>
      <c r="R35" s="64"/>
      <c r="S35" s="96"/>
      <c r="T35" s="95"/>
      <c r="U35" s="64"/>
      <c r="V35" s="64"/>
      <c r="W35" s="64"/>
      <c r="X35" s="64"/>
      <c r="Y35" s="64"/>
      <c r="Z35" s="64"/>
      <c r="AA35" s="64"/>
      <c r="AB35" s="64"/>
      <c r="AC35" s="64"/>
      <c r="AD35" s="64"/>
      <c r="AE35" s="64"/>
      <c r="AF35" s="64"/>
      <c r="AG35" s="64"/>
      <c r="AH35" s="64"/>
      <c r="AI35" s="64"/>
      <c r="AJ35" s="64"/>
      <c r="AK35" s="64"/>
      <c r="AL35" s="96"/>
    </row>
    <row r="36" spans="1:38" ht="12.75" customHeight="1">
      <c r="A36" s="95"/>
      <c r="B36" s="64"/>
      <c r="C36" s="64"/>
      <c r="D36" s="64"/>
      <c r="E36" s="64"/>
      <c r="F36" s="64"/>
      <c r="G36" s="64"/>
      <c r="H36" s="64"/>
      <c r="I36" s="64"/>
      <c r="J36" s="64"/>
      <c r="K36" s="64"/>
      <c r="L36" s="64"/>
      <c r="M36" s="64"/>
      <c r="N36" s="64"/>
      <c r="O36" s="64"/>
      <c r="P36" s="64"/>
      <c r="Q36" s="64"/>
      <c r="R36" s="64"/>
      <c r="S36" s="96"/>
      <c r="T36" s="95"/>
      <c r="U36" s="64"/>
      <c r="V36" s="64"/>
      <c r="W36" s="64"/>
      <c r="X36" s="64"/>
      <c r="Y36" s="64"/>
      <c r="Z36" s="64"/>
      <c r="AA36" s="64"/>
      <c r="AB36" s="64"/>
      <c r="AC36" s="64"/>
      <c r="AD36" s="64"/>
      <c r="AE36" s="64"/>
      <c r="AF36" s="64"/>
      <c r="AG36" s="64"/>
      <c r="AH36" s="64"/>
      <c r="AI36" s="64"/>
      <c r="AJ36" s="64"/>
      <c r="AK36" s="64"/>
      <c r="AL36" s="96"/>
    </row>
    <row r="37" spans="1:38" ht="12.75" customHeight="1">
      <c r="A37" s="95"/>
      <c r="B37" s="64"/>
      <c r="C37" s="64"/>
      <c r="D37" s="64"/>
      <c r="E37" s="64"/>
      <c r="F37" s="64"/>
      <c r="G37" s="64"/>
      <c r="H37" s="64"/>
      <c r="I37" s="64"/>
      <c r="J37" s="64"/>
      <c r="K37" s="64"/>
      <c r="L37" s="64"/>
      <c r="M37" s="64"/>
      <c r="N37" s="64"/>
      <c r="O37" s="64"/>
      <c r="P37" s="64"/>
      <c r="Q37" s="64"/>
      <c r="R37" s="64"/>
      <c r="S37" s="96"/>
      <c r="T37" s="95"/>
      <c r="U37" s="64"/>
      <c r="V37" s="64"/>
      <c r="W37" s="64"/>
      <c r="X37" s="64"/>
      <c r="Y37" s="64"/>
      <c r="Z37" s="64"/>
      <c r="AA37" s="64"/>
      <c r="AB37" s="64"/>
      <c r="AC37" s="64"/>
      <c r="AD37" s="64"/>
      <c r="AE37" s="64"/>
      <c r="AF37" s="64"/>
      <c r="AG37" s="64"/>
      <c r="AH37" s="64"/>
      <c r="AI37" s="64"/>
      <c r="AJ37" s="64"/>
      <c r="AK37" s="64"/>
      <c r="AL37" s="96"/>
    </row>
    <row r="38" spans="1:38" ht="12.75" customHeight="1">
      <c r="A38" s="95"/>
      <c r="B38" s="64"/>
      <c r="C38" s="64"/>
      <c r="D38" s="64"/>
      <c r="E38" s="64"/>
      <c r="F38" s="64"/>
      <c r="G38" s="64"/>
      <c r="H38" s="64"/>
      <c r="I38" s="64"/>
      <c r="J38" s="64"/>
      <c r="K38" s="64"/>
      <c r="L38" s="64"/>
      <c r="M38" s="64"/>
      <c r="N38" s="64"/>
      <c r="O38" s="64"/>
      <c r="P38" s="64"/>
      <c r="Q38" s="64"/>
      <c r="R38" s="64"/>
      <c r="S38" s="96"/>
      <c r="T38" s="95"/>
      <c r="U38" s="64"/>
      <c r="V38" s="64"/>
      <c r="W38" s="64"/>
      <c r="X38" s="64"/>
      <c r="Y38" s="64"/>
      <c r="Z38" s="64"/>
      <c r="AA38" s="64"/>
      <c r="AB38" s="64"/>
      <c r="AC38" s="64"/>
      <c r="AD38" s="64"/>
      <c r="AE38" s="64"/>
      <c r="AF38" s="64"/>
      <c r="AG38" s="64"/>
      <c r="AH38" s="64"/>
      <c r="AI38" s="64"/>
      <c r="AJ38" s="64"/>
      <c r="AK38" s="64"/>
      <c r="AL38" s="96"/>
    </row>
    <row r="39" spans="1:38" ht="12.75" customHeight="1">
      <c r="A39" s="95"/>
      <c r="B39" s="64"/>
      <c r="C39" s="64"/>
      <c r="D39" s="64"/>
      <c r="E39" s="64"/>
      <c r="F39" s="64"/>
      <c r="G39" s="64"/>
      <c r="H39" s="64"/>
      <c r="I39" s="64"/>
      <c r="J39" s="64"/>
      <c r="K39" s="64"/>
      <c r="L39" s="64"/>
      <c r="M39" s="64"/>
      <c r="N39" s="64"/>
      <c r="O39" s="64"/>
      <c r="P39" s="64"/>
      <c r="Q39" s="64"/>
      <c r="R39" s="64"/>
      <c r="S39" s="96"/>
      <c r="T39" s="95"/>
      <c r="U39" s="64"/>
      <c r="V39" s="64"/>
      <c r="W39" s="64"/>
      <c r="X39" s="64"/>
      <c r="Y39" s="64"/>
      <c r="Z39" s="64"/>
      <c r="AA39" s="64"/>
      <c r="AB39" s="64"/>
      <c r="AC39" s="64"/>
      <c r="AD39" s="64"/>
      <c r="AE39" s="64"/>
      <c r="AF39" s="64"/>
      <c r="AG39" s="64"/>
      <c r="AH39" s="64"/>
      <c r="AI39" s="64"/>
      <c r="AJ39" s="64"/>
      <c r="AK39" s="64"/>
      <c r="AL39" s="96"/>
    </row>
    <row r="40" spans="1:38" ht="12.75" customHeight="1">
      <c r="A40" s="95"/>
      <c r="B40" s="64"/>
      <c r="C40" s="64"/>
      <c r="D40" s="64"/>
      <c r="E40" s="64"/>
      <c r="F40" s="64"/>
      <c r="G40" s="64"/>
      <c r="H40" s="64"/>
      <c r="I40" s="64"/>
      <c r="J40" s="64"/>
      <c r="K40" s="64"/>
      <c r="L40" s="64"/>
      <c r="M40" s="64"/>
      <c r="N40" s="64"/>
      <c r="O40" s="64"/>
      <c r="P40" s="64"/>
      <c r="Q40" s="64"/>
      <c r="R40" s="64"/>
      <c r="S40" s="96"/>
      <c r="T40" s="95"/>
      <c r="U40" s="64"/>
      <c r="V40" s="64"/>
      <c r="W40" s="64"/>
      <c r="X40" s="64"/>
      <c r="Y40" s="64"/>
      <c r="Z40" s="64"/>
      <c r="AA40" s="64"/>
      <c r="AB40" s="64"/>
      <c r="AC40" s="64"/>
      <c r="AD40" s="64"/>
      <c r="AE40" s="64"/>
      <c r="AF40" s="64"/>
      <c r="AG40" s="64"/>
      <c r="AH40" s="64"/>
      <c r="AI40" s="64"/>
      <c r="AJ40" s="64"/>
      <c r="AK40" s="64"/>
      <c r="AL40" s="96"/>
    </row>
    <row r="41" spans="1:38" ht="12.75" customHeight="1">
      <c r="A41" s="95"/>
      <c r="B41" s="64"/>
      <c r="C41" s="64"/>
      <c r="D41" s="64"/>
      <c r="E41" s="64"/>
      <c r="F41" s="64"/>
      <c r="G41" s="64"/>
      <c r="H41" s="64"/>
      <c r="I41" s="64"/>
      <c r="J41" s="64"/>
      <c r="K41" s="64"/>
      <c r="L41" s="64"/>
      <c r="M41" s="64"/>
      <c r="N41" s="64"/>
      <c r="O41" s="64"/>
      <c r="P41" s="64"/>
      <c r="Q41" s="64"/>
      <c r="R41" s="64"/>
      <c r="S41" s="96"/>
      <c r="T41" s="95"/>
      <c r="U41" s="64"/>
      <c r="V41" s="64"/>
      <c r="W41" s="64"/>
      <c r="X41" s="64"/>
      <c r="Y41" s="64"/>
      <c r="Z41" s="64"/>
      <c r="AA41" s="64"/>
      <c r="AB41" s="64"/>
      <c r="AC41" s="64"/>
      <c r="AD41" s="64"/>
      <c r="AE41" s="64"/>
      <c r="AF41" s="64"/>
      <c r="AG41" s="64"/>
      <c r="AH41" s="64"/>
      <c r="AI41" s="64"/>
      <c r="AJ41" s="64"/>
      <c r="AK41" s="64"/>
      <c r="AL41" s="96"/>
    </row>
    <row r="42" spans="1:38" ht="12.75" customHeight="1">
      <c r="A42" s="100"/>
      <c r="B42" s="101"/>
      <c r="C42" s="101"/>
      <c r="D42" s="101"/>
      <c r="E42" s="101"/>
      <c r="F42" s="101"/>
      <c r="G42" s="101"/>
      <c r="H42" s="101"/>
      <c r="I42" s="101"/>
      <c r="J42" s="101"/>
      <c r="K42" s="101"/>
      <c r="L42" s="101"/>
      <c r="M42" s="101"/>
      <c r="N42" s="101"/>
      <c r="O42" s="101"/>
      <c r="P42" s="101"/>
      <c r="Q42" s="101"/>
      <c r="R42" s="101"/>
      <c r="S42" s="150"/>
      <c r="T42" s="100"/>
      <c r="U42" s="101"/>
      <c r="V42" s="101"/>
      <c r="W42" s="101"/>
      <c r="X42" s="101"/>
      <c r="Y42" s="101"/>
      <c r="Z42" s="101"/>
      <c r="AA42" s="101"/>
      <c r="AB42" s="101"/>
      <c r="AC42" s="101"/>
      <c r="AD42" s="101"/>
      <c r="AE42" s="101"/>
      <c r="AF42" s="101"/>
      <c r="AG42" s="101"/>
      <c r="AH42" s="101"/>
      <c r="AI42" s="101"/>
      <c r="AJ42" s="101"/>
      <c r="AK42" s="101"/>
      <c r="AL42" s="150"/>
    </row>
    <row r="43" spans="1:38" ht="12.75" customHeight="1">
      <c r="A43" s="151" t="s">
        <v>377</v>
      </c>
      <c r="B43" s="77"/>
      <c r="C43" s="77"/>
      <c r="D43" s="77"/>
      <c r="E43" s="77"/>
      <c r="F43" s="77"/>
      <c r="G43" s="77"/>
      <c r="H43" s="77"/>
      <c r="I43" s="77"/>
      <c r="J43" s="77"/>
      <c r="K43" s="77"/>
      <c r="L43" s="77"/>
      <c r="M43" s="77"/>
      <c r="N43" s="77"/>
      <c r="O43" s="77"/>
      <c r="P43" s="77"/>
      <c r="Q43" s="77"/>
      <c r="R43" s="77"/>
      <c r="S43" s="152"/>
      <c r="T43" s="151" t="s">
        <v>378</v>
      </c>
      <c r="U43" s="155"/>
      <c r="V43" s="155"/>
      <c r="W43" s="155"/>
      <c r="X43" s="155"/>
      <c r="Y43" s="155"/>
      <c r="Z43" s="155"/>
      <c r="AA43" s="155"/>
      <c r="AB43" s="155"/>
      <c r="AC43" s="155"/>
      <c r="AD43" s="155"/>
      <c r="AE43" s="155"/>
      <c r="AF43" s="155"/>
      <c r="AG43" s="155"/>
      <c r="AH43" s="155"/>
      <c r="AI43" s="155"/>
      <c r="AJ43" s="155"/>
      <c r="AK43" s="155"/>
      <c r="AL43" s="156"/>
    </row>
    <row r="44" spans="1:38" ht="12.75" customHeight="1">
      <c r="A44" s="151"/>
      <c r="B44" s="77"/>
      <c r="C44" s="77"/>
      <c r="D44" s="77"/>
      <c r="E44" s="77"/>
      <c r="F44" s="77"/>
      <c r="G44" s="77"/>
      <c r="H44" s="77"/>
      <c r="I44" s="77"/>
      <c r="J44" s="77"/>
      <c r="K44" s="77"/>
      <c r="L44" s="77"/>
      <c r="M44" s="77"/>
      <c r="N44" s="77"/>
      <c r="O44" s="77"/>
      <c r="P44" s="77"/>
      <c r="Q44" s="77"/>
      <c r="R44" s="77"/>
      <c r="S44" s="152"/>
      <c r="T44" s="151"/>
      <c r="U44" s="155"/>
      <c r="V44" s="155"/>
      <c r="W44" s="155"/>
      <c r="X44" s="155"/>
      <c r="Y44" s="155"/>
      <c r="Z44" s="155"/>
      <c r="AA44" s="155"/>
      <c r="AB44" s="155"/>
      <c r="AC44" s="155"/>
      <c r="AD44" s="155"/>
      <c r="AE44" s="155"/>
      <c r="AF44" s="155"/>
      <c r="AG44" s="155"/>
      <c r="AH44" s="155"/>
      <c r="AI44" s="155"/>
      <c r="AJ44" s="155"/>
      <c r="AK44" s="155"/>
      <c r="AL44" s="156"/>
    </row>
    <row r="45" spans="1:38" ht="12.75" customHeight="1">
      <c r="A45" s="157" t="s">
        <v>266</v>
      </c>
      <c r="B45" s="158"/>
      <c r="C45" s="158"/>
      <c r="D45" s="158"/>
      <c r="E45" s="158"/>
      <c r="F45" s="158"/>
      <c r="G45" s="158"/>
      <c r="H45" s="158"/>
      <c r="I45" s="158"/>
      <c r="J45" s="158"/>
      <c r="K45" s="158"/>
      <c r="L45" s="158"/>
      <c r="M45" s="158"/>
      <c r="N45" s="158"/>
      <c r="O45" s="158"/>
      <c r="P45" s="158"/>
      <c r="Q45" s="158"/>
      <c r="R45" s="158"/>
      <c r="S45" s="159"/>
      <c r="T45" s="157" t="s">
        <v>266</v>
      </c>
      <c r="U45" s="158"/>
      <c r="V45" s="158"/>
      <c r="W45" s="158"/>
      <c r="X45" s="158"/>
      <c r="Y45" s="158"/>
      <c r="Z45" s="158"/>
      <c r="AA45" s="158"/>
      <c r="AB45" s="158"/>
      <c r="AC45" s="158"/>
      <c r="AD45" s="158"/>
      <c r="AE45" s="158"/>
      <c r="AF45" s="158"/>
      <c r="AG45" s="158"/>
      <c r="AH45" s="158"/>
      <c r="AI45" s="158"/>
      <c r="AJ45" s="158"/>
      <c r="AK45" s="158"/>
      <c r="AL45" s="159"/>
    </row>
    <row r="46" spans="1:38" ht="14.25" customHeight="1">
      <c r="A46" s="664" t="s">
        <v>379</v>
      </c>
      <c r="B46" s="598"/>
      <c r="C46" s="665"/>
      <c r="D46" s="588"/>
      <c r="E46" s="671" t="s">
        <v>380</v>
      </c>
      <c r="F46" s="598"/>
      <c r="G46" s="665"/>
      <c r="H46" s="588"/>
      <c r="I46" s="155"/>
      <c r="J46" s="158"/>
      <c r="K46" s="158"/>
      <c r="L46" s="158"/>
      <c r="M46" s="162" t="s">
        <v>270</v>
      </c>
      <c r="N46" s="678">
        <f>IF(C47&gt;0,(((G47-G46)/(C47-C46))^-1)^-1,0)</f>
        <v>0</v>
      </c>
      <c r="O46" s="588"/>
      <c r="P46" s="679"/>
      <c r="Q46" s="598"/>
      <c r="R46" s="598"/>
      <c r="S46" s="159"/>
      <c r="T46" s="664" t="s">
        <v>381</v>
      </c>
      <c r="U46" s="598"/>
      <c r="V46" s="665"/>
      <c r="W46" s="588"/>
      <c r="X46" s="671" t="s">
        <v>382</v>
      </c>
      <c r="Y46" s="598"/>
      <c r="Z46" s="665"/>
      <c r="AA46" s="588"/>
      <c r="AB46" s="155"/>
      <c r="AC46" s="158"/>
      <c r="AD46" s="158"/>
      <c r="AE46" s="158"/>
      <c r="AF46" s="162" t="s">
        <v>270</v>
      </c>
      <c r="AG46" s="663">
        <f>IF((V47-V46)&gt;0,(Z47-Z46)/(V47-V46),0)</f>
        <v>0</v>
      </c>
      <c r="AH46" s="588"/>
      <c r="AI46" s="158"/>
      <c r="AJ46" s="158"/>
      <c r="AK46" s="158"/>
      <c r="AL46" s="159"/>
    </row>
    <row r="47" spans="1:38" ht="14.25" customHeight="1">
      <c r="A47" s="664" t="s">
        <v>383</v>
      </c>
      <c r="B47" s="598"/>
      <c r="C47" s="665"/>
      <c r="D47" s="588"/>
      <c r="E47" s="671" t="s">
        <v>384</v>
      </c>
      <c r="F47" s="598"/>
      <c r="G47" s="665"/>
      <c r="H47" s="588"/>
      <c r="I47" s="34" t="str">
        <f>IFERROR(IF(AND(N46&lt;0,G47&gt;G46),"Congrats! You've found an Easter egg!",""),"")</f>
        <v/>
      </c>
      <c r="P47" s="158"/>
      <c r="Q47" s="158"/>
      <c r="R47" s="158"/>
      <c r="S47" s="159"/>
      <c r="T47" s="664" t="s">
        <v>385</v>
      </c>
      <c r="U47" s="598"/>
      <c r="V47" s="665"/>
      <c r="W47" s="588"/>
      <c r="X47" s="671" t="s">
        <v>386</v>
      </c>
      <c r="Y47" s="598"/>
      <c r="Z47" s="665"/>
      <c r="AA47" s="588"/>
      <c r="AB47" s="155"/>
      <c r="AC47" s="155"/>
      <c r="AD47" s="155"/>
      <c r="AE47" s="155"/>
      <c r="AF47" s="155"/>
      <c r="AG47" s="155"/>
      <c r="AH47" s="155"/>
      <c r="AI47" s="158"/>
      <c r="AJ47" s="158"/>
      <c r="AK47" s="158"/>
      <c r="AL47" s="159"/>
    </row>
    <row r="48" spans="1:38" ht="12.75" customHeight="1">
      <c r="A48" s="165"/>
      <c r="B48" s="158"/>
      <c r="C48" s="163" t="str">
        <f>IF(ABS(C47-C46)&lt;1,"Supporting points shall be at least 1 mm apart!","")</f>
        <v>Supporting points shall be at least 1 mm apart!</v>
      </c>
      <c r="D48" s="158"/>
      <c r="E48" s="158"/>
      <c r="F48" s="158"/>
      <c r="G48" s="158"/>
      <c r="H48" s="158"/>
      <c r="I48" s="158"/>
      <c r="J48" s="158"/>
      <c r="K48" s="158"/>
      <c r="L48" s="158"/>
      <c r="M48" s="158"/>
      <c r="N48" s="158"/>
      <c r="O48" s="158"/>
      <c r="P48" s="158"/>
      <c r="Q48" s="158"/>
      <c r="R48" s="158"/>
      <c r="S48" s="159"/>
      <c r="T48" s="151"/>
      <c r="U48" s="155"/>
      <c r="V48" s="163" t="str">
        <f>IF(ABS(V47-V46)&lt;1,"Supporting points shall be at least 1 mm apart!","")</f>
        <v>Supporting points shall be at least 1 mm apart!</v>
      </c>
      <c r="W48" s="155"/>
      <c r="X48" s="155"/>
      <c r="Y48" s="155"/>
      <c r="Z48" s="155"/>
      <c r="AA48" s="155"/>
      <c r="AB48" s="155"/>
      <c r="AC48" s="155"/>
      <c r="AD48" s="155"/>
      <c r="AE48" s="155"/>
      <c r="AF48" s="155"/>
      <c r="AG48" s="155"/>
      <c r="AH48" s="155"/>
      <c r="AI48" s="155"/>
      <c r="AJ48" s="155"/>
      <c r="AK48" s="155"/>
      <c r="AL48" s="156"/>
    </row>
    <row r="49" spans="1:38" ht="12.75" customHeight="1">
      <c r="A49" s="151" t="s">
        <v>277</v>
      </c>
      <c r="B49" s="158"/>
      <c r="C49" s="158"/>
      <c r="D49" s="158"/>
      <c r="E49" s="158"/>
      <c r="F49" s="158"/>
      <c r="G49" s="158"/>
      <c r="H49" s="158"/>
      <c r="I49" s="158"/>
      <c r="J49" s="158"/>
      <c r="K49" s="158"/>
      <c r="L49" s="158"/>
      <c r="M49" s="158"/>
      <c r="N49" s="158"/>
      <c r="O49" s="158"/>
      <c r="P49" s="158"/>
      <c r="Q49" s="158"/>
      <c r="R49" s="158"/>
      <c r="S49" s="159"/>
      <c r="T49" s="151" t="s">
        <v>283</v>
      </c>
      <c r="U49" s="155"/>
      <c r="V49" s="155"/>
      <c r="W49" s="155"/>
      <c r="X49" s="155"/>
      <c r="Y49" s="155"/>
      <c r="Z49" s="155"/>
      <c r="AA49" s="155"/>
      <c r="AB49" s="155"/>
      <c r="AC49" s="155"/>
      <c r="AD49" s="155"/>
      <c r="AE49" s="155"/>
      <c r="AF49" s="155"/>
      <c r="AG49" s="155"/>
      <c r="AH49" s="155"/>
      <c r="AI49" s="155"/>
      <c r="AJ49" s="155"/>
      <c r="AK49" s="155"/>
      <c r="AL49" s="156"/>
    </row>
    <row r="50" spans="1:38" ht="12.75" customHeight="1">
      <c r="A50" s="664" t="s">
        <v>387</v>
      </c>
      <c r="B50" s="598"/>
      <c r="C50" s="669"/>
      <c r="D50" s="588"/>
      <c r="E50" s="155"/>
      <c r="F50" s="158"/>
      <c r="G50" s="158"/>
      <c r="H50" s="158"/>
      <c r="I50" s="158"/>
      <c r="J50" s="158"/>
      <c r="K50" s="158"/>
      <c r="L50" s="158"/>
      <c r="M50" s="158"/>
      <c r="N50" s="158"/>
      <c r="O50" s="158"/>
      <c r="P50" s="158"/>
      <c r="Q50" s="158"/>
      <c r="R50" s="158"/>
      <c r="S50" s="159"/>
      <c r="T50" s="151"/>
      <c r="U50" s="162" t="s">
        <v>286</v>
      </c>
      <c r="V50" s="681">
        <f>C53</f>
        <v>400</v>
      </c>
      <c r="W50" s="588"/>
      <c r="X50" s="155" t="s">
        <v>287</v>
      </c>
      <c r="Y50" s="155"/>
      <c r="Z50" s="155"/>
      <c r="AA50" s="155"/>
      <c r="AB50" s="155"/>
      <c r="AC50" s="155"/>
      <c r="AD50" s="155"/>
      <c r="AE50" s="155"/>
      <c r="AF50" s="162" t="s">
        <v>388</v>
      </c>
      <c r="AG50" s="683">
        <f>V51*(1/64)*PI()*(V52^4-V53^4)*200000</f>
        <v>1339009872.1404533</v>
      </c>
      <c r="AH50" s="588"/>
      <c r="AI50" s="166">
        <f>AG50*48/V50^3</f>
        <v>1004.25740410534</v>
      </c>
      <c r="AJ50" s="155"/>
      <c r="AK50" s="155"/>
      <c r="AL50" s="156"/>
    </row>
    <row r="51" spans="1:38" ht="12.75" customHeight="1">
      <c r="A51" s="165"/>
      <c r="B51" s="158"/>
      <c r="C51" s="198" t="str">
        <f>IF(L67&gt;12.7,"Force must be taken at max. 12.7 mm deflection!","")</f>
        <v/>
      </c>
      <c r="D51" s="202"/>
      <c r="E51" s="158"/>
      <c r="F51" s="158"/>
      <c r="G51" s="158"/>
      <c r="H51" s="158"/>
      <c r="I51" s="158"/>
      <c r="J51" s="158"/>
      <c r="K51" s="158"/>
      <c r="L51" s="158"/>
      <c r="M51" s="158"/>
      <c r="N51" s="158"/>
      <c r="O51" s="158"/>
      <c r="P51" s="158"/>
      <c r="Q51" s="158"/>
      <c r="R51" s="158"/>
      <c r="S51" s="159"/>
      <c r="T51" s="151"/>
      <c r="U51" s="162" t="s">
        <v>289</v>
      </c>
      <c r="V51" s="660">
        <v>1</v>
      </c>
      <c r="W51" s="588"/>
      <c r="X51" s="155" t="s">
        <v>290</v>
      </c>
      <c r="Y51" s="155"/>
      <c r="Z51" s="155"/>
      <c r="AA51" s="155"/>
      <c r="AB51" s="155"/>
      <c r="AC51" s="155"/>
      <c r="AD51" s="155"/>
      <c r="AE51" s="155"/>
      <c r="AF51" s="162" t="s">
        <v>389</v>
      </c>
      <c r="AG51" s="683">
        <f>IF(AG46&gt;0,(AG46*V50^3)/48,AG50)</f>
        <v>1339009872.1404533</v>
      </c>
      <c r="AH51" s="588"/>
      <c r="AI51" s="166">
        <f>AG51*48/V50^3</f>
        <v>1004.25740410534</v>
      </c>
      <c r="AJ51" s="167">
        <f>100*AG51/AG50</f>
        <v>100</v>
      </c>
      <c r="AK51" s="155" t="s">
        <v>292</v>
      </c>
      <c r="AL51" s="156"/>
    </row>
    <row r="52" spans="1:38" ht="12.75" customHeight="1">
      <c r="A52" s="157" t="s">
        <v>293</v>
      </c>
      <c r="B52" s="158"/>
      <c r="C52" s="158"/>
      <c r="D52" s="158"/>
      <c r="E52" s="158"/>
      <c r="F52" s="158"/>
      <c r="G52" s="158"/>
      <c r="H52" s="158"/>
      <c r="I52" s="158"/>
      <c r="J52" s="158"/>
      <c r="K52" s="158"/>
      <c r="L52" s="158"/>
      <c r="M52" s="158"/>
      <c r="N52" s="158"/>
      <c r="O52" s="158"/>
      <c r="P52" s="158"/>
      <c r="Q52" s="158"/>
      <c r="R52" s="158"/>
      <c r="S52" s="159"/>
      <c r="T52" s="151"/>
      <c r="U52" s="162" t="s">
        <v>390</v>
      </c>
      <c r="V52" s="660">
        <v>25.4</v>
      </c>
      <c r="W52" s="588"/>
      <c r="X52" s="155" t="s">
        <v>295</v>
      </c>
      <c r="Y52" s="155"/>
      <c r="Z52" s="155"/>
      <c r="AA52" s="155"/>
      <c r="AB52" s="155"/>
      <c r="AC52" s="155"/>
      <c r="AD52" s="155"/>
      <c r="AE52" s="155"/>
      <c r="AF52" s="162" t="s">
        <v>296</v>
      </c>
      <c r="AG52" s="684">
        <f>IF(AJ51&lt;75,0,IF(AG51&gt;=AG50,0,(AI51^-1-AI50^-1)^-1))</f>
        <v>0</v>
      </c>
      <c r="AH52" s="588"/>
      <c r="AI52" s="155"/>
      <c r="AJ52" s="155"/>
      <c r="AK52" s="155"/>
      <c r="AL52" s="156"/>
    </row>
    <row r="53" spans="1:38" ht="12.75" customHeight="1">
      <c r="A53" s="151"/>
      <c r="B53" s="168" t="s">
        <v>286</v>
      </c>
      <c r="C53" s="665">
        <v>400</v>
      </c>
      <c r="D53" s="588"/>
      <c r="E53" s="155" t="s">
        <v>297</v>
      </c>
      <c r="F53" s="158"/>
      <c r="G53" s="158"/>
      <c r="H53" s="158"/>
      <c r="I53" s="158"/>
      <c r="J53" s="158"/>
      <c r="K53" s="158"/>
      <c r="L53" s="158"/>
      <c r="M53" s="158"/>
      <c r="N53" s="158"/>
      <c r="O53" s="158"/>
      <c r="P53" s="158"/>
      <c r="Q53" s="158"/>
      <c r="R53" s="158"/>
      <c r="S53" s="159"/>
      <c r="T53" s="151"/>
      <c r="U53" s="162" t="s">
        <v>391</v>
      </c>
      <c r="V53" s="660">
        <v>23</v>
      </c>
      <c r="W53" s="588"/>
      <c r="X53" s="155" t="s">
        <v>299</v>
      </c>
      <c r="Y53" s="155"/>
      <c r="Z53" s="155"/>
      <c r="AA53" s="155"/>
      <c r="AB53" s="155"/>
      <c r="AC53" s="155"/>
      <c r="AD53" s="155"/>
      <c r="AE53" s="155"/>
      <c r="AF53" s="155"/>
      <c r="AG53" s="155"/>
      <c r="AH53" s="155"/>
      <c r="AI53" s="155"/>
      <c r="AJ53" s="155"/>
      <c r="AK53" s="155"/>
      <c r="AL53" s="156"/>
    </row>
    <row r="54" spans="1:38" ht="12.75" customHeight="1">
      <c r="A54" s="659" t="s">
        <v>300</v>
      </c>
      <c r="B54" s="598"/>
      <c r="C54" s="665">
        <v>275</v>
      </c>
      <c r="D54" s="588"/>
      <c r="E54" s="155" t="s">
        <v>81</v>
      </c>
      <c r="F54" s="158"/>
      <c r="G54" s="158"/>
      <c r="H54" s="158"/>
      <c r="I54" s="158"/>
      <c r="J54" s="158"/>
      <c r="K54" s="158"/>
      <c r="L54" s="158"/>
      <c r="M54" s="158"/>
      <c r="N54" s="158"/>
      <c r="O54" s="158"/>
      <c r="P54" s="158"/>
      <c r="Q54" s="158"/>
      <c r="R54" s="158"/>
      <c r="S54" s="159"/>
      <c r="T54" s="151"/>
      <c r="U54" s="155"/>
      <c r="V54" s="155"/>
      <c r="W54" s="155"/>
      <c r="X54" s="155"/>
      <c r="Y54" s="155"/>
      <c r="Z54" s="155"/>
      <c r="AA54" s="155"/>
      <c r="AB54" s="155"/>
      <c r="AC54" s="155"/>
      <c r="AD54" s="155"/>
      <c r="AE54" s="155"/>
      <c r="AF54" s="155"/>
      <c r="AG54" s="155"/>
      <c r="AH54" s="155"/>
      <c r="AI54" s="155"/>
      <c r="AJ54" s="155"/>
      <c r="AK54" s="155"/>
      <c r="AL54" s="156"/>
    </row>
    <row r="55" spans="1:38" ht="12.75" customHeight="1">
      <c r="A55" s="659" t="s">
        <v>302</v>
      </c>
      <c r="B55" s="598"/>
      <c r="C55" s="660"/>
      <c r="D55" s="588"/>
      <c r="E55" s="155" t="s">
        <v>303</v>
      </c>
      <c r="F55" s="155"/>
      <c r="G55" s="155"/>
      <c r="H55" s="155"/>
      <c r="I55" s="155"/>
      <c r="J55" s="155"/>
      <c r="K55" s="155"/>
      <c r="L55" s="155"/>
      <c r="M55" s="155"/>
      <c r="N55" s="155"/>
      <c r="O55" s="158"/>
      <c r="P55" s="158"/>
      <c r="Q55" s="158"/>
      <c r="R55" s="158"/>
      <c r="S55" s="159"/>
      <c r="T55" s="151"/>
      <c r="U55" s="155"/>
      <c r="V55" s="155"/>
      <c r="W55" s="155"/>
      <c r="X55" s="155"/>
      <c r="Y55" s="155"/>
      <c r="Z55" s="155"/>
      <c r="AA55" s="155"/>
      <c r="AB55" s="155"/>
      <c r="AC55" s="155"/>
      <c r="AD55" s="155"/>
      <c r="AE55" s="155"/>
      <c r="AF55" s="155"/>
      <c r="AG55" s="155"/>
      <c r="AH55" s="155"/>
      <c r="AI55" s="155"/>
      <c r="AJ55" s="155"/>
      <c r="AK55" s="155"/>
      <c r="AL55" s="156"/>
    </row>
    <row r="56" spans="1:38" ht="15.75" customHeight="1">
      <c r="A56" s="659" t="s">
        <v>392</v>
      </c>
      <c r="B56" s="598"/>
      <c r="C56" s="673"/>
      <c r="D56" s="674"/>
      <c r="E56" s="155" t="s">
        <v>79</v>
      </c>
      <c r="F56" s="155"/>
      <c r="G56" s="155"/>
      <c r="H56" s="155"/>
      <c r="I56" s="155"/>
      <c r="J56" s="23" t="str">
        <f>IF(AND(C56&lt;0.4*C57,C56&lt;1),"Asymmetrical lay-up: skin too thin in comparison, see T3.4.4.","")</f>
        <v/>
      </c>
      <c r="K56" s="155"/>
      <c r="M56" s="155"/>
      <c r="N56" s="155"/>
      <c r="O56" s="158"/>
      <c r="P56" s="158"/>
      <c r="Q56" s="158"/>
      <c r="R56" s="158"/>
      <c r="S56" s="159"/>
      <c r="T56" s="151"/>
      <c r="U56" s="680" t="str">
        <f>IF(AND(0&lt;$AJ$51,$AJ$51&lt;85),"Rig compliance out of normal bounds, perform and document another rig compliance test!","")</f>
        <v/>
      </c>
      <c r="V56" s="598"/>
      <c r="W56" s="598"/>
      <c r="X56" s="598"/>
      <c r="Y56" s="598"/>
      <c r="Z56" s="598"/>
      <c r="AA56" s="598"/>
      <c r="AB56" s="598"/>
      <c r="AC56" s="598"/>
      <c r="AD56" s="598"/>
      <c r="AE56" s="598"/>
      <c r="AF56" s="598"/>
      <c r="AG56" s="598"/>
      <c r="AH56" s="598"/>
      <c r="AI56" s="598"/>
      <c r="AJ56" s="598"/>
      <c r="AK56" s="598"/>
      <c r="AL56" s="156"/>
    </row>
    <row r="57" spans="1:38" ht="15.75" customHeight="1">
      <c r="A57" s="659" t="s">
        <v>393</v>
      </c>
      <c r="B57" s="598"/>
      <c r="C57" s="660"/>
      <c r="D57" s="588"/>
      <c r="E57" s="155" t="s">
        <v>80</v>
      </c>
      <c r="F57" s="155"/>
      <c r="G57" s="155"/>
      <c r="H57" s="155"/>
      <c r="I57" s="155"/>
      <c r="J57" s="23" t="str">
        <f>IF(AND(C57&lt;0.4*C56,C57&lt;1),"Asymmetrical lay-up: skin too thin in comparison, see T3.4.4.","")</f>
        <v/>
      </c>
      <c r="K57" s="155"/>
      <c r="M57" s="155"/>
      <c r="N57" s="155"/>
      <c r="O57" s="158"/>
      <c r="P57" s="158"/>
      <c r="Q57" s="158"/>
      <c r="R57" s="158"/>
      <c r="S57" s="159"/>
      <c r="T57" s="151"/>
      <c r="U57" s="598"/>
      <c r="V57" s="598"/>
      <c r="W57" s="598"/>
      <c r="X57" s="598"/>
      <c r="Y57" s="598"/>
      <c r="Z57" s="598"/>
      <c r="AA57" s="598"/>
      <c r="AB57" s="598"/>
      <c r="AC57" s="598"/>
      <c r="AD57" s="598"/>
      <c r="AE57" s="598"/>
      <c r="AF57" s="598"/>
      <c r="AG57" s="598"/>
      <c r="AH57" s="598"/>
      <c r="AI57" s="598"/>
      <c r="AJ57" s="598"/>
      <c r="AK57" s="598"/>
      <c r="AL57" s="156"/>
    </row>
    <row r="58" spans="1:38" ht="12.75" customHeight="1">
      <c r="A58" s="170"/>
      <c r="B58" s="162" t="s">
        <v>394</v>
      </c>
      <c r="C58" s="661">
        <f>(C54*(((C55+C56+C57)^3)-(C55^3)))/12</f>
        <v>0</v>
      </c>
      <c r="D58" s="588"/>
      <c r="E58" s="155" t="s">
        <v>307</v>
      </c>
      <c r="F58" s="155"/>
      <c r="G58" s="155"/>
      <c r="H58" s="155"/>
      <c r="I58" s="155"/>
      <c r="J58" s="155"/>
      <c r="K58" s="155"/>
      <c r="L58" s="155"/>
      <c r="M58" s="155"/>
      <c r="N58" s="155"/>
      <c r="O58" s="158"/>
      <c r="P58" s="158"/>
      <c r="Q58" s="158"/>
      <c r="R58" s="158"/>
      <c r="S58" s="159"/>
      <c r="T58" s="151"/>
      <c r="U58" s="155"/>
      <c r="V58" s="155"/>
      <c r="W58" s="155"/>
      <c r="X58" s="155"/>
      <c r="Y58" s="155"/>
      <c r="Z58" s="155"/>
      <c r="AA58" s="155"/>
      <c r="AB58" s="155"/>
      <c r="AC58" s="155"/>
      <c r="AD58" s="155"/>
      <c r="AE58" s="171"/>
      <c r="AF58" s="155"/>
      <c r="AG58" s="155"/>
      <c r="AH58" s="155"/>
      <c r="AI58" s="155"/>
      <c r="AJ58" s="155"/>
      <c r="AK58" s="155"/>
      <c r="AL58" s="156"/>
    </row>
    <row r="59" spans="1:38" ht="12.75" customHeight="1">
      <c r="A59" s="165"/>
      <c r="B59" s="162" t="s">
        <v>308</v>
      </c>
      <c r="C59" s="662">
        <f>IF(C47&gt;0,0.001*((N46*(C47-C46)*C53^3)/(48*C58*(C47-C46))),0)</f>
        <v>0</v>
      </c>
      <c r="D59" s="588"/>
      <c r="E59" s="155" t="s">
        <v>309</v>
      </c>
      <c r="F59" s="158"/>
      <c r="G59" s="158"/>
      <c r="H59" s="158"/>
      <c r="I59" s="158"/>
      <c r="J59" s="158"/>
      <c r="K59" s="158"/>
      <c r="L59" s="158"/>
      <c r="M59" s="158"/>
      <c r="N59" s="158"/>
      <c r="O59" s="158"/>
      <c r="P59" s="158"/>
      <c r="Q59" s="158"/>
      <c r="R59" s="158"/>
      <c r="S59" s="159"/>
      <c r="T59" s="151"/>
      <c r="U59" s="155"/>
      <c r="V59" s="155"/>
      <c r="W59" s="155"/>
      <c r="X59" s="155"/>
      <c r="Y59" s="155"/>
      <c r="Z59" s="155"/>
      <c r="AA59" s="155"/>
      <c r="AB59" s="155"/>
      <c r="AC59" s="155"/>
      <c r="AD59" s="155"/>
      <c r="AE59" s="155"/>
      <c r="AF59" s="155"/>
      <c r="AG59" s="155"/>
      <c r="AH59" s="155"/>
      <c r="AI59" s="155"/>
      <c r="AJ59" s="155"/>
      <c r="AK59" s="155"/>
      <c r="AL59" s="156"/>
    </row>
    <row r="60" spans="1:38" ht="12.75" customHeight="1">
      <c r="A60" s="172"/>
      <c r="B60" s="173" t="s">
        <v>395</v>
      </c>
      <c r="C60" s="663" t="e">
        <f>C50*C53*0.5*SUM(C55:D57)/(4*C58)</f>
        <v>#DIV/0!</v>
      </c>
      <c r="D60" s="588"/>
      <c r="E60" s="174" t="s">
        <v>311</v>
      </c>
      <c r="F60" s="175"/>
      <c r="G60" s="175"/>
      <c r="H60" s="175"/>
      <c r="I60" s="175"/>
      <c r="J60" s="175"/>
      <c r="K60" s="175"/>
      <c r="L60" s="175"/>
      <c r="M60" s="175"/>
      <c r="N60" s="175"/>
      <c r="O60" s="175"/>
      <c r="P60" s="175"/>
      <c r="Q60" s="175"/>
      <c r="R60" s="175"/>
      <c r="S60" s="176"/>
      <c r="T60" s="177"/>
      <c r="U60" s="174"/>
      <c r="V60" s="174"/>
      <c r="W60" s="174"/>
      <c r="X60" s="174"/>
      <c r="Y60" s="174"/>
      <c r="Z60" s="174"/>
      <c r="AA60" s="174"/>
      <c r="AB60" s="174"/>
      <c r="AC60" s="174"/>
      <c r="AD60" s="174"/>
      <c r="AE60" s="174"/>
      <c r="AF60" s="174"/>
      <c r="AG60" s="174"/>
      <c r="AH60" s="174"/>
      <c r="AI60" s="174"/>
      <c r="AJ60" s="174"/>
      <c r="AK60" s="174"/>
      <c r="AL60" s="178"/>
    </row>
    <row r="61" spans="1:38" ht="12.75" customHeight="1">
      <c r="A61" s="179" t="s">
        <v>312</v>
      </c>
      <c r="S61" s="141"/>
      <c r="T61" s="179" t="s">
        <v>312</v>
      </c>
      <c r="AL61" s="141"/>
    </row>
    <row r="62" spans="1:38" ht="12.75" customHeight="1">
      <c r="A62" s="155" t="s">
        <v>396</v>
      </c>
      <c r="S62" s="141"/>
      <c r="T62" s="155" t="s">
        <v>397</v>
      </c>
      <c r="AL62" s="141"/>
    </row>
    <row r="63" spans="1:38" ht="12.75" customHeight="1">
      <c r="A63" s="155" t="s">
        <v>315</v>
      </c>
      <c r="B63" s="34"/>
      <c r="C63" s="34"/>
      <c r="D63" s="34"/>
      <c r="E63" s="34"/>
      <c r="F63" s="34"/>
      <c r="G63" s="34"/>
      <c r="H63" s="34"/>
      <c r="I63" s="34"/>
      <c r="J63" s="34"/>
      <c r="K63" s="34"/>
      <c r="L63" s="34"/>
      <c r="M63" s="34"/>
      <c r="N63" s="34"/>
      <c r="O63" s="34"/>
      <c r="P63" s="34"/>
      <c r="Q63" s="34"/>
      <c r="R63" s="34"/>
      <c r="S63" s="141"/>
      <c r="T63" s="155" t="s">
        <v>315</v>
      </c>
      <c r="U63" s="34"/>
      <c r="V63" s="34"/>
      <c r="W63" s="34"/>
      <c r="X63" s="34"/>
      <c r="Y63" s="34"/>
      <c r="Z63" s="34"/>
      <c r="AA63" s="34"/>
      <c r="AB63" s="34"/>
      <c r="AC63" s="34"/>
      <c r="AD63" s="34"/>
      <c r="AE63" s="34"/>
      <c r="AF63" s="34"/>
      <c r="AG63" s="34"/>
      <c r="AH63" s="34"/>
      <c r="AI63" s="34"/>
      <c r="AJ63" s="34"/>
      <c r="AK63" s="34"/>
      <c r="AL63" s="141"/>
    </row>
    <row r="64" spans="1:38" ht="12.75" customHeight="1">
      <c r="A64" s="80"/>
      <c r="B64" s="34"/>
      <c r="C64" s="34"/>
      <c r="D64" s="34"/>
      <c r="E64" s="34"/>
      <c r="F64" s="34"/>
      <c r="G64" s="34"/>
      <c r="H64" s="34"/>
      <c r="I64" s="34"/>
      <c r="J64" s="34"/>
      <c r="K64" s="34"/>
      <c r="L64" s="34"/>
      <c r="M64" s="34"/>
      <c r="N64" s="34"/>
      <c r="O64" s="34"/>
      <c r="P64" s="34"/>
      <c r="Q64" s="34"/>
      <c r="R64" s="34"/>
      <c r="S64" s="141"/>
      <c r="T64" s="80"/>
      <c r="U64" s="34"/>
      <c r="V64" s="34"/>
      <c r="W64" s="34"/>
      <c r="X64" s="34"/>
      <c r="Y64" s="34"/>
      <c r="Z64" s="34"/>
      <c r="AA64" s="34"/>
      <c r="AB64" s="34"/>
      <c r="AC64" s="34"/>
      <c r="AD64" s="34"/>
      <c r="AE64" s="34"/>
      <c r="AF64" s="34"/>
      <c r="AG64" s="34"/>
      <c r="AH64" s="34"/>
      <c r="AI64" s="34"/>
      <c r="AJ64" s="34"/>
      <c r="AK64" s="34"/>
      <c r="AL64" s="141"/>
    </row>
    <row r="65" spans="1:38" ht="12.75" customHeight="1">
      <c r="A65" s="80"/>
      <c r="B65" s="180"/>
      <c r="C65" s="181" t="s">
        <v>316</v>
      </c>
      <c r="D65" s="182" t="s">
        <v>317</v>
      </c>
      <c r="H65" s="687"/>
      <c r="I65" s="598"/>
      <c r="J65" s="184"/>
      <c r="K65" s="184"/>
      <c r="L65" s="184"/>
      <c r="M65" s="184"/>
      <c r="N65" s="184"/>
      <c r="S65" s="141"/>
      <c r="T65" s="80"/>
      <c r="U65" s="180"/>
      <c r="V65" s="181" t="s">
        <v>316</v>
      </c>
      <c r="W65" s="182" t="s">
        <v>317</v>
      </c>
      <c r="AA65" s="686"/>
      <c r="AB65" s="598"/>
      <c r="AL65" s="141"/>
    </row>
    <row r="66" spans="1:38" ht="12.75" customHeight="1">
      <c r="A66" s="80"/>
      <c r="B66" s="43">
        <v>1</v>
      </c>
      <c r="C66" s="186"/>
      <c r="D66" s="187"/>
      <c r="G66" s="34"/>
      <c r="H66" s="200"/>
      <c r="I66" s="200"/>
      <c r="J66" s="184" t="s">
        <v>322</v>
      </c>
      <c r="K66" s="184"/>
      <c r="L66" s="184">
        <f t="array" ref="L66">MATCH(MIN(ABS(C66:C365-C50)),ABS(C66:C365-C50),0)</f>
        <v>1</v>
      </c>
      <c r="M66" s="184"/>
      <c r="N66" s="184"/>
      <c r="S66" s="141"/>
      <c r="T66" s="80"/>
      <c r="U66" s="43">
        <v>1</v>
      </c>
      <c r="V66" s="186"/>
      <c r="W66" s="187"/>
      <c r="Z66" s="34"/>
      <c r="AA66" s="201"/>
      <c r="AB66" s="201"/>
      <c r="AL66" s="141"/>
    </row>
    <row r="67" spans="1:38" ht="12.75" customHeight="1">
      <c r="A67" s="80"/>
      <c r="B67" s="43">
        <v>2</v>
      </c>
      <c r="C67" s="191"/>
      <c r="D67" s="192"/>
      <c r="G67" s="34"/>
      <c r="H67" s="184"/>
      <c r="I67" s="184"/>
      <c r="J67" s="184" t="s">
        <v>321</v>
      </c>
      <c r="K67" s="184"/>
      <c r="L67" s="196">
        <f t="array" ref="L67">INDEX(C66:E393,L66,2)</f>
        <v>0</v>
      </c>
      <c r="M67" s="184"/>
      <c r="N67" s="184"/>
      <c r="S67" s="141"/>
      <c r="T67" s="80"/>
      <c r="U67" s="43">
        <v>2</v>
      </c>
      <c r="V67" s="191"/>
      <c r="W67" s="192"/>
      <c r="Z67" s="34"/>
      <c r="AL67" s="141"/>
    </row>
    <row r="68" spans="1:38" ht="12.75" customHeight="1">
      <c r="A68" s="80"/>
      <c r="B68" s="43">
        <v>3</v>
      </c>
      <c r="C68" s="191"/>
      <c r="D68" s="192"/>
      <c r="G68" s="34"/>
      <c r="H68" s="184"/>
      <c r="I68" s="184"/>
      <c r="J68" s="184"/>
      <c r="K68" s="184"/>
      <c r="L68" s="184"/>
      <c r="M68" s="184"/>
      <c r="N68" s="184"/>
      <c r="S68" s="141"/>
      <c r="T68" s="80"/>
      <c r="U68" s="43">
        <v>3</v>
      </c>
      <c r="V68" s="191"/>
      <c r="W68" s="192"/>
      <c r="Z68" s="34"/>
      <c r="AL68" s="141"/>
    </row>
    <row r="69" spans="1:38" ht="12.75" customHeight="1">
      <c r="A69" s="80"/>
      <c r="B69" s="43">
        <v>4</v>
      </c>
      <c r="C69" s="191"/>
      <c r="D69" s="192"/>
      <c r="H69" s="184"/>
      <c r="I69" s="184"/>
      <c r="J69" s="184"/>
      <c r="K69" s="184"/>
      <c r="L69" s="184"/>
      <c r="M69" s="184"/>
      <c r="N69" s="184"/>
      <c r="S69" s="141"/>
      <c r="T69" s="80"/>
      <c r="U69" s="43">
        <v>4</v>
      </c>
      <c r="V69" s="191"/>
      <c r="W69" s="192"/>
      <c r="AL69" s="141"/>
    </row>
    <row r="70" spans="1:38" ht="12.75" customHeight="1">
      <c r="A70" s="80"/>
      <c r="B70" s="43">
        <v>5</v>
      </c>
      <c r="C70" s="191"/>
      <c r="D70" s="192"/>
      <c r="H70" s="184"/>
      <c r="I70" s="184"/>
      <c r="J70" s="184"/>
      <c r="K70" s="184"/>
      <c r="L70" s="184"/>
      <c r="M70" s="184"/>
      <c r="N70" s="184"/>
      <c r="S70" s="141"/>
      <c r="T70" s="80"/>
      <c r="U70" s="43">
        <v>5</v>
      </c>
      <c r="V70" s="191"/>
      <c r="W70" s="192"/>
      <c r="AL70" s="141"/>
    </row>
    <row r="71" spans="1:38" ht="12.75" customHeight="1">
      <c r="A71" s="80"/>
      <c r="B71" s="43">
        <v>6</v>
      </c>
      <c r="C71" s="191"/>
      <c r="D71" s="192"/>
      <c r="H71" s="184"/>
      <c r="I71" s="184"/>
      <c r="J71" s="184"/>
      <c r="K71" s="184"/>
      <c r="L71" s="184"/>
      <c r="M71" s="184"/>
      <c r="N71" s="184"/>
      <c r="S71" s="141"/>
      <c r="T71" s="80"/>
      <c r="U71" s="43">
        <v>6</v>
      </c>
      <c r="V71" s="191"/>
      <c r="W71" s="192"/>
      <c r="AL71" s="141"/>
    </row>
    <row r="72" spans="1:38" ht="12.75" customHeight="1">
      <c r="A72" s="80"/>
      <c r="B72" s="43">
        <v>7</v>
      </c>
      <c r="C72" s="191"/>
      <c r="D72" s="192"/>
      <c r="H72" s="184"/>
      <c r="I72" s="184"/>
      <c r="J72" s="184"/>
      <c r="K72" s="184"/>
      <c r="L72" s="184"/>
      <c r="M72" s="184"/>
      <c r="N72" s="184"/>
      <c r="S72" s="141"/>
      <c r="T72" s="80"/>
      <c r="U72" s="43">
        <v>7</v>
      </c>
      <c r="V72" s="191"/>
      <c r="W72" s="192"/>
      <c r="AL72" s="141"/>
    </row>
    <row r="73" spans="1:38" ht="12.75" customHeight="1">
      <c r="A73" s="80"/>
      <c r="B73" s="43">
        <v>8</v>
      </c>
      <c r="C73" s="191"/>
      <c r="D73" s="192"/>
      <c r="H73" s="184"/>
      <c r="I73" s="184"/>
      <c r="J73" s="184"/>
      <c r="K73" s="184"/>
      <c r="L73" s="184"/>
      <c r="M73" s="184"/>
      <c r="N73" s="184"/>
      <c r="S73" s="141"/>
      <c r="T73" s="80"/>
      <c r="U73" s="43">
        <v>8</v>
      </c>
      <c r="V73" s="191"/>
      <c r="W73" s="192"/>
      <c r="AL73" s="141"/>
    </row>
    <row r="74" spans="1:38" ht="12.75" customHeight="1">
      <c r="A74" s="80"/>
      <c r="B74" s="43">
        <v>9</v>
      </c>
      <c r="C74" s="191"/>
      <c r="D74" s="192"/>
      <c r="H74" s="184"/>
      <c r="I74" s="184"/>
      <c r="J74" s="184"/>
      <c r="K74" s="184"/>
      <c r="L74" s="184"/>
      <c r="M74" s="184"/>
      <c r="N74" s="184"/>
      <c r="S74" s="141"/>
      <c r="T74" s="80"/>
      <c r="U74" s="43">
        <v>9</v>
      </c>
      <c r="V74" s="191"/>
      <c r="W74" s="192"/>
      <c r="AL74" s="141"/>
    </row>
    <row r="75" spans="1:38" ht="12.75" customHeight="1">
      <c r="A75" s="80"/>
      <c r="B75" s="43">
        <v>10</v>
      </c>
      <c r="C75" s="191"/>
      <c r="D75" s="192"/>
      <c r="H75" s="184"/>
      <c r="I75" s="184"/>
      <c r="J75" s="184"/>
      <c r="K75" s="184"/>
      <c r="L75" s="184"/>
      <c r="M75" s="184"/>
      <c r="N75" s="184"/>
      <c r="S75" s="141"/>
      <c r="T75" s="80"/>
      <c r="U75" s="43">
        <v>10</v>
      </c>
      <c r="V75" s="191"/>
      <c r="W75" s="192"/>
      <c r="AL75" s="141"/>
    </row>
    <row r="76" spans="1:38" ht="12.75" customHeight="1">
      <c r="A76" s="80"/>
      <c r="B76" s="43">
        <v>11</v>
      </c>
      <c r="C76" s="191"/>
      <c r="D76" s="192"/>
      <c r="H76" s="184"/>
      <c r="I76" s="184"/>
      <c r="J76" s="184"/>
      <c r="K76" s="184"/>
      <c r="L76" s="184"/>
      <c r="M76" s="184"/>
      <c r="N76" s="184"/>
      <c r="S76" s="141"/>
      <c r="T76" s="80"/>
      <c r="U76" s="43">
        <v>11</v>
      </c>
      <c r="V76" s="191"/>
      <c r="W76" s="192"/>
      <c r="AL76" s="141"/>
    </row>
    <row r="77" spans="1:38" ht="12.75" customHeight="1">
      <c r="A77" s="80"/>
      <c r="B77" s="43">
        <v>12</v>
      </c>
      <c r="C77" s="191"/>
      <c r="D77" s="192"/>
      <c r="S77" s="141"/>
      <c r="T77" s="80"/>
      <c r="U77" s="43">
        <v>12</v>
      </c>
      <c r="V77" s="191"/>
      <c r="W77" s="192"/>
      <c r="AL77" s="141"/>
    </row>
    <row r="78" spans="1:38" ht="12.75" customHeight="1">
      <c r="A78" s="80"/>
      <c r="B78" s="43">
        <v>13</v>
      </c>
      <c r="C78" s="191"/>
      <c r="D78" s="192"/>
      <c r="S78" s="141"/>
      <c r="T78" s="80"/>
      <c r="U78" s="43">
        <v>13</v>
      </c>
      <c r="V78" s="191"/>
      <c r="W78" s="192"/>
      <c r="AL78" s="141"/>
    </row>
    <row r="79" spans="1:38" ht="12.75" customHeight="1">
      <c r="A79" s="80"/>
      <c r="B79" s="43">
        <v>14</v>
      </c>
      <c r="C79" s="191"/>
      <c r="D79" s="192"/>
      <c r="S79" s="141"/>
      <c r="T79" s="80"/>
      <c r="U79" s="43">
        <v>14</v>
      </c>
      <c r="V79" s="191"/>
      <c r="W79" s="192"/>
      <c r="AL79" s="141"/>
    </row>
    <row r="80" spans="1:38" ht="12.75" customHeight="1">
      <c r="A80" s="80"/>
      <c r="B80" s="43">
        <v>15</v>
      </c>
      <c r="C80" s="191"/>
      <c r="D80" s="192"/>
      <c r="S80" s="141"/>
      <c r="T80" s="80"/>
      <c r="U80" s="43">
        <v>15</v>
      </c>
      <c r="V80" s="191"/>
      <c r="W80" s="192"/>
      <c r="AL80" s="141"/>
    </row>
    <row r="81" spans="1:38" ht="12.75" customHeight="1">
      <c r="A81" s="80"/>
      <c r="B81" s="43">
        <v>16</v>
      </c>
      <c r="C81" s="191"/>
      <c r="D81" s="192"/>
      <c r="S81" s="141"/>
      <c r="T81" s="80"/>
      <c r="U81" s="43">
        <v>16</v>
      </c>
      <c r="V81" s="191"/>
      <c r="W81" s="192"/>
      <c r="AL81" s="141"/>
    </row>
    <row r="82" spans="1:38" ht="12.75" customHeight="1">
      <c r="A82" s="80"/>
      <c r="B82" s="43">
        <v>17</v>
      </c>
      <c r="C82" s="191"/>
      <c r="D82" s="192"/>
      <c r="S82" s="141"/>
      <c r="T82" s="80"/>
      <c r="U82" s="43">
        <v>17</v>
      </c>
      <c r="V82" s="191"/>
      <c r="W82" s="192"/>
      <c r="AL82" s="141"/>
    </row>
    <row r="83" spans="1:38" ht="12.75" customHeight="1">
      <c r="A83" s="80"/>
      <c r="B83" s="43">
        <v>18</v>
      </c>
      <c r="C83" s="191"/>
      <c r="D83" s="192"/>
      <c r="S83" s="141"/>
      <c r="T83" s="80"/>
      <c r="U83" s="43">
        <v>18</v>
      </c>
      <c r="V83" s="191"/>
      <c r="W83" s="192"/>
      <c r="AL83" s="141"/>
    </row>
    <row r="84" spans="1:38" ht="12.75" customHeight="1">
      <c r="A84" s="80"/>
      <c r="B84" s="43">
        <v>19</v>
      </c>
      <c r="C84" s="191"/>
      <c r="D84" s="192"/>
      <c r="S84" s="141"/>
      <c r="T84" s="80"/>
      <c r="U84" s="43">
        <v>19</v>
      </c>
      <c r="V84" s="191"/>
      <c r="W84" s="192"/>
      <c r="AL84" s="141"/>
    </row>
    <row r="85" spans="1:38" ht="12.75" customHeight="1">
      <c r="A85" s="80"/>
      <c r="B85" s="43">
        <v>20</v>
      </c>
      <c r="C85" s="191"/>
      <c r="D85" s="192"/>
      <c r="S85" s="141"/>
      <c r="T85" s="80"/>
      <c r="U85" s="43">
        <v>20</v>
      </c>
      <c r="V85" s="191"/>
      <c r="W85" s="192"/>
      <c r="AL85" s="141"/>
    </row>
    <row r="86" spans="1:38" ht="12.75" customHeight="1">
      <c r="A86" s="80"/>
      <c r="B86" s="43">
        <v>21</v>
      </c>
      <c r="C86" s="191"/>
      <c r="D86" s="192"/>
      <c r="S86" s="141"/>
      <c r="T86" s="80"/>
      <c r="U86" s="43">
        <v>21</v>
      </c>
      <c r="V86" s="191"/>
      <c r="W86" s="192"/>
      <c r="AL86" s="141"/>
    </row>
    <row r="87" spans="1:38" ht="12.75" customHeight="1">
      <c r="A87" s="80"/>
      <c r="B87" s="43">
        <v>22</v>
      </c>
      <c r="C87" s="191"/>
      <c r="D87" s="192"/>
      <c r="S87" s="141"/>
      <c r="T87" s="80"/>
      <c r="U87" s="43">
        <v>22</v>
      </c>
      <c r="V87" s="191"/>
      <c r="W87" s="192"/>
      <c r="AL87" s="141"/>
    </row>
    <row r="88" spans="1:38" ht="12.75" customHeight="1">
      <c r="A88" s="80"/>
      <c r="B88" s="43">
        <v>23</v>
      </c>
      <c r="C88" s="191"/>
      <c r="D88" s="192"/>
      <c r="S88" s="141"/>
      <c r="T88" s="80"/>
      <c r="U88" s="43">
        <v>23</v>
      </c>
      <c r="V88" s="191"/>
      <c r="W88" s="192"/>
      <c r="AL88" s="141"/>
    </row>
    <row r="89" spans="1:38" ht="12.75" customHeight="1">
      <c r="A89" s="80"/>
      <c r="B89" s="43">
        <v>24</v>
      </c>
      <c r="C89" s="191"/>
      <c r="D89" s="192"/>
      <c r="S89" s="141"/>
      <c r="T89" s="80"/>
      <c r="U89" s="43">
        <v>24</v>
      </c>
      <c r="V89" s="191"/>
      <c r="W89" s="192"/>
      <c r="AL89" s="141"/>
    </row>
    <row r="90" spans="1:38" ht="12.75" customHeight="1">
      <c r="A90" s="80"/>
      <c r="B90" s="43">
        <v>25</v>
      </c>
      <c r="C90" s="191"/>
      <c r="D90" s="192"/>
      <c r="S90" s="141"/>
      <c r="T90" s="80"/>
      <c r="U90" s="43">
        <v>25</v>
      </c>
      <c r="V90" s="191"/>
      <c r="W90" s="192"/>
      <c r="AL90" s="141"/>
    </row>
    <row r="91" spans="1:38" ht="12.75" customHeight="1">
      <c r="A91" s="80"/>
      <c r="B91" s="43">
        <v>26</v>
      </c>
      <c r="C91" s="191"/>
      <c r="D91" s="192"/>
      <c r="S91" s="141"/>
      <c r="T91" s="80"/>
      <c r="U91" s="43">
        <v>26</v>
      </c>
      <c r="V91" s="191"/>
      <c r="W91" s="192"/>
      <c r="AL91" s="141"/>
    </row>
    <row r="92" spans="1:38" ht="12.75" customHeight="1">
      <c r="A92" s="80"/>
      <c r="B92" s="43">
        <v>27</v>
      </c>
      <c r="C92" s="191"/>
      <c r="D92" s="192"/>
      <c r="S92" s="141"/>
      <c r="T92" s="80"/>
      <c r="U92" s="43">
        <v>27</v>
      </c>
      <c r="V92" s="191"/>
      <c r="W92" s="192"/>
      <c r="AL92" s="141"/>
    </row>
    <row r="93" spans="1:38" ht="12.75" customHeight="1">
      <c r="A93" s="80"/>
      <c r="B93" s="43">
        <v>28</v>
      </c>
      <c r="C93" s="191"/>
      <c r="D93" s="192"/>
      <c r="S93" s="141"/>
      <c r="T93" s="80"/>
      <c r="U93" s="43">
        <v>28</v>
      </c>
      <c r="V93" s="191"/>
      <c r="W93" s="192"/>
      <c r="AL93" s="141"/>
    </row>
    <row r="94" spans="1:38" ht="12.75" customHeight="1">
      <c r="A94" s="80"/>
      <c r="B94" s="43">
        <v>29</v>
      </c>
      <c r="C94" s="191"/>
      <c r="D94" s="192"/>
      <c r="S94" s="141"/>
      <c r="T94" s="80"/>
      <c r="U94" s="43">
        <v>29</v>
      </c>
      <c r="V94" s="191"/>
      <c r="W94" s="192"/>
      <c r="AL94" s="141"/>
    </row>
    <row r="95" spans="1:38" ht="12.75" customHeight="1">
      <c r="A95" s="80"/>
      <c r="B95" s="43">
        <v>30</v>
      </c>
      <c r="C95" s="191"/>
      <c r="D95" s="192"/>
      <c r="S95" s="141"/>
      <c r="T95" s="80"/>
      <c r="U95" s="43">
        <v>30</v>
      </c>
      <c r="V95" s="191"/>
      <c r="W95" s="192"/>
      <c r="AL95" s="141"/>
    </row>
    <row r="96" spans="1:38" ht="12.75" customHeight="1">
      <c r="A96" s="80"/>
      <c r="B96" s="43">
        <v>31</v>
      </c>
      <c r="C96" s="191"/>
      <c r="D96" s="192"/>
      <c r="S96" s="141"/>
      <c r="T96" s="80"/>
      <c r="U96" s="43">
        <v>31</v>
      </c>
      <c r="V96" s="191"/>
      <c r="W96" s="192"/>
      <c r="AL96" s="141"/>
    </row>
    <row r="97" spans="1:38" ht="12.75" customHeight="1">
      <c r="A97" s="80"/>
      <c r="B97" s="43">
        <v>32</v>
      </c>
      <c r="C97" s="191"/>
      <c r="D97" s="192"/>
      <c r="S97" s="141"/>
      <c r="T97" s="80"/>
      <c r="U97" s="43">
        <v>32</v>
      </c>
      <c r="V97" s="191"/>
      <c r="W97" s="192"/>
      <c r="AL97" s="141"/>
    </row>
    <row r="98" spans="1:38" ht="12.75" customHeight="1">
      <c r="A98" s="80"/>
      <c r="B98" s="43">
        <v>33</v>
      </c>
      <c r="C98" s="191"/>
      <c r="D98" s="192"/>
      <c r="S98" s="141"/>
      <c r="T98" s="80"/>
      <c r="U98" s="43">
        <v>33</v>
      </c>
      <c r="V98" s="191"/>
      <c r="W98" s="192"/>
      <c r="AL98" s="141"/>
    </row>
    <row r="99" spans="1:38" ht="12.75" customHeight="1">
      <c r="A99" s="80"/>
      <c r="B99" s="43">
        <v>34</v>
      </c>
      <c r="C99" s="191"/>
      <c r="D99" s="192"/>
      <c r="S99" s="141"/>
      <c r="T99" s="80"/>
      <c r="U99" s="43">
        <v>34</v>
      </c>
      <c r="V99" s="191"/>
      <c r="W99" s="192"/>
      <c r="AL99" s="141"/>
    </row>
    <row r="100" spans="1:38" ht="12.75" customHeight="1">
      <c r="A100" s="80"/>
      <c r="B100" s="43">
        <v>35</v>
      </c>
      <c r="C100" s="191"/>
      <c r="D100" s="192"/>
      <c r="S100" s="141"/>
      <c r="T100" s="80"/>
      <c r="U100" s="43">
        <v>35</v>
      </c>
      <c r="V100" s="191"/>
      <c r="W100" s="192"/>
      <c r="AL100" s="141"/>
    </row>
    <row r="101" spans="1:38" ht="12.75" customHeight="1">
      <c r="A101" s="80"/>
      <c r="B101" s="43">
        <v>36</v>
      </c>
      <c r="C101" s="191"/>
      <c r="D101" s="192"/>
      <c r="S101" s="141"/>
      <c r="T101" s="80"/>
      <c r="U101" s="43">
        <v>36</v>
      </c>
      <c r="V101" s="191"/>
      <c r="W101" s="192"/>
      <c r="AL101" s="141"/>
    </row>
    <row r="102" spans="1:38" ht="12.75" customHeight="1">
      <c r="A102" s="80"/>
      <c r="B102" s="43">
        <v>37</v>
      </c>
      <c r="C102" s="191"/>
      <c r="D102" s="192"/>
      <c r="S102" s="141"/>
      <c r="T102" s="80"/>
      <c r="U102" s="43">
        <v>37</v>
      </c>
      <c r="V102" s="191"/>
      <c r="W102" s="192"/>
      <c r="AL102" s="141"/>
    </row>
    <row r="103" spans="1:38" ht="12.75" customHeight="1">
      <c r="A103" s="80"/>
      <c r="B103" s="43">
        <v>38</v>
      </c>
      <c r="C103" s="191"/>
      <c r="D103" s="192"/>
      <c r="S103" s="141"/>
      <c r="T103" s="80"/>
      <c r="U103" s="43">
        <v>38</v>
      </c>
      <c r="V103" s="191"/>
      <c r="W103" s="192"/>
      <c r="AL103" s="141"/>
    </row>
    <row r="104" spans="1:38" ht="12.75" customHeight="1">
      <c r="A104" s="80"/>
      <c r="B104" s="43">
        <v>39</v>
      </c>
      <c r="C104" s="191"/>
      <c r="D104" s="192"/>
      <c r="S104" s="141"/>
      <c r="T104" s="80"/>
      <c r="U104" s="43">
        <v>39</v>
      </c>
      <c r="V104" s="191"/>
      <c r="W104" s="192"/>
      <c r="AL104" s="141"/>
    </row>
    <row r="105" spans="1:38" ht="12.75" customHeight="1">
      <c r="A105" s="80"/>
      <c r="B105" s="43">
        <v>40</v>
      </c>
      <c r="C105" s="191"/>
      <c r="D105" s="192"/>
      <c r="S105" s="141"/>
      <c r="T105" s="80"/>
      <c r="U105" s="43">
        <v>40</v>
      </c>
      <c r="V105" s="191"/>
      <c r="W105" s="192"/>
      <c r="AL105" s="141"/>
    </row>
    <row r="106" spans="1:38" ht="12.75" customHeight="1">
      <c r="A106" s="80"/>
      <c r="B106" s="43">
        <v>41</v>
      </c>
      <c r="C106" s="191"/>
      <c r="D106" s="192"/>
      <c r="S106" s="141"/>
      <c r="T106" s="80"/>
      <c r="U106" s="43">
        <v>41</v>
      </c>
      <c r="V106" s="191"/>
      <c r="W106" s="192"/>
      <c r="AL106" s="141"/>
    </row>
    <row r="107" spans="1:38" ht="12.75" customHeight="1">
      <c r="A107" s="80"/>
      <c r="B107" s="43">
        <v>42</v>
      </c>
      <c r="C107" s="191"/>
      <c r="D107" s="192"/>
      <c r="S107" s="141"/>
      <c r="T107" s="80"/>
      <c r="U107" s="43">
        <v>42</v>
      </c>
      <c r="V107" s="191"/>
      <c r="W107" s="192"/>
      <c r="AL107" s="141"/>
    </row>
    <row r="108" spans="1:38" ht="12.75" customHeight="1">
      <c r="A108" s="80"/>
      <c r="B108" s="43">
        <v>43</v>
      </c>
      <c r="C108" s="191"/>
      <c r="D108" s="192"/>
      <c r="S108" s="141"/>
      <c r="T108" s="80"/>
      <c r="U108" s="43">
        <v>43</v>
      </c>
      <c r="V108" s="191"/>
      <c r="W108" s="192"/>
      <c r="AL108" s="141"/>
    </row>
    <row r="109" spans="1:38" ht="12.75" customHeight="1">
      <c r="A109" s="80"/>
      <c r="B109" s="43">
        <v>44</v>
      </c>
      <c r="C109" s="191"/>
      <c r="D109" s="192"/>
      <c r="S109" s="141"/>
      <c r="T109" s="80"/>
      <c r="U109" s="43">
        <v>44</v>
      </c>
      <c r="V109" s="191"/>
      <c r="W109" s="192"/>
      <c r="AL109" s="141"/>
    </row>
    <row r="110" spans="1:38" ht="12.75" customHeight="1">
      <c r="A110" s="80"/>
      <c r="B110" s="43">
        <v>45</v>
      </c>
      <c r="C110" s="191"/>
      <c r="D110" s="192"/>
      <c r="S110" s="141"/>
      <c r="T110" s="80"/>
      <c r="U110" s="43">
        <v>45</v>
      </c>
      <c r="V110" s="191"/>
      <c r="W110" s="192"/>
      <c r="AL110" s="141"/>
    </row>
    <row r="111" spans="1:38" ht="12.75" customHeight="1">
      <c r="A111" s="80"/>
      <c r="B111" s="43">
        <v>46</v>
      </c>
      <c r="C111" s="191"/>
      <c r="D111" s="192"/>
      <c r="S111" s="141"/>
      <c r="T111" s="80"/>
      <c r="U111" s="43">
        <v>46</v>
      </c>
      <c r="V111" s="191"/>
      <c r="W111" s="192"/>
      <c r="AL111" s="141"/>
    </row>
    <row r="112" spans="1:38" ht="12.75" customHeight="1">
      <c r="A112" s="80"/>
      <c r="B112" s="43">
        <v>47</v>
      </c>
      <c r="C112" s="191"/>
      <c r="D112" s="192"/>
      <c r="S112" s="141"/>
      <c r="T112" s="80"/>
      <c r="U112" s="43">
        <v>47</v>
      </c>
      <c r="V112" s="191"/>
      <c r="W112" s="192"/>
      <c r="AL112" s="141"/>
    </row>
    <row r="113" spans="1:38" ht="12.75" customHeight="1">
      <c r="A113" s="80"/>
      <c r="B113" s="43">
        <v>48</v>
      </c>
      <c r="C113" s="191"/>
      <c r="D113" s="192"/>
      <c r="S113" s="141"/>
      <c r="T113" s="80"/>
      <c r="U113" s="43">
        <v>48</v>
      </c>
      <c r="V113" s="191"/>
      <c r="W113" s="192"/>
      <c r="AL113" s="141"/>
    </row>
    <row r="114" spans="1:38" ht="12.75" customHeight="1">
      <c r="A114" s="80"/>
      <c r="B114" s="43">
        <v>49</v>
      </c>
      <c r="C114" s="191"/>
      <c r="D114" s="192"/>
      <c r="S114" s="141"/>
      <c r="T114" s="80"/>
      <c r="U114" s="43">
        <v>49</v>
      </c>
      <c r="V114" s="191"/>
      <c r="W114" s="192"/>
      <c r="AL114" s="141"/>
    </row>
    <row r="115" spans="1:38" ht="12.75" customHeight="1">
      <c r="A115" s="80"/>
      <c r="B115" s="43">
        <v>50</v>
      </c>
      <c r="C115" s="191"/>
      <c r="D115" s="192"/>
      <c r="S115" s="141"/>
      <c r="T115" s="80"/>
      <c r="U115" s="43">
        <v>50</v>
      </c>
      <c r="V115" s="191"/>
      <c r="W115" s="192"/>
      <c r="AL115" s="141"/>
    </row>
    <row r="116" spans="1:38" ht="12.75" customHeight="1">
      <c r="A116" s="80"/>
      <c r="B116" s="43">
        <v>51</v>
      </c>
      <c r="C116" s="191"/>
      <c r="D116" s="192"/>
      <c r="S116" s="141"/>
      <c r="T116" s="80"/>
      <c r="U116" s="43">
        <v>51</v>
      </c>
      <c r="V116" s="191"/>
      <c r="W116" s="192"/>
      <c r="AL116" s="141"/>
    </row>
    <row r="117" spans="1:38" ht="12.75" customHeight="1">
      <c r="A117" s="80"/>
      <c r="B117" s="43">
        <v>52</v>
      </c>
      <c r="C117" s="191"/>
      <c r="D117" s="192"/>
      <c r="S117" s="141"/>
      <c r="T117" s="80"/>
      <c r="U117" s="43">
        <v>52</v>
      </c>
      <c r="V117" s="191"/>
      <c r="W117" s="192"/>
      <c r="AL117" s="141"/>
    </row>
    <row r="118" spans="1:38" ht="12.75" customHeight="1">
      <c r="A118" s="80"/>
      <c r="B118" s="43">
        <v>53</v>
      </c>
      <c r="C118" s="191"/>
      <c r="D118" s="192"/>
      <c r="S118" s="141"/>
      <c r="T118" s="80"/>
      <c r="U118" s="43">
        <v>53</v>
      </c>
      <c r="V118" s="191"/>
      <c r="W118" s="192"/>
      <c r="AL118" s="141"/>
    </row>
    <row r="119" spans="1:38" ht="12.75" customHeight="1">
      <c r="A119" s="80"/>
      <c r="B119" s="43">
        <v>54</v>
      </c>
      <c r="C119" s="191"/>
      <c r="D119" s="192"/>
      <c r="S119" s="141"/>
      <c r="T119" s="80"/>
      <c r="U119" s="43">
        <v>54</v>
      </c>
      <c r="V119" s="191"/>
      <c r="W119" s="192"/>
      <c r="AL119" s="141"/>
    </row>
    <row r="120" spans="1:38" ht="12.75" customHeight="1">
      <c r="A120" s="80"/>
      <c r="B120" s="43">
        <v>55</v>
      </c>
      <c r="C120" s="191"/>
      <c r="D120" s="192"/>
      <c r="S120" s="141"/>
      <c r="T120" s="80"/>
      <c r="U120" s="43">
        <v>55</v>
      </c>
      <c r="V120" s="191"/>
      <c r="W120" s="192"/>
      <c r="AL120" s="141"/>
    </row>
    <row r="121" spans="1:38" ht="12.75" customHeight="1">
      <c r="A121" s="80"/>
      <c r="B121" s="43">
        <v>56</v>
      </c>
      <c r="C121" s="191"/>
      <c r="D121" s="192"/>
      <c r="S121" s="141"/>
      <c r="T121" s="80"/>
      <c r="U121" s="43">
        <v>56</v>
      </c>
      <c r="V121" s="191"/>
      <c r="W121" s="192"/>
      <c r="AL121" s="141"/>
    </row>
    <row r="122" spans="1:38" ht="12.75" customHeight="1">
      <c r="A122" s="80"/>
      <c r="B122" s="43">
        <v>57</v>
      </c>
      <c r="C122" s="191"/>
      <c r="D122" s="192"/>
      <c r="S122" s="141"/>
      <c r="T122" s="80"/>
      <c r="U122" s="43">
        <v>57</v>
      </c>
      <c r="V122" s="191"/>
      <c r="W122" s="192"/>
      <c r="AL122" s="141"/>
    </row>
    <row r="123" spans="1:38" ht="12.75" customHeight="1">
      <c r="A123" s="80"/>
      <c r="B123" s="43">
        <v>58</v>
      </c>
      <c r="C123" s="191"/>
      <c r="D123" s="192"/>
      <c r="S123" s="141"/>
      <c r="T123" s="80"/>
      <c r="U123" s="43">
        <v>58</v>
      </c>
      <c r="V123" s="191"/>
      <c r="W123" s="192"/>
      <c r="AL123" s="141"/>
    </row>
    <row r="124" spans="1:38" ht="12.75" customHeight="1">
      <c r="A124" s="80"/>
      <c r="B124" s="43">
        <v>59</v>
      </c>
      <c r="C124" s="191"/>
      <c r="D124" s="192"/>
      <c r="S124" s="141"/>
      <c r="T124" s="80"/>
      <c r="U124" s="43">
        <v>59</v>
      </c>
      <c r="V124" s="191"/>
      <c r="W124" s="192"/>
      <c r="AL124" s="141"/>
    </row>
    <row r="125" spans="1:38" ht="12.75" customHeight="1">
      <c r="A125" s="80"/>
      <c r="B125" s="43">
        <v>60</v>
      </c>
      <c r="C125" s="191"/>
      <c r="D125" s="192"/>
      <c r="S125" s="141"/>
      <c r="T125" s="80"/>
      <c r="U125" s="43">
        <v>60</v>
      </c>
      <c r="V125" s="191"/>
      <c r="W125" s="192"/>
      <c r="AL125" s="141"/>
    </row>
    <row r="126" spans="1:38" ht="12.75" customHeight="1">
      <c r="A126" s="80"/>
      <c r="B126" s="43">
        <v>61</v>
      </c>
      <c r="C126" s="191"/>
      <c r="D126" s="192"/>
      <c r="S126" s="141"/>
      <c r="T126" s="80"/>
      <c r="U126" s="43">
        <v>61</v>
      </c>
      <c r="V126" s="191"/>
      <c r="W126" s="192"/>
      <c r="AL126" s="141"/>
    </row>
    <row r="127" spans="1:38" ht="12.75" customHeight="1">
      <c r="A127" s="80"/>
      <c r="B127" s="43">
        <v>62</v>
      </c>
      <c r="C127" s="191"/>
      <c r="D127" s="192"/>
      <c r="S127" s="141"/>
      <c r="T127" s="80"/>
      <c r="U127" s="43">
        <v>62</v>
      </c>
      <c r="V127" s="191"/>
      <c r="W127" s="192"/>
      <c r="AL127" s="141"/>
    </row>
    <row r="128" spans="1:38" ht="12.75" customHeight="1">
      <c r="A128" s="80"/>
      <c r="B128" s="43">
        <v>63</v>
      </c>
      <c r="C128" s="191"/>
      <c r="D128" s="192"/>
      <c r="S128" s="141"/>
      <c r="T128" s="80"/>
      <c r="U128" s="43">
        <v>63</v>
      </c>
      <c r="V128" s="191"/>
      <c r="W128" s="192"/>
      <c r="AL128" s="141"/>
    </row>
    <row r="129" spans="1:38" ht="12.75" customHeight="1">
      <c r="A129" s="80"/>
      <c r="B129" s="43">
        <v>64</v>
      </c>
      <c r="C129" s="191"/>
      <c r="D129" s="192"/>
      <c r="S129" s="141"/>
      <c r="T129" s="80"/>
      <c r="U129" s="43">
        <v>64</v>
      </c>
      <c r="V129" s="191"/>
      <c r="W129" s="192"/>
      <c r="AL129" s="141"/>
    </row>
    <row r="130" spans="1:38" ht="12.75" customHeight="1">
      <c r="A130" s="80"/>
      <c r="B130" s="43">
        <v>65</v>
      </c>
      <c r="C130" s="191"/>
      <c r="D130" s="192"/>
      <c r="S130" s="141"/>
      <c r="T130" s="80"/>
      <c r="U130" s="43">
        <v>65</v>
      </c>
      <c r="V130" s="191"/>
      <c r="W130" s="192"/>
      <c r="AL130" s="141"/>
    </row>
    <row r="131" spans="1:38" ht="12.75" customHeight="1">
      <c r="A131" s="80"/>
      <c r="B131" s="43">
        <v>66</v>
      </c>
      <c r="C131" s="191"/>
      <c r="D131" s="192"/>
      <c r="S131" s="141"/>
      <c r="T131" s="80"/>
      <c r="U131" s="43">
        <v>66</v>
      </c>
      <c r="V131" s="191"/>
      <c r="W131" s="192"/>
      <c r="AL131" s="141"/>
    </row>
    <row r="132" spans="1:38" ht="12.75" customHeight="1">
      <c r="A132" s="80"/>
      <c r="B132" s="43">
        <v>67</v>
      </c>
      <c r="C132" s="191"/>
      <c r="D132" s="192"/>
      <c r="S132" s="141"/>
      <c r="T132" s="80"/>
      <c r="U132" s="43">
        <v>67</v>
      </c>
      <c r="V132" s="191"/>
      <c r="W132" s="192"/>
      <c r="AL132" s="141"/>
    </row>
    <row r="133" spans="1:38" ht="12.75" customHeight="1">
      <c r="A133" s="80"/>
      <c r="B133" s="43">
        <v>68</v>
      </c>
      <c r="C133" s="191"/>
      <c r="D133" s="192"/>
      <c r="S133" s="141"/>
      <c r="T133" s="80"/>
      <c r="U133" s="43">
        <v>68</v>
      </c>
      <c r="V133" s="191"/>
      <c r="W133" s="192"/>
      <c r="AL133" s="141"/>
    </row>
    <row r="134" spans="1:38" ht="12.75" customHeight="1">
      <c r="A134" s="80"/>
      <c r="B134" s="43">
        <v>69</v>
      </c>
      <c r="C134" s="191"/>
      <c r="D134" s="192"/>
      <c r="S134" s="141"/>
      <c r="T134" s="80"/>
      <c r="U134" s="43">
        <v>69</v>
      </c>
      <c r="V134" s="191"/>
      <c r="W134" s="192"/>
      <c r="AL134" s="141"/>
    </row>
    <row r="135" spans="1:38" ht="12.75" customHeight="1">
      <c r="A135" s="80"/>
      <c r="B135" s="43">
        <v>70</v>
      </c>
      <c r="C135" s="191"/>
      <c r="D135" s="192"/>
      <c r="S135" s="141"/>
      <c r="T135" s="80"/>
      <c r="U135" s="43">
        <v>70</v>
      </c>
      <c r="V135" s="191"/>
      <c r="W135" s="192"/>
      <c r="AL135" s="141"/>
    </row>
    <row r="136" spans="1:38" ht="12.75" customHeight="1">
      <c r="A136" s="80"/>
      <c r="B136" s="43">
        <v>71</v>
      </c>
      <c r="C136" s="191"/>
      <c r="D136" s="192"/>
      <c r="S136" s="141"/>
      <c r="T136" s="80"/>
      <c r="U136" s="43">
        <v>71</v>
      </c>
      <c r="V136" s="191"/>
      <c r="W136" s="192"/>
      <c r="AL136" s="141"/>
    </row>
    <row r="137" spans="1:38" ht="12.75" customHeight="1">
      <c r="A137" s="80"/>
      <c r="B137" s="43">
        <v>72</v>
      </c>
      <c r="C137" s="191"/>
      <c r="D137" s="192"/>
      <c r="S137" s="141"/>
      <c r="T137" s="80"/>
      <c r="U137" s="43">
        <v>72</v>
      </c>
      <c r="V137" s="191"/>
      <c r="W137" s="192"/>
      <c r="AL137" s="141"/>
    </row>
    <row r="138" spans="1:38" ht="12.75" customHeight="1">
      <c r="A138" s="80"/>
      <c r="B138" s="43">
        <v>73</v>
      </c>
      <c r="C138" s="191"/>
      <c r="D138" s="192"/>
      <c r="S138" s="141"/>
      <c r="T138" s="80"/>
      <c r="U138" s="43">
        <v>73</v>
      </c>
      <c r="V138" s="191"/>
      <c r="W138" s="192"/>
      <c r="AL138" s="141"/>
    </row>
    <row r="139" spans="1:38" ht="12.75" customHeight="1">
      <c r="A139" s="80"/>
      <c r="B139" s="43">
        <v>74</v>
      </c>
      <c r="C139" s="191"/>
      <c r="D139" s="192"/>
      <c r="S139" s="141"/>
      <c r="T139" s="80"/>
      <c r="U139" s="43">
        <v>74</v>
      </c>
      <c r="V139" s="191"/>
      <c r="W139" s="192"/>
      <c r="AL139" s="141"/>
    </row>
    <row r="140" spans="1:38" ht="12.75" customHeight="1">
      <c r="A140" s="80"/>
      <c r="B140" s="43">
        <v>75</v>
      </c>
      <c r="C140" s="191"/>
      <c r="D140" s="192"/>
      <c r="S140" s="141"/>
      <c r="T140" s="80"/>
      <c r="U140" s="43">
        <v>75</v>
      </c>
      <c r="V140" s="191"/>
      <c r="W140" s="192"/>
      <c r="AL140" s="141"/>
    </row>
    <row r="141" spans="1:38" ht="12.75" customHeight="1">
      <c r="A141" s="80"/>
      <c r="B141" s="43">
        <v>76</v>
      </c>
      <c r="C141" s="191"/>
      <c r="D141" s="192"/>
      <c r="S141" s="141"/>
      <c r="T141" s="80"/>
      <c r="U141" s="43">
        <v>76</v>
      </c>
      <c r="V141" s="191"/>
      <c r="W141" s="192"/>
      <c r="AL141" s="141"/>
    </row>
    <row r="142" spans="1:38" ht="12.75" customHeight="1">
      <c r="A142" s="80"/>
      <c r="B142" s="43">
        <v>77</v>
      </c>
      <c r="C142" s="191"/>
      <c r="D142" s="192"/>
      <c r="S142" s="141"/>
      <c r="T142" s="80"/>
      <c r="U142" s="43">
        <v>77</v>
      </c>
      <c r="V142" s="191"/>
      <c r="W142" s="192"/>
      <c r="AL142" s="141"/>
    </row>
    <row r="143" spans="1:38" ht="12.75" customHeight="1">
      <c r="A143" s="80"/>
      <c r="B143" s="43">
        <v>78</v>
      </c>
      <c r="C143" s="191"/>
      <c r="D143" s="192"/>
      <c r="S143" s="141"/>
      <c r="T143" s="80"/>
      <c r="U143" s="43">
        <v>78</v>
      </c>
      <c r="V143" s="191"/>
      <c r="W143" s="192"/>
      <c r="AL143" s="141"/>
    </row>
    <row r="144" spans="1:38" ht="12.75" customHeight="1">
      <c r="A144" s="80"/>
      <c r="B144" s="43">
        <v>79</v>
      </c>
      <c r="C144" s="191"/>
      <c r="D144" s="192"/>
      <c r="S144" s="141"/>
      <c r="T144" s="80"/>
      <c r="U144" s="43">
        <v>79</v>
      </c>
      <c r="V144" s="191"/>
      <c r="W144" s="192"/>
      <c r="AL144" s="141"/>
    </row>
    <row r="145" spans="1:38" ht="12.75" customHeight="1">
      <c r="A145" s="80"/>
      <c r="B145" s="43">
        <v>80</v>
      </c>
      <c r="C145" s="191"/>
      <c r="D145" s="192"/>
      <c r="S145" s="141"/>
      <c r="T145" s="80"/>
      <c r="U145" s="43">
        <v>80</v>
      </c>
      <c r="V145" s="191"/>
      <c r="W145" s="192"/>
      <c r="AL145" s="141"/>
    </row>
    <row r="146" spans="1:38" ht="12.75" customHeight="1">
      <c r="A146" s="80"/>
      <c r="B146" s="43">
        <v>81</v>
      </c>
      <c r="C146" s="191"/>
      <c r="D146" s="192"/>
      <c r="S146" s="141"/>
      <c r="T146" s="80"/>
      <c r="U146" s="43">
        <v>81</v>
      </c>
      <c r="V146" s="191"/>
      <c r="W146" s="192"/>
      <c r="AL146" s="141"/>
    </row>
    <row r="147" spans="1:38" ht="12.75" customHeight="1">
      <c r="A147" s="80"/>
      <c r="B147" s="43">
        <v>82</v>
      </c>
      <c r="C147" s="191"/>
      <c r="D147" s="192"/>
      <c r="S147" s="141"/>
      <c r="T147" s="80"/>
      <c r="U147" s="43">
        <v>82</v>
      </c>
      <c r="V147" s="191"/>
      <c r="W147" s="192"/>
      <c r="AL147" s="141"/>
    </row>
    <row r="148" spans="1:38" ht="12.75" customHeight="1">
      <c r="A148" s="80"/>
      <c r="B148" s="43">
        <v>83</v>
      </c>
      <c r="C148" s="191"/>
      <c r="D148" s="192"/>
      <c r="S148" s="141"/>
      <c r="T148" s="80"/>
      <c r="U148" s="43">
        <v>83</v>
      </c>
      <c r="V148" s="191"/>
      <c r="W148" s="192"/>
      <c r="AL148" s="141"/>
    </row>
    <row r="149" spans="1:38" ht="12.75" customHeight="1">
      <c r="A149" s="80"/>
      <c r="B149" s="43">
        <v>84</v>
      </c>
      <c r="C149" s="191"/>
      <c r="D149" s="192"/>
      <c r="S149" s="141"/>
      <c r="T149" s="80"/>
      <c r="U149" s="43">
        <v>84</v>
      </c>
      <c r="V149" s="191"/>
      <c r="W149" s="192"/>
      <c r="AL149" s="141"/>
    </row>
    <row r="150" spans="1:38" ht="12.75" customHeight="1">
      <c r="A150" s="80"/>
      <c r="B150" s="43">
        <v>85</v>
      </c>
      <c r="C150" s="191"/>
      <c r="D150" s="192"/>
      <c r="S150" s="141"/>
      <c r="T150" s="80"/>
      <c r="U150" s="43">
        <v>85</v>
      </c>
      <c r="V150" s="191"/>
      <c r="W150" s="192"/>
      <c r="AL150" s="141"/>
    </row>
    <row r="151" spans="1:38" ht="12.75" customHeight="1">
      <c r="A151" s="80"/>
      <c r="B151" s="43">
        <v>86</v>
      </c>
      <c r="C151" s="191"/>
      <c r="D151" s="192"/>
      <c r="S151" s="141"/>
      <c r="T151" s="80"/>
      <c r="U151" s="43">
        <v>86</v>
      </c>
      <c r="V151" s="191"/>
      <c r="W151" s="192"/>
      <c r="AL151" s="141"/>
    </row>
    <row r="152" spans="1:38" ht="12.75" customHeight="1">
      <c r="A152" s="80"/>
      <c r="B152" s="43">
        <v>87</v>
      </c>
      <c r="C152" s="191"/>
      <c r="D152" s="192"/>
      <c r="S152" s="141"/>
      <c r="T152" s="80"/>
      <c r="U152" s="43">
        <v>87</v>
      </c>
      <c r="V152" s="191"/>
      <c r="W152" s="192"/>
      <c r="AL152" s="141"/>
    </row>
    <row r="153" spans="1:38" ht="12.75" customHeight="1">
      <c r="A153" s="80"/>
      <c r="B153" s="43">
        <v>88</v>
      </c>
      <c r="C153" s="191"/>
      <c r="D153" s="192"/>
      <c r="S153" s="141"/>
      <c r="T153" s="80"/>
      <c r="U153" s="43">
        <v>88</v>
      </c>
      <c r="V153" s="191"/>
      <c r="W153" s="192"/>
      <c r="AL153" s="141"/>
    </row>
    <row r="154" spans="1:38" ht="12.75" customHeight="1">
      <c r="A154" s="80"/>
      <c r="B154" s="43">
        <v>89</v>
      </c>
      <c r="C154" s="191"/>
      <c r="D154" s="192"/>
      <c r="S154" s="141"/>
      <c r="T154" s="80"/>
      <c r="U154" s="43">
        <v>89</v>
      </c>
      <c r="V154" s="191"/>
      <c r="W154" s="192"/>
      <c r="AL154" s="141"/>
    </row>
    <row r="155" spans="1:38" ht="12.75" customHeight="1">
      <c r="A155" s="80"/>
      <c r="B155" s="43">
        <v>90</v>
      </c>
      <c r="C155" s="191"/>
      <c r="D155" s="192"/>
      <c r="S155" s="141"/>
      <c r="T155" s="80"/>
      <c r="U155" s="43">
        <v>90</v>
      </c>
      <c r="V155" s="191"/>
      <c r="W155" s="192"/>
      <c r="AL155" s="141"/>
    </row>
    <row r="156" spans="1:38" ht="12.75" customHeight="1">
      <c r="A156" s="80"/>
      <c r="B156" s="43">
        <v>91</v>
      </c>
      <c r="C156" s="191"/>
      <c r="D156" s="192"/>
      <c r="S156" s="141"/>
      <c r="T156" s="80"/>
      <c r="U156" s="43">
        <v>91</v>
      </c>
      <c r="V156" s="191"/>
      <c r="W156" s="192"/>
      <c r="AL156" s="141"/>
    </row>
    <row r="157" spans="1:38" ht="12.75" customHeight="1">
      <c r="A157" s="80"/>
      <c r="B157" s="43">
        <v>92</v>
      </c>
      <c r="C157" s="191"/>
      <c r="D157" s="192"/>
      <c r="S157" s="141"/>
      <c r="T157" s="80"/>
      <c r="U157" s="43">
        <v>92</v>
      </c>
      <c r="V157" s="191"/>
      <c r="W157" s="192"/>
      <c r="AL157" s="141"/>
    </row>
    <row r="158" spans="1:38" ht="12.75" customHeight="1">
      <c r="A158" s="80"/>
      <c r="B158" s="43">
        <v>93</v>
      </c>
      <c r="C158" s="191"/>
      <c r="D158" s="192"/>
      <c r="S158" s="141"/>
      <c r="T158" s="80"/>
      <c r="U158" s="43">
        <v>93</v>
      </c>
      <c r="V158" s="191"/>
      <c r="W158" s="192"/>
      <c r="AL158" s="141"/>
    </row>
    <row r="159" spans="1:38" ht="12.75" customHeight="1">
      <c r="A159" s="80"/>
      <c r="B159" s="43">
        <v>94</v>
      </c>
      <c r="C159" s="191"/>
      <c r="D159" s="192"/>
      <c r="S159" s="141"/>
      <c r="T159" s="80"/>
      <c r="U159" s="43">
        <v>94</v>
      </c>
      <c r="V159" s="191"/>
      <c r="W159" s="192"/>
      <c r="AL159" s="141"/>
    </row>
    <row r="160" spans="1:38" ht="12.75" customHeight="1">
      <c r="A160" s="80"/>
      <c r="B160" s="43">
        <v>95</v>
      </c>
      <c r="C160" s="191"/>
      <c r="D160" s="192"/>
      <c r="S160" s="141"/>
      <c r="T160" s="80"/>
      <c r="U160" s="43">
        <v>95</v>
      </c>
      <c r="V160" s="191"/>
      <c r="W160" s="192"/>
      <c r="AL160" s="141"/>
    </row>
    <row r="161" spans="1:38" ht="12.75" customHeight="1">
      <c r="A161" s="80"/>
      <c r="B161" s="43">
        <v>96</v>
      </c>
      <c r="C161" s="191"/>
      <c r="D161" s="192"/>
      <c r="S161" s="141"/>
      <c r="T161" s="80"/>
      <c r="U161" s="43">
        <v>96</v>
      </c>
      <c r="V161" s="191"/>
      <c r="W161" s="192"/>
      <c r="AL161" s="141"/>
    </row>
    <row r="162" spans="1:38" ht="12.75" customHeight="1">
      <c r="A162" s="80"/>
      <c r="B162" s="43">
        <v>97</v>
      </c>
      <c r="C162" s="191"/>
      <c r="D162" s="192"/>
      <c r="S162" s="141"/>
      <c r="T162" s="80"/>
      <c r="U162" s="43">
        <v>97</v>
      </c>
      <c r="V162" s="191"/>
      <c r="W162" s="192"/>
      <c r="AL162" s="141"/>
    </row>
    <row r="163" spans="1:38" ht="12.75" customHeight="1">
      <c r="A163" s="80"/>
      <c r="B163" s="43">
        <v>98</v>
      </c>
      <c r="C163" s="191"/>
      <c r="D163" s="192"/>
      <c r="S163" s="141"/>
      <c r="T163" s="80"/>
      <c r="U163" s="43">
        <v>98</v>
      </c>
      <c r="V163" s="191"/>
      <c r="W163" s="192"/>
      <c r="AL163" s="141"/>
    </row>
    <row r="164" spans="1:38" ht="12.75" customHeight="1">
      <c r="A164" s="80"/>
      <c r="B164" s="43">
        <v>99</v>
      </c>
      <c r="C164" s="191"/>
      <c r="D164" s="192"/>
      <c r="S164" s="141"/>
      <c r="T164" s="80"/>
      <c r="U164" s="43">
        <v>99</v>
      </c>
      <c r="V164" s="191"/>
      <c r="W164" s="192"/>
      <c r="AL164" s="141"/>
    </row>
    <row r="165" spans="1:38" ht="12.75" customHeight="1">
      <c r="A165" s="80"/>
      <c r="B165" s="43">
        <v>100</v>
      </c>
      <c r="C165" s="191"/>
      <c r="D165" s="192"/>
      <c r="S165" s="141"/>
      <c r="T165" s="80"/>
      <c r="U165" s="43">
        <v>100</v>
      </c>
      <c r="V165" s="191"/>
      <c r="W165" s="192"/>
      <c r="AL165" s="141"/>
    </row>
    <row r="166" spans="1:38" ht="12.75" customHeight="1">
      <c r="A166" s="80"/>
      <c r="B166" s="43">
        <v>101</v>
      </c>
      <c r="C166" s="191"/>
      <c r="D166" s="192"/>
      <c r="S166" s="141"/>
      <c r="T166" s="80"/>
      <c r="U166" s="43">
        <v>101</v>
      </c>
      <c r="V166" s="191"/>
      <c r="W166" s="192"/>
      <c r="AL166" s="141"/>
    </row>
    <row r="167" spans="1:38" ht="12.75" customHeight="1">
      <c r="A167" s="80"/>
      <c r="B167" s="43">
        <v>102</v>
      </c>
      <c r="C167" s="191"/>
      <c r="D167" s="192"/>
      <c r="S167" s="141"/>
      <c r="T167" s="80"/>
      <c r="U167" s="43">
        <v>102</v>
      </c>
      <c r="V167" s="191"/>
      <c r="W167" s="192"/>
      <c r="AL167" s="141"/>
    </row>
    <row r="168" spans="1:38" ht="12.75" customHeight="1">
      <c r="A168" s="80"/>
      <c r="B168" s="43">
        <v>103</v>
      </c>
      <c r="C168" s="186"/>
      <c r="D168" s="187"/>
      <c r="S168" s="141"/>
      <c r="T168" s="80"/>
      <c r="U168" s="43">
        <v>103</v>
      </c>
      <c r="V168" s="186"/>
      <c r="W168" s="187"/>
      <c r="AL168" s="141"/>
    </row>
    <row r="169" spans="1:38" ht="12.75" customHeight="1">
      <c r="A169" s="80"/>
      <c r="B169" s="43">
        <v>104</v>
      </c>
      <c r="C169" s="186"/>
      <c r="D169" s="187"/>
      <c r="S169" s="141"/>
      <c r="T169" s="80"/>
      <c r="U169" s="43">
        <v>104</v>
      </c>
      <c r="V169" s="186"/>
      <c r="W169" s="187"/>
      <c r="AL169" s="141"/>
    </row>
    <row r="170" spans="1:38" ht="12.75" customHeight="1">
      <c r="A170" s="80"/>
      <c r="B170" s="43">
        <v>105</v>
      </c>
      <c r="C170" s="186"/>
      <c r="D170" s="187"/>
      <c r="S170" s="141"/>
      <c r="T170" s="80"/>
      <c r="U170" s="43">
        <v>105</v>
      </c>
      <c r="V170" s="186"/>
      <c r="W170" s="187"/>
      <c r="AL170" s="141"/>
    </row>
    <row r="171" spans="1:38" ht="12.75" customHeight="1">
      <c r="A171" s="80"/>
      <c r="B171" s="43">
        <v>106</v>
      </c>
      <c r="C171" s="186"/>
      <c r="D171" s="187"/>
      <c r="S171" s="141"/>
      <c r="T171" s="80"/>
      <c r="U171" s="43">
        <v>106</v>
      </c>
      <c r="V171" s="186"/>
      <c r="W171" s="187"/>
      <c r="AL171" s="141"/>
    </row>
    <row r="172" spans="1:38" ht="12.75" customHeight="1">
      <c r="A172" s="80"/>
      <c r="B172" s="43">
        <v>107</v>
      </c>
      <c r="C172" s="186"/>
      <c r="D172" s="187"/>
      <c r="S172" s="141"/>
      <c r="T172" s="80"/>
      <c r="U172" s="43">
        <v>107</v>
      </c>
      <c r="V172" s="186"/>
      <c r="W172" s="187"/>
      <c r="AL172" s="141"/>
    </row>
    <row r="173" spans="1:38" ht="12.75" customHeight="1">
      <c r="A173" s="80"/>
      <c r="B173" s="43">
        <v>108</v>
      </c>
      <c r="C173" s="186"/>
      <c r="D173" s="187"/>
      <c r="S173" s="141"/>
      <c r="T173" s="80"/>
      <c r="U173" s="43">
        <v>108</v>
      </c>
      <c r="V173" s="186"/>
      <c r="W173" s="187"/>
      <c r="AL173" s="141"/>
    </row>
    <row r="174" spans="1:38" ht="12.75" customHeight="1">
      <c r="A174" s="80"/>
      <c r="B174" s="43">
        <v>109</v>
      </c>
      <c r="C174" s="186"/>
      <c r="D174" s="187"/>
      <c r="S174" s="141"/>
      <c r="T174" s="80"/>
      <c r="U174" s="43">
        <v>109</v>
      </c>
      <c r="V174" s="186"/>
      <c r="W174" s="187"/>
      <c r="AL174" s="141"/>
    </row>
    <row r="175" spans="1:38" ht="12.75" customHeight="1">
      <c r="A175" s="80"/>
      <c r="B175" s="43">
        <v>110</v>
      </c>
      <c r="C175" s="186"/>
      <c r="D175" s="187"/>
      <c r="S175" s="141"/>
      <c r="T175" s="80"/>
      <c r="U175" s="43">
        <v>110</v>
      </c>
      <c r="V175" s="186"/>
      <c r="W175" s="187"/>
      <c r="AL175" s="141"/>
    </row>
    <row r="176" spans="1:38" ht="12.75" customHeight="1">
      <c r="A176" s="80"/>
      <c r="B176" s="43">
        <v>111</v>
      </c>
      <c r="C176" s="186"/>
      <c r="D176" s="187"/>
      <c r="S176" s="141"/>
      <c r="T176" s="80"/>
      <c r="U176" s="43">
        <v>111</v>
      </c>
      <c r="V176" s="186"/>
      <c r="W176" s="187"/>
      <c r="AL176" s="141"/>
    </row>
    <row r="177" spans="1:38" ht="12.75" customHeight="1">
      <c r="A177" s="80"/>
      <c r="B177" s="43">
        <v>112</v>
      </c>
      <c r="C177" s="186"/>
      <c r="D177" s="187"/>
      <c r="S177" s="141"/>
      <c r="T177" s="80"/>
      <c r="U177" s="43">
        <v>112</v>
      </c>
      <c r="V177" s="186"/>
      <c r="W177" s="187"/>
      <c r="AL177" s="141"/>
    </row>
    <row r="178" spans="1:38" ht="12.75" customHeight="1">
      <c r="A178" s="80"/>
      <c r="B178" s="43">
        <v>113</v>
      </c>
      <c r="C178" s="186"/>
      <c r="D178" s="187"/>
      <c r="S178" s="141"/>
      <c r="T178" s="80"/>
      <c r="U178" s="43">
        <v>113</v>
      </c>
      <c r="V178" s="186"/>
      <c r="W178" s="187"/>
      <c r="AL178" s="141"/>
    </row>
    <row r="179" spans="1:38" ht="12.75" customHeight="1">
      <c r="A179" s="80"/>
      <c r="B179" s="43">
        <v>114</v>
      </c>
      <c r="C179" s="186"/>
      <c r="D179" s="187"/>
      <c r="S179" s="141"/>
      <c r="T179" s="80"/>
      <c r="U179" s="43">
        <v>114</v>
      </c>
      <c r="V179" s="186"/>
      <c r="W179" s="187"/>
      <c r="AL179" s="141"/>
    </row>
    <row r="180" spans="1:38" ht="12.75" customHeight="1">
      <c r="A180" s="80"/>
      <c r="B180" s="43">
        <v>115</v>
      </c>
      <c r="C180" s="186"/>
      <c r="D180" s="187"/>
      <c r="S180" s="141"/>
      <c r="T180" s="80"/>
      <c r="U180" s="43">
        <v>115</v>
      </c>
      <c r="V180" s="186"/>
      <c r="W180" s="187"/>
      <c r="AL180" s="141"/>
    </row>
    <row r="181" spans="1:38" ht="12.75" customHeight="1">
      <c r="A181" s="80"/>
      <c r="B181" s="43">
        <v>116</v>
      </c>
      <c r="C181" s="186"/>
      <c r="D181" s="187"/>
      <c r="S181" s="141"/>
      <c r="T181" s="80"/>
      <c r="U181" s="43">
        <v>116</v>
      </c>
      <c r="V181" s="186"/>
      <c r="W181" s="187"/>
      <c r="AL181" s="141"/>
    </row>
    <row r="182" spans="1:38" ht="12.75" customHeight="1">
      <c r="A182" s="80"/>
      <c r="B182" s="43">
        <v>117</v>
      </c>
      <c r="C182" s="186"/>
      <c r="D182" s="187"/>
      <c r="S182" s="141"/>
      <c r="T182" s="80"/>
      <c r="U182" s="43">
        <v>117</v>
      </c>
      <c r="V182" s="186"/>
      <c r="W182" s="187"/>
      <c r="AL182" s="141"/>
    </row>
    <row r="183" spans="1:38" ht="12.75" customHeight="1">
      <c r="A183" s="80"/>
      <c r="B183" s="43">
        <v>118</v>
      </c>
      <c r="C183" s="186"/>
      <c r="D183" s="187"/>
      <c r="S183" s="141"/>
      <c r="T183" s="80"/>
      <c r="U183" s="43">
        <v>118</v>
      </c>
      <c r="V183" s="186"/>
      <c r="W183" s="187"/>
      <c r="AL183" s="141"/>
    </row>
    <row r="184" spans="1:38" ht="12.75" customHeight="1">
      <c r="A184" s="80"/>
      <c r="B184" s="43">
        <v>119</v>
      </c>
      <c r="C184" s="186"/>
      <c r="D184" s="187"/>
      <c r="S184" s="141"/>
      <c r="T184" s="80"/>
      <c r="U184" s="43">
        <v>119</v>
      </c>
      <c r="V184" s="186"/>
      <c r="W184" s="187"/>
      <c r="AL184" s="141"/>
    </row>
    <row r="185" spans="1:38" ht="12.75" customHeight="1">
      <c r="A185" s="80"/>
      <c r="B185" s="43">
        <v>120</v>
      </c>
      <c r="C185" s="186"/>
      <c r="D185" s="187"/>
      <c r="S185" s="141"/>
      <c r="T185" s="80"/>
      <c r="U185" s="43">
        <v>120</v>
      </c>
      <c r="V185" s="186"/>
      <c r="W185" s="187"/>
      <c r="AL185" s="141"/>
    </row>
    <row r="186" spans="1:38" ht="12.75" customHeight="1">
      <c r="A186" s="34"/>
      <c r="B186" s="43">
        <v>121</v>
      </c>
      <c r="C186" s="186"/>
      <c r="D186" s="187"/>
      <c r="S186" s="141"/>
      <c r="U186" s="43">
        <v>121</v>
      </c>
      <c r="V186" s="186"/>
      <c r="W186" s="187"/>
      <c r="AL186" s="141"/>
    </row>
    <row r="187" spans="1:38" ht="12.75" customHeight="1">
      <c r="B187" s="43">
        <v>122</v>
      </c>
      <c r="C187" s="186"/>
      <c r="D187" s="187"/>
      <c r="S187" s="141"/>
      <c r="U187" s="43">
        <v>122</v>
      </c>
      <c r="V187" s="186"/>
      <c r="W187" s="187"/>
      <c r="AL187" s="141"/>
    </row>
    <row r="188" spans="1:38" ht="12.75" customHeight="1">
      <c r="B188" s="43">
        <v>123</v>
      </c>
      <c r="C188" s="186"/>
      <c r="D188" s="187"/>
      <c r="S188" s="141"/>
      <c r="U188" s="43">
        <v>123</v>
      </c>
      <c r="V188" s="186"/>
      <c r="W188" s="187"/>
      <c r="AL188" s="141"/>
    </row>
    <row r="189" spans="1:38" ht="12.75" customHeight="1">
      <c r="B189" s="43">
        <v>124</v>
      </c>
      <c r="C189" s="186"/>
      <c r="D189" s="187"/>
      <c r="S189" s="141"/>
      <c r="U189" s="43">
        <v>124</v>
      </c>
      <c r="V189" s="186"/>
      <c r="W189" s="187"/>
      <c r="AL189" s="141"/>
    </row>
    <row r="190" spans="1:38" ht="12.75" customHeight="1">
      <c r="B190" s="43">
        <v>125</v>
      </c>
      <c r="C190" s="186"/>
      <c r="D190" s="187"/>
      <c r="S190" s="141"/>
      <c r="U190" s="43">
        <v>125</v>
      </c>
      <c r="V190" s="186"/>
      <c r="W190" s="187"/>
      <c r="AL190" s="141"/>
    </row>
    <row r="191" spans="1:38" ht="12.75" customHeight="1">
      <c r="B191" s="43">
        <v>126</v>
      </c>
      <c r="C191" s="186"/>
      <c r="D191" s="187"/>
      <c r="S191" s="141"/>
      <c r="U191" s="43">
        <v>126</v>
      </c>
      <c r="V191" s="186"/>
      <c r="W191" s="187"/>
      <c r="AL191" s="141"/>
    </row>
    <row r="192" spans="1:38" ht="12.75" customHeight="1">
      <c r="B192" s="43">
        <v>127</v>
      </c>
      <c r="C192" s="186"/>
      <c r="D192" s="187"/>
      <c r="S192" s="141"/>
      <c r="U192" s="43">
        <v>127</v>
      </c>
      <c r="V192" s="186"/>
      <c r="W192" s="187"/>
      <c r="AL192" s="141"/>
    </row>
    <row r="193" spans="2:38" ht="12.75" customHeight="1">
      <c r="B193" s="43">
        <v>128</v>
      </c>
      <c r="C193" s="186"/>
      <c r="D193" s="187"/>
      <c r="S193" s="141"/>
      <c r="U193" s="43">
        <v>128</v>
      </c>
      <c r="V193" s="186"/>
      <c r="W193" s="187"/>
      <c r="AL193" s="141"/>
    </row>
    <row r="194" spans="2:38" ht="12.75" customHeight="1">
      <c r="B194" s="43">
        <v>129</v>
      </c>
      <c r="C194" s="186"/>
      <c r="D194" s="187"/>
      <c r="S194" s="141"/>
      <c r="U194" s="43">
        <v>129</v>
      </c>
      <c r="V194" s="186"/>
      <c r="W194" s="187"/>
      <c r="AL194" s="141"/>
    </row>
    <row r="195" spans="2:38" ht="12.75" customHeight="1">
      <c r="B195" s="43">
        <v>130</v>
      </c>
      <c r="C195" s="186"/>
      <c r="D195" s="187"/>
      <c r="S195" s="141"/>
      <c r="U195" s="43">
        <v>130</v>
      </c>
      <c r="V195" s="186"/>
      <c r="W195" s="187"/>
      <c r="AL195" s="141"/>
    </row>
    <row r="196" spans="2:38" ht="12.75" customHeight="1">
      <c r="B196" s="43">
        <v>131</v>
      </c>
      <c r="C196" s="186"/>
      <c r="D196" s="187"/>
      <c r="S196" s="141"/>
      <c r="U196" s="43">
        <v>131</v>
      </c>
      <c r="V196" s="186"/>
      <c r="W196" s="187"/>
      <c r="AL196" s="141"/>
    </row>
    <row r="197" spans="2:38" ht="12.75" customHeight="1">
      <c r="B197" s="43">
        <v>132</v>
      </c>
      <c r="C197" s="186"/>
      <c r="D197" s="187"/>
      <c r="S197" s="141"/>
      <c r="U197" s="43">
        <v>132</v>
      </c>
      <c r="V197" s="186"/>
      <c r="W197" s="187"/>
      <c r="AL197" s="141"/>
    </row>
    <row r="198" spans="2:38" ht="12.75" customHeight="1">
      <c r="B198" s="43">
        <v>133</v>
      </c>
      <c r="C198" s="186"/>
      <c r="D198" s="187"/>
      <c r="S198" s="141"/>
      <c r="U198" s="43">
        <v>133</v>
      </c>
      <c r="V198" s="186"/>
      <c r="W198" s="187"/>
      <c r="AL198" s="141"/>
    </row>
    <row r="199" spans="2:38" ht="12.75" customHeight="1">
      <c r="B199" s="43">
        <v>134</v>
      </c>
      <c r="C199" s="186"/>
      <c r="D199" s="187"/>
      <c r="S199" s="141"/>
      <c r="U199" s="43">
        <v>134</v>
      </c>
      <c r="V199" s="186"/>
      <c r="W199" s="187"/>
      <c r="AL199" s="141"/>
    </row>
    <row r="200" spans="2:38" ht="12.75" customHeight="1">
      <c r="B200" s="43">
        <v>135</v>
      </c>
      <c r="C200" s="186"/>
      <c r="D200" s="187"/>
      <c r="S200" s="141"/>
      <c r="U200" s="43">
        <v>135</v>
      </c>
      <c r="V200" s="186"/>
      <c r="W200" s="187"/>
      <c r="AL200" s="141"/>
    </row>
    <row r="201" spans="2:38" ht="12.75" customHeight="1">
      <c r="B201" s="43">
        <v>136</v>
      </c>
      <c r="C201" s="186"/>
      <c r="D201" s="187"/>
      <c r="S201" s="141"/>
      <c r="U201" s="43">
        <v>136</v>
      </c>
      <c r="V201" s="186"/>
      <c r="W201" s="187"/>
      <c r="AL201" s="141"/>
    </row>
    <row r="202" spans="2:38" ht="12.75" customHeight="1">
      <c r="B202" s="43">
        <v>137</v>
      </c>
      <c r="C202" s="186"/>
      <c r="D202" s="187"/>
      <c r="S202" s="141"/>
      <c r="U202" s="43">
        <v>137</v>
      </c>
      <c r="V202" s="186"/>
      <c r="W202" s="187"/>
      <c r="AL202" s="141"/>
    </row>
    <row r="203" spans="2:38" ht="12.75" customHeight="1">
      <c r="B203" s="43">
        <v>138</v>
      </c>
      <c r="C203" s="186"/>
      <c r="D203" s="187"/>
      <c r="S203" s="141"/>
      <c r="U203" s="43">
        <v>138</v>
      </c>
      <c r="V203" s="186"/>
      <c r="W203" s="187"/>
      <c r="AL203" s="141"/>
    </row>
    <row r="204" spans="2:38" ht="12.75" customHeight="1">
      <c r="B204" s="43">
        <v>139</v>
      </c>
      <c r="C204" s="186"/>
      <c r="D204" s="187"/>
      <c r="S204" s="141"/>
      <c r="U204" s="43">
        <v>139</v>
      </c>
      <c r="V204" s="186"/>
      <c r="W204" s="187"/>
      <c r="AL204" s="141"/>
    </row>
    <row r="205" spans="2:38" ht="12.75" customHeight="1">
      <c r="B205" s="43">
        <v>140</v>
      </c>
      <c r="C205" s="186"/>
      <c r="D205" s="187"/>
      <c r="S205" s="141"/>
      <c r="U205" s="43">
        <v>140</v>
      </c>
      <c r="V205" s="186"/>
      <c r="W205" s="187"/>
      <c r="AL205" s="141"/>
    </row>
    <row r="206" spans="2:38" ht="12.75" customHeight="1">
      <c r="B206" s="43">
        <v>141</v>
      </c>
      <c r="C206" s="186"/>
      <c r="D206" s="187"/>
      <c r="S206" s="141"/>
      <c r="U206" s="43">
        <v>141</v>
      </c>
      <c r="V206" s="186"/>
      <c r="W206" s="187"/>
      <c r="AL206" s="141"/>
    </row>
    <row r="207" spans="2:38" ht="12.75" customHeight="1">
      <c r="B207" s="43">
        <v>142</v>
      </c>
      <c r="C207" s="186"/>
      <c r="D207" s="187"/>
      <c r="S207" s="141"/>
      <c r="U207" s="43">
        <v>142</v>
      </c>
      <c r="V207" s="186"/>
      <c r="W207" s="187"/>
      <c r="AL207" s="141"/>
    </row>
    <row r="208" spans="2:38" ht="12.75" customHeight="1">
      <c r="B208" s="43">
        <v>143</v>
      </c>
      <c r="C208" s="186"/>
      <c r="D208" s="187"/>
      <c r="S208" s="141"/>
      <c r="U208" s="43">
        <v>143</v>
      </c>
      <c r="V208" s="186"/>
      <c r="W208" s="187"/>
      <c r="AL208" s="141"/>
    </row>
    <row r="209" spans="2:38" ht="12.75" customHeight="1">
      <c r="B209" s="43">
        <v>144</v>
      </c>
      <c r="C209" s="186"/>
      <c r="D209" s="187"/>
      <c r="S209" s="141"/>
      <c r="U209" s="43">
        <v>144</v>
      </c>
      <c r="V209" s="186"/>
      <c r="W209" s="187"/>
      <c r="AL209" s="141"/>
    </row>
    <row r="210" spans="2:38" ht="12.75" customHeight="1">
      <c r="B210" s="43">
        <v>145</v>
      </c>
      <c r="C210" s="186"/>
      <c r="D210" s="187"/>
      <c r="S210" s="141"/>
      <c r="U210" s="43">
        <v>145</v>
      </c>
      <c r="V210" s="186"/>
      <c r="W210" s="187"/>
      <c r="AL210" s="141"/>
    </row>
    <row r="211" spans="2:38" ht="12.75" customHeight="1">
      <c r="B211" s="43">
        <v>146</v>
      </c>
      <c r="C211" s="186"/>
      <c r="D211" s="187"/>
      <c r="S211" s="141"/>
      <c r="U211" s="43">
        <v>146</v>
      </c>
      <c r="V211" s="186"/>
      <c r="W211" s="187"/>
      <c r="AL211" s="141"/>
    </row>
    <row r="212" spans="2:38" ht="12.75" customHeight="1">
      <c r="B212" s="43">
        <v>147</v>
      </c>
      <c r="C212" s="186"/>
      <c r="D212" s="187"/>
      <c r="S212" s="141"/>
      <c r="U212" s="43">
        <v>147</v>
      </c>
      <c r="V212" s="186"/>
      <c r="W212" s="187"/>
      <c r="AL212" s="141"/>
    </row>
    <row r="213" spans="2:38" ht="12.75" customHeight="1">
      <c r="B213" s="43">
        <v>148</v>
      </c>
      <c r="C213" s="186"/>
      <c r="D213" s="187"/>
      <c r="S213" s="141"/>
      <c r="U213" s="43">
        <v>148</v>
      </c>
      <c r="V213" s="186"/>
      <c r="W213" s="187"/>
      <c r="AL213" s="141"/>
    </row>
    <row r="214" spans="2:38" ht="12.75" customHeight="1">
      <c r="B214" s="43">
        <v>149</v>
      </c>
      <c r="C214" s="186"/>
      <c r="D214" s="187"/>
      <c r="S214" s="141"/>
      <c r="U214" s="43">
        <v>149</v>
      </c>
      <c r="V214" s="186"/>
      <c r="W214" s="187"/>
      <c r="AL214" s="141"/>
    </row>
    <row r="215" spans="2:38" ht="12.75" customHeight="1">
      <c r="B215" s="43">
        <v>150</v>
      </c>
      <c r="C215" s="186"/>
      <c r="D215" s="187"/>
      <c r="S215" s="141"/>
      <c r="U215" s="43">
        <v>150</v>
      </c>
      <c r="V215" s="186"/>
      <c r="W215" s="187"/>
      <c r="AL215" s="141"/>
    </row>
    <row r="216" spans="2:38" ht="12.75" customHeight="1">
      <c r="B216" s="43">
        <v>151</v>
      </c>
      <c r="C216" s="186"/>
      <c r="D216" s="187"/>
      <c r="S216" s="141"/>
      <c r="U216" s="43">
        <v>151</v>
      </c>
      <c r="V216" s="186"/>
      <c r="W216" s="187"/>
      <c r="AL216" s="141"/>
    </row>
    <row r="217" spans="2:38" ht="12.75" customHeight="1">
      <c r="B217" s="43">
        <v>152</v>
      </c>
      <c r="C217" s="186"/>
      <c r="D217" s="187"/>
      <c r="S217" s="141"/>
      <c r="U217" s="43">
        <v>152</v>
      </c>
      <c r="V217" s="186"/>
      <c r="W217" s="187"/>
      <c r="AL217" s="141"/>
    </row>
    <row r="218" spans="2:38" ht="12.75" customHeight="1">
      <c r="B218" s="43">
        <v>153</v>
      </c>
      <c r="C218" s="186"/>
      <c r="D218" s="187"/>
      <c r="S218" s="141"/>
      <c r="U218" s="43">
        <v>153</v>
      </c>
      <c r="V218" s="186"/>
      <c r="W218" s="187"/>
      <c r="AL218" s="141"/>
    </row>
    <row r="219" spans="2:38" ht="12.75" customHeight="1">
      <c r="B219" s="43">
        <v>154</v>
      </c>
      <c r="C219" s="186"/>
      <c r="D219" s="187"/>
      <c r="S219" s="141"/>
      <c r="U219" s="43">
        <v>154</v>
      </c>
      <c r="V219" s="186"/>
      <c r="W219" s="187"/>
      <c r="AL219" s="141"/>
    </row>
    <row r="220" spans="2:38" ht="12.75" customHeight="1">
      <c r="B220" s="43">
        <v>155</v>
      </c>
      <c r="C220" s="186"/>
      <c r="D220" s="187"/>
      <c r="S220" s="141"/>
      <c r="U220" s="43">
        <v>155</v>
      </c>
      <c r="V220" s="186"/>
      <c r="W220" s="187"/>
      <c r="AL220" s="141"/>
    </row>
    <row r="221" spans="2:38" ht="12.75" customHeight="1">
      <c r="B221" s="43">
        <v>156</v>
      </c>
      <c r="C221" s="186"/>
      <c r="D221" s="187"/>
      <c r="S221" s="141"/>
      <c r="U221" s="43">
        <v>156</v>
      </c>
      <c r="V221" s="186"/>
      <c r="W221" s="187"/>
      <c r="AL221" s="141"/>
    </row>
    <row r="222" spans="2:38" ht="12.75" customHeight="1">
      <c r="B222" s="43">
        <v>157</v>
      </c>
      <c r="C222" s="186"/>
      <c r="D222" s="187"/>
      <c r="S222" s="141"/>
      <c r="U222" s="43">
        <v>157</v>
      </c>
      <c r="V222" s="186"/>
      <c r="W222" s="187"/>
      <c r="AL222" s="141"/>
    </row>
    <row r="223" spans="2:38" ht="12.75" customHeight="1">
      <c r="B223" s="43">
        <v>158</v>
      </c>
      <c r="C223" s="186"/>
      <c r="D223" s="187"/>
      <c r="S223" s="141"/>
      <c r="U223" s="43">
        <v>158</v>
      </c>
      <c r="V223" s="186"/>
      <c r="W223" s="187"/>
      <c r="AL223" s="141"/>
    </row>
    <row r="224" spans="2:38" ht="12.75" customHeight="1">
      <c r="B224" s="43">
        <v>159</v>
      </c>
      <c r="C224" s="186"/>
      <c r="D224" s="187"/>
      <c r="S224" s="141"/>
      <c r="U224" s="43">
        <v>159</v>
      </c>
      <c r="V224" s="186"/>
      <c r="W224" s="187"/>
      <c r="AL224" s="141"/>
    </row>
    <row r="225" spans="2:38" ht="12.75" customHeight="1">
      <c r="B225" s="43">
        <v>160</v>
      </c>
      <c r="C225" s="186"/>
      <c r="D225" s="187"/>
      <c r="S225" s="141"/>
      <c r="U225" s="43">
        <v>160</v>
      </c>
      <c r="V225" s="186"/>
      <c r="W225" s="187"/>
      <c r="AL225" s="141"/>
    </row>
    <row r="226" spans="2:38" ht="12.75" customHeight="1">
      <c r="B226" s="43">
        <v>161</v>
      </c>
      <c r="C226" s="186"/>
      <c r="D226" s="187"/>
      <c r="S226" s="141"/>
      <c r="U226" s="43">
        <v>161</v>
      </c>
      <c r="V226" s="186"/>
      <c r="W226" s="187"/>
      <c r="AL226" s="141"/>
    </row>
    <row r="227" spans="2:38" ht="12.75" customHeight="1">
      <c r="B227" s="43">
        <v>162</v>
      </c>
      <c r="C227" s="186"/>
      <c r="D227" s="187"/>
      <c r="S227" s="141"/>
      <c r="U227" s="43">
        <v>162</v>
      </c>
      <c r="V227" s="186"/>
      <c r="W227" s="187"/>
      <c r="AL227" s="141"/>
    </row>
    <row r="228" spans="2:38" ht="12.75" customHeight="1">
      <c r="B228" s="43">
        <v>163</v>
      </c>
      <c r="C228" s="186"/>
      <c r="D228" s="187"/>
      <c r="S228" s="141"/>
      <c r="U228" s="43">
        <v>163</v>
      </c>
      <c r="V228" s="186"/>
      <c r="W228" s="187"/>
      <c r="AL228" s="141"/>
    </row>
    <row r="229" spans="2:38" ht="12.75" customHeight="1">
      <c r="B229" s="43">
        <v>164</v>
      </c>
      <c r="C229" s="186"/>
      <c r="D229" s="187"/>
      <c r="S229" s="141"/>
      <c r="U229" s="43">
        <v>164</v>
      </c>
      <c r="V229" s="186"/>
      <c r="W229" s="187"/>
      <c r="AL229" s="141"/>
    </row>
    <row r="230" spans="2:38" ht="12.75" customHeight="1">
      <c r="B230" s="43">
        <v>165</v>
      </c>
      <c r="C230" s="186"/>
      <c r="D230" s="187"/>
      <c r="S230" s="141"/>
      <c r="U230" s="43">
        <v>165</v>
      </c>
      <c r="V230" s="186"/>
      <c r="W230" s="187"/>
      <c r="AL230" s="141"/>
    </row>
    <row r="231" spans="2:38" ht="12.75" customHeight="1">
      <c r="B231" s="43">
        <v>166</v>
      </c>
      <c r="C231" s="186"/>
      <c r="D231" s="187"/>
      <c r="S231" s="141"/>
      <c r="U231" s="43">
        <v>166</v>
      </c>
      <c r="V231" s="186"/>
      <c r="W231" s="187"/>
      <c r="AL231" s="141"/>
    </row>
    <row r="232" spans="2:38" ht="12.75" customHeight="1">
      <c r="B232" s="43">
        <v>167</v>
      </c>
      <c r="C232" s="186"/>
      <c r="D232" s="187"/>
      <c r="S232" s="141"/>
      <c r="U232" s="43">
        <v>167</v>
      </c>
      <c r="V232" s="186"/>
      <c r="W232" s="187"/>
      <c r="AL232" s="141"/>
    </row>
    <row r="233" spans="2:38" ht="12.75" customHeight="1">
      <c r="B233" s="43">
        <v>168</v>
      </c>
      <c r="C233" s="186"/>
      <c r="D233" s="187"/>
      <c r="S233" s="141"/>
      <c r="U233" s="43">
        <v>168</v>
      </c>
      <c r="V233" s="186"/>
      <c r="W233" s="187"/>
      <c r="AL233" s="141"/>
    </row>
    <row r="234" spans="2:38" ht="12.75" customHeight="1">
      <c r="B234" s="43">
        <v>169</v>
      </c>
      <c r="C234" s="186"/>
      <c r="D234" s="187"/>
      <c r="S234" s="141"/>
      <c r="U234" s="43">
        <v>169</v>
      </c>
      <c r="V234" s="186"/>
      <c r="W234" s="187"/>
      <c r="AL234" s="141"/>
    </row>
    <row r="235" spans="2:38" ht="12.75" customHeight="1">
      <c r="B235" s="43">
        <v>170</v>
      </c>
      <c r="C235" s="186"/>
      <c r="D235" s="187"/>
      <c r="S235" s="141"/>
      <c r="U235" s="43">
        <v>170</v>
      </c>
      <c r="V235" s="186"/>
      <c r="W235" s="187"/>
      <c r="AL235" s="141"/>
    </row>
    <row r="236" spans="2:38" ht="12.75" customHeight="1">
      <c r="B236" s="43">
        <v>171</v>
      </c>
      <c r="C236" s="186"/>
      <c r="D236" s="187"/>
      <c r="S236" s="141"/>
      <c r="U236" s="43">
        <v>171</v>
      </c>
      <c r="V236" s="186"/>
      <c r="W236" s="187"/>
      <c r="AL236" s="141"/>
    </row>
    <row r="237" spans="2:38" ht="12.75" customHeight="1">
      <c r="B237" s="43">
        <v>172</v>
      </c>
      <c r="C237" s="186"/>
      <c r="D237" s="187"/>
      <c r="S237" s="141"/>
      <c r="U237" s="43">
        <v>172</v>
      </c>
      <c r="V237" s="186"/>
      <c r="W237" s="187"/>
      <c r="AL237" s="141"/>
    </row>
    <row r="238" spans="2:38" ht="12.75" customHeight="1">
      <c r="B238" s="43">
        <v>173</v>
      </c>
      <c r="C238" s="186"/>
      <c r="D238" s="187"/>
      <c r="S238" s="141"/>
      <c r="U238" s="43">
        <v>173</v>
      </c>
      <c r="V238" s="186"/>
      <c r="W238" s="187"/>
      <c r="AL238" s="141"/>
    </row>
    <row r="239" spans="2:38" ht="12.75" customHeight="1">
      <c r="B239" s="43">
        <v>174</v>
      </c>
      <c r="C239" s="186"/>
      <c r="D239" s="187"/>
      <c r="S239" s="141"/>
      <c r="U239" s="43">
        <v>174</v>
      </c>
      <c r="V239" s="186"/>
      <c r="W239" s="187"/>
      <c r="AL239" s="141"/>
    </row>
    <row r="240" spans="2:38" ht="12.75" customHeight="1">
      <c r="B240" s="43">
        <v>175</v>
      </c>
      <c r="C240" s="186"/>
      <c r="D240" s="187"/>
      <c r="S240" s="141"/>
      <c r="U240" s="43">
        <v>175</v>
      </c>
      <c r="V240" s="186"/>
      <c r="W240" s="187"/>
      <c r="AL240" s="141"/>
    </row>
    <row r="241" spans="2:38" ht="12.75" customHeight="1">
      <c r="B241" s="43">
        <v>176</v>
      </c>
      <c r="C241" s="186"/>
      <c r="D241" s="187"/>
      <c r="S241" s="141"/>
      <c r="U241" s="43">
        <v>176</v>
      </c>
      <c r="V241" s="186"/>
      <c r="W241" s="187"/>
      <c r="AL241" s="141"/>
    </row>
    <row r="242" spans="2:38" ht="12.75" customHeight="1">
      <c r="B242" s="43">
        <v>177</v>
      </c>
      <c r="C242" s="186"/>
      <c r="D242" s="187"/>
      <c r="S242" s="141"/>
      <c r="U242" s="43">
        <v>177</v>
      </c>
      <c r="V242" s="186"/>
      <c r="W242" s="187"/>
      <c r="AL242" s="141"/>
    </row>
    <row r="243" spans="2:38" ht="12.75" customHeight="1">
      <c r="B243" s="43">
        <v>178</v>
      </c>
      <c r="C243" s="186"/>
      <c r="D243" s="187"/>
      <c r="S243" s="141"/>
      <c r="U243" s="43">
        <v>178</v>
      </c>
      <c r="V243" s="186"/>
      <c r="W243" s="187"/>
      <c r="AL243" s="141"/>
    </row>
    <row r="244" spans="2:38" ht="12.75" customHeight="1">
      <c r="B244" s="43">
        <v>179</v>
      </c>
      <c r="C244" s="186"/>
      <c r="D244" s="187"/>
      <c r="S244" s="141"/>
      <c r="U244" s="43">
        <v>179</v>
      </c>
      <c r="V244" s="186"/>
      <c r="W244" s="187"/>
      <c r="AL244" s="141"/>
    </row>
    <row r="245" spans="2:38" ht="12.75" customHeight="1">
      <c r="B245" s="43">
        <v>180</v>
      </c>
      <c r="C245" s="186"/>
      <c r="D245" s="187"/>
      <c r="S245" s="141"/>
      <c r="U245" s="43">
        <v>180</v>
      </c>
      <c r="V245" s="186"/>
      <c r="W245" s="187"/>
      <c r="AL245" s="141"/>
    </row>
    <row r="246" spans="2:38" ht="12.75" customHeight="1">
      <c r="B246" s="43">
        <v>181</v>
      </c>
      <c r="C246" s="186"/>
      <c r="D246" s="187"/>
      <c r="S246" s="141"/>
      <c r="U246" s="43">
        <v>181</v>
      </c>
      <c r="V246" s="186"/>
      <c r="W246" s="187"/>
      <c r="AL246" s="141"/>
    </row>
    <row r="247" spans="2:38" ht="12.75" customHeight="1">
      <c r="B247" s="43">
        <v>182</v>
      </c>
      <c r="C247" s="186"/>
      <c r="D247" s="187"/>
      <c r="S247" s="141"/>
      <c r="U247" s="43">
        <v>182</v>
      </c>
      <c r="V247" s="186"/>
      <c r="W247" s="187"/>
      <c r="AL247" s="141"/>
    </row>
    <row r="248" spans="2:38" ht="12.75" customHeight="1">
      <c r="B248" s="43">
        <v>183</v>
      </c>
      <c r="C248" s="186"/>
      <c r="D248" s="187"/>
      <c r="S248" s="141"/>
      <c r="U248" s="43">
        <v>183</v>
      </c>
      <c r="V248" s="186"/>
      <c r="W248" s="187"/>
      <c r="AL248" s="141"/>
    </row>
    <row r="249" spans="2:38" ht="12.75" customHeight="1">
      <c r="B249" s="43">
        <v>184</v>
      </c>
      <c r="C249" s="186"/>
      <c r="D249" s="187"/>
      <c r="S249" s="141"/>
      <c r="U249" s="43">
        <v>184</v>
      </c>
      <c r="V249" s="186"/>
      <c r="W249" s="187"/>
      <c r="AL249" s="141"/>
    </row>
    <row r="250" spans="2:38" ht="12.75" customHeight="1">
      <c r="B250" s="43">
        <v>185</v>
      </c>
      <c r="C250" s="186"/>
      <c r="D250" s="187"/>
      <c r="S250" s="141"/>
      <c r="U250" s="43">
        <v>185</v>
      </c>
      <c r="V250" s="186"/>
      <c r="W250" s="187"/>
      <c r="AL250" s="141"/>
    </row>
    <row r="251" spans="2:38" ht="12.75" customHeight="1">
      <c r="B251" s="43">
        <v>186</v>
      </c>
      <c r="C251" s="186"/>
      <c r="D251" s="187"/>
      <c r="S251" s="141"/>
      <c r="U251" s="43">
        <v>186</v>
      </c>
      <c r="V251" s="186"/>
      <c r="W251" s="187"/>
      <c r="AL251" s="141"/>
    </row>
    <row r="252" spans="2:38" ht="12.75" customHeight="1">
      <c r="B252" s="43">
        <v>187</v>
      </c>
      <c r="C252" s="186"/>
      <c r="D252" s="187"/>
      <c r="S252" s="141"/>
      <c r="U252" s="43">
        <v>187</v>
      </c>
      <c r="V252" s="186"/>
      <c r="W252" s="187"/>
      <c r="AL252" s="141"/>
    </row>
    <row r="253" spans="2:38" ht="12.75" customHeight="1">
      <c r="B253" s="43">
        <v>188</v>
      </c>
      <c r="C253" s="186"/>
      <c r="D253" s="187"/>
      <c r="S253" s="141"/>
      <c r="U253" s="43">
        <v>188</v>
      </c>
      <c r="V253" s="186"/>
      <c r="W253" s="187"/>
      <c r="AL253" s="141"/>
    </row>
    <row r="254" spans="2:38" ht="12.75" customHeight="1">
      <c r="B254" s="43">
        <v>189</v>
      </c>
      <c r="C254" s="186"/>
      <c r="D254" s="187"/>
      <c r="S254" s="141"/>
      <c r="U254" s="43">
        <v>189</v>
      </c>
      <c r="V254" s="186"/>
      <c r="W254" s="187"/>
      <c r="AL254" s="141"/>
    </row>
    <row r="255" spans="2:38" ht="12.75" customHeight="1">
      <c r="B255" s="43">
        <v>190</v>
      </c>
      <c r="C255" s="186"/>
      <c r="D255" s="187"/>
      <c r="S255" s="141"/>
      <c r="U255" s="43">
        <v>190</v>
      </c>
      <c r="V255" s="186"/>
      <c r="W255" s="187"/>
      <c r="AL255" s="141"/>
    </row>
    <row r="256" spans="2:38" ht="12.75" customHeight="1">
      <c r="B256" s="43">
        <v>191</v>
      </c>
      <c r="C256" s="186"/>
      <c r="D256" s="187"/>
      <c r="S256" s="141"/>
      <c r="U256" s="43">
        <v>191</v>
      </c>
      <c r="V256" s="186"/>
      <c r="W256" s="187"/>
      <c r="AL256" s="141"/>
    </row>
    <row r="257" spans="2:38" ht="12.75" customHeight="1">
      <c r="B257" s="43">
        <v>192</v>
      </c>
      <c r="C257" s="186"/>
      <c r="D257" s="187"/>
      <c r="S257" s="141"/>
      <c r="U257" s="43">
        <v>192</v>
      </c>
      <c r="V257" s="186"/>
      <c r="W257" s="187"/>
      <c r="AL257" s="141"/>
    </row>
    <row r="258" spans="2:38" ht="12.75" customHeight="1">
      <c r="B258" s="43">
        <v>193</v>
      </c>
      <c r="C258" s="186"/>
      <c r="D258" s="187"/>
      <c r="S258" s="141"/>
      <c r="U258" s="43">
        <v>193</v>
      </c>
      <c r="V258" s="186"/>
      <c r="W258" s="187"/>
      <c r="AL258" s="141"/>
    </row>
    <row r="259" spans="2:38" ht="12.75" customHeight="1">
      <c r="B259" s="43">
        <v>194</v>
      </c>
      <c r="C259" s="186"/>
      <c r="D259" s="187"/>
      <c r="S259" s="141"/>
      <c r="U259" s="43">
        <v>194</v>
      </c>
      <c r="V259" s="186"/>
      <c r="W259" s="187"/>
      <c r="AL259" s="141"/>
    </row>
    <row r="260" spans="2:38" ht="12.75" customHeight="1">
      <c r="B260" s="43">
        <v>195</v>
      </c>
      <c r="C260" s="186"/>
      <c r="D260" s="187"/>
      <c r="S260" s="141"/>
      <c r="U260" s="43">
        <v>195</v>
      </c>
      <c r="V260" s="186"/>
      <c r="W260" s="187"/>
      <c r="AL260" s="141"/>
    </row>
    <row r="261" spans="2:38" ht="12.75" customHeight="1">
      <c r="B261" s="43">
        <v>196</v>
      </c>
      <c r="C261" s="186"/>
      <c r="D261" s="187"/>
      <c r="S261" s="141"/>
      <c r="U261" s="43">
        <v>196</v>
      </c>
      <c r="V261" s="186"/>
      <c r="W261" s="187"/>
      <c r="AL261" s="141"/>
    </row>
    <row r="262" spans="2:38" ht="12.75" customHeight="1">
      <c r="B262" s="43">
        <v>197</v>
      </c>
      <c r="C262" s="186"/>
      <c r="D262" s="187"/>
      <c r="S262" s="141"/>
      <c r="U262" s="43">
        <v>197</v>
      </c>
      <c r="V262" s="186"/>
      <c r="W262" s="187"/>
      <c r="AL262" s="141"/>
    </row>
    <row r="263" spans="2:38" ht="12.75" customHeight="1">
      <c r="B263" s="43">
        <v>198</v>
      </c>
      <c r="C263" s="186"/>
      <c r="D263" s="187"/>
      <c r="S263" s="141"/>
      <c r="U263" s="43">
        <v>198</v>
      </c>
      <c r="V263" s="186"/>
      <c r="W263" s="187"/>
      <c r="AL263" s="141"/>
    </row>
    <row r="264" spans="2:38" ht="12.75" customHeight="1">
      <c r="B264" s="43">
        <v>199</v>
      </c>
      <c r="C264" s="186"/>
      <c r="D264" s="187"/>
      <c r="S264" s="141"/>
      <c r="U264" s="43">
        <v>199</v>
      </c>
      <c r="V264" s="186"/>
      <c r="W264" s="187"/>
      <c r="AL264" s="141"/>
    </row>
    <row r="265" spans="2:38" ht="12.75" customHeight="1">
      <c r="B265" s="43">
        <v>200</v>
      </c>
      <c r="C265" s="186"/>
      <c r="D265" s="187"/>
      <c r="S265" s="141"/>
      <c r="U265" s="43">
        <v>200</v>
      </c>
      <c r="V265" s="186"/>
      <c r="W265" s="187"/>
      <c r="AL265" s="141"/>
    </row>
    <row r="266" spans="2:38" ht="12.75" customHeight="1">
      <c r="B266" s="43">
        <v>201</v>
      </c>
      <c r="C266" s="186"/>
      <c r="D266" s="187"/>
      <c r="S266" s="141"/>
      <c r="U266" s="43">
        <v>201</v>
      </c>
      <c r="V266" s="186"/>
      <c r="W266" s="187"/>
      <c r="AL266" s="141"/>
    </row>
    <row r="267" spans="2:38" ht="12.75" customHeight="1">
      <c r="B267" s="43">
        <v>202</v>
      </c>
      <c r="C267" s="186"/>
      <c r="D267" s="187"/>
      <c r="S267" s="141"/>
      <c r="U267" s="43">
        <v>202</v>
      </c>
      <c r="V267" s="186"/>
      <c r="W267" s="187"/>
      <c r="AL267" s="141"/>
    </row>
    <row r="268" spans="2:38" ht="12.75" customHeight="1">
      <c r="B268" s="43">
        <v>203</v>
      </c>
      <c r="C268" s="186"/>
      <c r="D268" s="187"/>
      <c r="S268" s="141"/>
      <c r="U268" s="43">
        <v>203</v>
      </c>
      <c r="V268" s="186"/>
      <c r="W268" s="187"/>
      <c r="AL268" s="141"/>
    </row>
    <row r="269" spans="2:38" ht="12.75" customHeight="1">
      <c r="B269" s="43">
        <v>204</v>
      </c>
      <c r="C269" s="186"/>
      <c r="D269" s="187"/>
      <c r="S269" s="141"/>
      <c r="U269" s="43">
        <v>204</v>
      </c>
      <c r="V269" s="186"/>
      <c r="W269" s="187"/>
      <c r="AL269" s="141"/>
    </row>
    <row r="270" spans="2:38" ht="12.75" customHeight="1">
      <c r="B270" s="43">
        <v>205</v>
      </c>
      <c r="C270" s="186"/>
      <c r="D270" s="187"/>
      <c r="S270" s="141"/>
      <c r="U270" s="43">
        <v>205</v>
      </c>
      <c r="V270" s="186"/>
      <c r="W270" s="187"/>
      <c r="AL270" s="141"/>
    </row>
    <row r="271" spans="2:38" ht="12.75" customHeight="1">
      <c r="B271" s="43">
        <v>206</v>
      </c>
      <c r="C271" s="186"/>
      <c r="D271" s="187"/>
      <c r="S271" s="141"/>
      <c r="U271" s="43">
        <v>206</v>
      </c>
      <c r="V271" s="186"/>
      <c r="W271" s="187"/>
      <c r="AL271" s="141"/>
    </row>
    <row r="272" spans="2:38" ht="12.75" customHeight="1">
      <c r="B272" s="43">
        <v>207</v>
      </c>
      <c r="C272" s="186"/>
      <c r="D272" s="187"/>
      <c r="S272" s="141"/>
      <c r="U272" s="43">
        <v>207</v>
      </c>
      <c r="V272" s="186"/>
      <c r="W272" s="187"/>
      <c r="AL272" s="141"/>
    </row>
    <row r="273" spans="2:38" ht="12.75" customHeight="1">
      <c r="B273" s="43">
        <v>208</v>
      </c>
      <c r="C273" s="186"/>
      <c r="D273" s="187"/>
      <c r="S273" s="141"/>
      <c r="U273" s="43">
        <v>208</v>
      </c>
      <c r="V273" s="186"/>
      <c r="W273" s="187"/>
      <c r="AL273" s="141"/>
    </row>
    <row r="274" spans="2:38" ht="12.75" customHeight="1">
      <c r="B274" s="43">
        <v>209</v>
      </c>
      <c r="C274" s="186"/>
      <c r="D274" s="187"/>
      <c r="S274" s="141"/>
      <c r="U274" s="43">
        <v>209</v>
      </c>
      <c r="V274" s="186"/>
      <c r="W274" s="187"/>
      <c r="AL274" s="141"/>
    </row>
    <row r="275" spans="2:38" ht="12.75" customHeight="1">
      <c r="B275" s="43">
        <v>210</v>
      </c>
      <c r="C275" s="186"/>
      <c r="D275" s="187"/>
      <c r="S275" s="141"/>
      <c r="U275" s="43">
        <v>210</v>
      </c>
      <c r="V275" s="186"/>
      <c r="W275" s="187"/>
      <c r="AL275" s="141"/>
    </row>
    <row r="276" spans="2:38" ht="12.75" customHeight="1">
      <c r="B276" s="43">
        <v>211</v>
      </c>
      <c r="C276" s="186"/>
      <c r="D276" s="187"/>
      <c r="S276" s="141"/>
      <c r="U276" s="43">
        <v>211</v>
      </c>
      <c r="V276" s="186"/>
      <c r="W276" s="187"/>
      <c r="AL276" s="141"/>
    </row>
    <row r="277" spans="2:38" ht="12.75" customHeight="1">
      <c r="B277" s="43">
        <v>212</v>
      </c>
      <c r="C277" s="186"/>
      <c r="D277" s="187"/>
      <c r="S277" s="141"/>
      <c r="U277" s="43">
        <v>212</v>
      </c>
      <c r="V277" s="186"/>
      <c r="W277" s="187"/>
      <c r="AL277" s="141"/>
    </row>
    <row r="278" spans="2:38" ht="12.75" customHeight="1">
      <c r="B278" s="43">
        <v>213</v>
      </c>
      <c r="C278" s="186"/>
      <c r="D278" s="187"/>
      <c r="S278" s="141"/>
      <c r="U278" s="43">
        <v>213</v>
      </c>
      <c r="V278" s="186"/>
      <c r="W278" s="187"/>
      <c r="AL278" s="141"/>
    </row>
    <row r="279" spans="2:38" ht="12.75" customHeight="1">
      <c r="B279" s="43">
        <v>214</v>
      </c>
      <c r="C279" s="186"/>
      <c r="D279" s="187"/>
      <c r="S279" s="141"/>
      <c r="U279" s="43">
        <v>214</v>
      </c>
      <c r="V279" s="186"/>
      <c r="W279" s="187"/>
      <c r="AL279" s="141"/>
    </row>
    <row r="280" spans="2:38" ht="12.75" customHeight="1">
      <c r="B280" s="43">
        <v>215</v>
      </c>
      <c r="C280" s="186"/>
      <c r="D280" s="187"/>
      <c r="S280" s="141"/>
      <c r="U280" s="43">
        <v>215</v>
      </c>
      <c r="V280" s="186"/>
      <c r="W280" s="187"/>
      <c r="AL280" s="141"/>
    </row>
    <row r="281" spans="2:38" ht="12.75" customHeight="1">
      <c r="B281" s="43">
        <v>216</v>
      </c>
      <c r="C281" s="186"/>
      <c r="D281" s="187"/>
      <c r="S281" s="141"/>
      <c r="U281" s="43">
        <v>216</v>
      </c>
      <c r="V281" s="186"/>
      <c r="W281" s="187"/>
      <c r="AL281" s="141"/>
    </row>
    <row r="282" spans="2:38" ht="12.75" customHeight="1">
      <c r="B282" s="43">
        <v>217</v>
      </c>
      <c r="C282" s="186"/>
      <c r="D282" s="187"/>
      <c r="S282" s="141"/>
      <c r="U282" s="43">
        <v>217</v>
      </c>
      <c r="V282" s="186"/>
      <c r="W282" s="187"/>
      <c r="AL282" s="141"/>
    </row>
    <row r="283" spans="2:38" ht="12.75" customHeight="1">
      <c r="B283" s="43">
        <v>218</v>
      </c>
      <c r="C283" s="186"/>
      <c r="D283" s="187"/>
      <c r="S283" s="141"/>
      <c r="U283" s="43">
        <v>218</v>
      </c>
      <c r="V283" s="186"/>
      <c r="W283" s="187"/>
      <c r="AL283" s="141"/>
    </row>
    <row r="284" spans="2:38" ht="12.75" customHeight="1">
      <c r="B284" s="43">
        <v>219</v>
      </c>
      <c r="C284" s="186"/>
      <c r="D284" s="187"/>
      <c r="S284" s="141"/>
      <c r="U284" s="43">
        <v>219</v>
      </c>
      <c r="V284" s="186"/>
      <c r="W284" s="187"/>
      <c r="AL284" s="141"/>
    </row>
    <row r="285" spans="2:38" ht="12.75" customHeight="1">
      <c r="B285" s="43">
        <v>220</v>
      </c>
      <c r="C285" s="186"/>
      <c r="D285" s="187"/>
      <c r="S285" s="141"/>
      <c r="U285" s="43">
        <v>220</v>
      </c>
      <c r="V285" s="186"/>
      <c r="W285" s="187"/>
      <c r="AL285" s="141"/>
    </row>
    <row r="286" spans="2:38" ht="12.75" customHeight="1">
      <c r="B286" s="43">
        <v>221</v>
      </c>
      <c r="C286" s="186"/>
      <c r="D286" s="187"/>
      <c r="S286" s="141"/>
      <c r="U286" s="43">
        <v>221</v>
      </c>
      <c r="V286" s="186"/>
      <c r="W286" s="187"/>
      <c r="AL286" s="141"/>
    </row>
    <row r="287" spans="2:38" ht="12.75" customHeight="1">
      <c r="B287" s="43">
        <v>222</v>
      </c>
      <c r="C287" s="186"/>
      <c r="D287" s="187"/>
      <c r="S287" s="141"/>
      <c r="U287" s="43">
        <v>222</v>
      </c>
      <c r="V287" s="186"/>
      <c r="W287" s="187"/>
      <c r="AL287" s="141"/>
    </row>
    <row r="288" spans="2:38" ht="12.75" customHeight="1">
      <c r="B288" s="43">
        <v>223</v>
      </c>
      <c r="C288" s="186"/>
      <c r="D288" s="187"/>
      <c r="S288" s="141"/>
      <c r="U288" s="43">
        <v>223</v>
      </c>
      <c r="V288" s="186"/>
      <c r="W288" s="187"/>
      <c r="AL288" s="141"/>
    </row>
    <row r="289" spans="2:38" ht="12.75" customHeight="1">
      <c r="B289" s="43">
        <v>224</v>
      </c>
      <c r="C289" s="186"/>
      <c r="D289" s="187"/>
      <c r="S289" s="141"/>
      <c r="U289" s="43">
        <v>224</v>
      </c>
      <c r="V289" s="186"/>
      <c r="W289" s="187"/>
      <c r="AL289" s="141"/>
    </row>
    <row r="290" spans="2:38" ht="12.75" customHeight="1">
      <c r="B290" s="43">
        <v>225</v>
      </c>
      <c r="C290" s="186"/>
      <c r="D290" s="187"/>
      <c r="S290" s="141"/>
      <c r="U290" s="43">
        <v>225</v>
      </c>
      <c r="V290" s="186"/>
      <c r="W290" s="187"/>
      <c r="AL290" s="141"/>
    </row>
    <row r="291" spans="2:38" ht="12.75" customHeight="1">
      <c r="B291" s="43">
        <v>226</v>
      </c>
      <c r="C291" s="186"/>
      <c r="D291" s="187"/>
      <c r="S291" s="141"/>
      <c r="U291" s="43">
        <v>226</v>
      </c>
      <c r="V291" s="186"/>
      <c r="W291" s="187"/>
      <c r="AL291" s="141"/>
    </row>
    <row r="292" spans="2:38" ht="12.75" customHeight="1">
      <c r="B292" s="43">
        <v>227</v>
      </c>
      <c r="C292" s="186"/>
      <c r="D292" s="187"/>
      <c r="S292" s="141"/>
      <c r="U292" s="43">
        <v>227</v>
      </c>
      <c r="V292" s="186"/>
      <c r="W292" s="187"/>
      <c r="AL292" s="141"/>
    </row>
    <row r="293" spans="2:38" ht="12.75" customHeight="1">
      <c r="B293" s="43">
        <v>228</v>
      </c>
      <c r="C293" s="186"/>
      <c r="D293" s="187"/>
      <c r="S293" s="141"/>
      <c r="U293" s="43">
        <v>228</v>
      </c>
      <c r="V293" s="186"/>
      <c r="W293" s="187"/>
      <c r="AL293" s="141"/>
    </row>
    <row r="294" spans="2:38" ht="12.75" customHeight="1">
      <c r="B294" s="43">
        <v>229</v>
      </c>
      <c r="C294" s="186"/>
      <c r="D294" s="187"/>
      <c r="S294" s="141"/>
      <c r="U294" s="43">
        <v>229</v>
      </c>
      <c r="V294" s="186"/>
      <c r="W294" s="187"/>
      <c r="AL294" s="141"/>
    </row>
    <row r="295" spans="2:38" ht="12.75" customHeight="1">
      <c r="B295" s="43">
        <v>230</v>
      </c>
      <c r="C295" s="186"/>
      <c r="D295" s="187"/>
      <c r="S295" s="141"/>
      <c r="U295" s="43">
        <v>230</v>
      </c>
      <c r="V295" s="186"/>
      <c r="W295" s="187"/>
      <c r="AL295" s="141"/>
    </row>
    <row r="296" spans="2:38" ht="12.75" customHeight="1">
      <c r="B296" s="43">
        <v>231</v>
      </c>
      <c r="C296" s="186"/>
      <c r="D296" s="187"/>
      <c r="S296" s="141"/>
      <c r="U296" s="43">
        <v>231</v>
      </c>
      <c r="V296" s="186"/>
      <c r="W296" s="187"/>
      <c r="AL296" s="141"/>
    </row>
    <row r="297" spans="2:38" ht="12.75" customHeight="1">
      <c r="B297" s="43">
        <v>232</v>
      </c>
      <c r="C297" s="186"/>
      <c r="D297" s="187"/>
      <c r="S297" s="141"/>
      <c r="U297" s="43">
        <v>232</v>
      </c>
      <c r="V297" s="186"/>
      <c r="W297" s="187"/>
      <c r="AL297" s="141"/>
    </row>
    <row r="298" spans="2:38" ht="12.75" customHeight="1">
      <c r="B298" s="43">
        <v>233</v>
      </c>
      <c r="C298" s="186"/>
      <c r="D298" s="187"/>
      <c r="S298" s="141"/>
      <c r="U298" s="43">
        <v>233</v>
      </c>
      <c r="V298" s="186"/>
      <c r="W298" s="187"/>
      <c r="AL298" s="141"/>
    </row>
    <row r="299" spans="2:38" ht="12.75" customHeight="1">
      <c r="B299" s="43">
        <v>234</v>
      </c>
      <c r="C299" s="186"/>
      <c r="D299" s="187"/>
      <c r="S299" s="141"/>
      <c r="U299" s="43">
        <v>234</v>
      </c>
      <c r="V299" s="186"/>
      <c r="W299" s="187"/>
      <c r="AL299" s="141"/>
    </row>
    <row r="300" spans="2:38" ht="12.75" customHeight="1">
      <c r="B300" s="43">
        <v>235</v>
      </c>
      <c r="C300" s="186"/>
      <c r="D300" s="187"/>
      <c r="S300" s="141"/>
      <c r="U300" s="43">
        <v>235</v>
      </c>
      <c r="V300" s="186"/>
      <c r="W300" s="187"/>
      <c r="AL300" s="141"/>
    </row>
    <row r="301" spans="2:38" ht="12.75" customHeight="1">
      <c r="B301" s="43">
        <v>236</v>
      </c>
      <c r="C301" s="186"/>
      <c r="D301" s="187"/>
      <c r="S301" s="141"/>
      <c r="U301" s="43">
        <v>236</v>
      </c>
      <c r="V301" s="186"/>
      <c r="W301" s="187"/>
      <c r="AL301" s="141"/>
    </row>
    <row r="302" spans="2:38" ht="12.75" customHeight="1">
      <c r="B302" s="43">
        <v>237</v>
      </c>
      <c r="C302" s="186"/>
      <c r="D302" s="187"/>
      <c r="S302" s="141"/>
      <c r="U302" s="43">
        <v>237</v>
      </c>
      <c r="V302" s="186"/>
      <c r="W302" s="187"/>
      <c r="AL302" s="141"/>
    </row>
    <row r="303" spans="2:38" ht="12.75" customHeight="1">
      <c r="B303" s="43">
        <v>238</v>
      </c>
      <c r="C303" s="186"/>
      <c r="D303" s="187"/>
      <c r="S303" s="141"/>
      <c r="U303" s="43">
        <v>238</v>
      </c>
      <c r="V303" s="186"/>
      <c r="W303" s="187"/>
      <c r="AL303" s="141"/>
    </row>
    <row r="304" spans="2:38" ht="12.75" customHeight="1">
      <c r="B304" s="43">
        <v>239</v>
      </c>
      <c r="C304" s="186"/>
      <c r="D304" s="187"/>
      <c r="S304" s="141"/>
      <c r="U304" s="43">
        <v>239</v>
      </c>
      <c r="V304" s="186"/>
      <c r="W304" s="187"/>
      <c r="AL304" s="141"/>
    </row>
    <row r="305" spans="2:38" ht="12.75" customHeight="1">
      <c r="B305" s="43">
        <v>240</v>
      </c>
      <c r="C305" s="186"/>
      <c r="D305" s="187"/>
      <c r="S305" s="141"/>
      <c r="U305" s="43">
        <v>240</v>
      </c>
      <c r="V305" s="186"/>
      <c r="W305" s="187"/>
      <c r="AL305" s="141"/>
    </row>
    <row r="306" spans="2:38" ht="12.75" customHeight="1">
      <c r="B306" s="43">
        <v>241</v>
      </c>
      <c r="C306" s="186"/>
      <c r="D306" s="187"/>
      <c r="S306" s="141"/>
      <c r="U306" s="43">
        <v>241</v>
      </c>
      <c r="V306" s="186"/>
      <c r="W306" s="187"/>
      <c r="AL306" s="141"/>
    </row>
    <row r="307" spans="2:38" ht="12.75" customHeight="1">
      <c r="B307" s="43">
        <v>242</v>
      </c>
      <c r="C307" s="186"/>
      <c r="D307" s="187"/>
      <c r="S307" s="141"/>
      <c r="U307" s="43">
        <v>242</v>
      </c>
      <c r="V307" s="186"/>
      <c r="W307" s="187"/>
      <c r="AL307" s="141"/>
    </row>
    <row r="308" spans="2:38" ht="12.75" customHeight="1">
      <c r="B308" s="43">
        <v>243</v>
      </c>
      <c r="C308" s="186"/>
      <c r="D308" s="187"/>
      <c r="S308" s="141"/>
      <c r="U308" s="43">
        <v>243</v>
      </c>
      <c r="V308" s="186"/>
      <c r="W308" s="187"/>
      <c r="AL308" s="141"/>
    </row>
    <row r="309" spans="2:38" ht="12.75" customHeight="1">
      <c r="B309" s="43">
        <v>244</v>
      </c>
      <c r="C309" s="186"/>
      <c r="D309" s="187"/>
      <c r="S309" s="141"/>
      <c r="U309" s="43">
        <v>244</v>
      </c>
      <c r="V309" s="186"/>
      <c r="W309" s="187"/>
      <c r="AL309" s="141"/>
    </row>
    <row r="310" spans="2:38" ht="12.75" customHeight="1">
      <c r="B310" s="43">
        <v>245</v>
      </c>
      <c r="C310" s="186"/>
      <c r="D310" s="187"/>
      <c r="S310" s="141"/>
      <c r="U310" s="43">
        <v>245</v>
      </c>
      <c r="V310" s="186"/>
      <c r="W310" s="187"/>
      <c r="AL310" s="141"/>
    </row>
    <row r="311" spans="2:38" ht="12.75" customHeight="1">
      <c r="B311" s="43">
        <v>246</v>
      </c>
      <c r="C311" s="186"/>
      <c r="D311" s="187"/>
      <c r="S311" s="141"/>
      <c r="U311" s="43">
        <v>246</v>
      </c>
      <c r="V311" s="186"/>
      <c r="W311" s="187"/>
      <c r="AL311" s="141"/>
    </row>
    <row r="312" spans="2:38" ht="12.75" customHeight="1">
      <c r="B312" s="43">
        <v>247</v>
      </c>
      <c r="C312" s="186"/>
      <c r="D312" s="187"/>
      <c r="S312" s="141"/>
      <c r="U312" s="43">
        <v>247</v>
      </c>
      <c r="V312" s="186"/>
      <c r="W312" s="187"/>
      <c r="AL312" s="141"/>
    </row>
    <row r="313" spans="2:38" ht="12.75" customHeight="1">
      <c r="B313" s="43">
        <v>248</v>
      </c>
      <c r="C313" s="186"/>
      <c r="D313" s="187"/>
      <c r="S313" s="141"/>
      <c r="U313" s="43">
        <v>248</v>
      </c>
      <c r="V313" s="186"/>
      <c r="W313" s="187"/>
      <c r="AL313" s="141"/>
    </row>
    <row r="314" spans="2:38" ht="12.75" customHeight="1">
      <c r="B314" s="43">
        <v>249</v>
      </c>
      <c r="C314" s="186"/>
      <c r="D314" s="187"/>
      <c r="S314" s="141"/>
      <c r="U314" s="43">
        <v>249</v>
      </c>
      <c r="V314" s="186"/>
      <c r="W314" s="187"/>
      <c r="AL314" s="141"/>
    </row>
    <row r="315" spans="2:38" ht="12.75" customHeight="1">
      <c r="B315" s="43">
        <v>250</v>
      </c>
      <c r="C315" s="186"/>
      <c r="D315" s="187"/>
      <c r="S315" s="141"/>
      <c r="U315" s="43">
        <v>250</v>
      </c>
      <c r="V315" s="186"/>
      <c r="W315" s="187"/>
      <c r="AL315" s="141"/>
    </row>
    <row r="316" spans="2:38" ht="12.75" customHeight="1">
      <c r="B316" s="43">
        <v>251</v>
      </c>
      <c r="C316" s="186"/>
      <c r="D316" s="187"/>
      <c r="S316" s="141"/>
      <c r="U316" s="43">
        <v>251</v>
      </c>
      <c r="V316" s="186"/>
      <c r="W316" s="187"/>
      <c r="AL316" s="141"/>
    </row>
    <row r="317" spans="2:38" ht="12.75" customHeight="1">
      <c r="B317" s="43">
        <v>252</v>
      </c>
      <c r="C317" s="186"/>
      <c r="D317" s="187"/>
      <c r="S317" s="141"/>
      <c r="U317" s="43">
        <v>252</v>
      </c>
      <c r="V317" s="186"/>
      <c r="W317" s="187"/>
      <c r="AL317" s="141"/>
    </row>
    <row r="318" spans="2:38" ht="12.75" customHeight="1">
      <c r="B318" s="43">
        <v>253</v>
      </c>
      <c r="C318" s="186"/>
      <c r="D318" s="187"/>
      <c r="S318" s="141"/>
      <c r="U318" s="43">
        <v>253</v>
      </c>
      <c r="V318" s="186"/>
      <c r="W318" s="187"/>
      <c r="AL318" s="141"/>
    </row>
    <row r="319" spans="2:38" ht="12.75" customHeight="1">
      <c r="B319" s="43">
        <v>254</v>
      </c>
      <c r="C319" s="186"/>
      <c r="D319" s="187"/>
      <c r="S319" s="141"/>
      <c r="U319" s="43">
        <v>254</v>
      </c>
      <c r="V319" s="186"/>
      <c r="W319" s="187"/>
      <c r="AL319" s="141"/>
    </row>
    <row r="320" spans="2:38" ht="12.75" customHeight="1">
      <c r="B320" s="43">
        <v>255</v>
      </c>
      <c r="C320" s="186"/>
      <c r="D320" s="187"/>
      <c r="S320" s="141"/>
      <c r="U320" s="43">
        <v>255</v>
      </c>
      <c r="V320" s="186"/>
      <c r="W320" s="187"/>
      <c r="AL320" s="141"/>
    </row>
    <row r="321" spans="2:38" ht="12.75" customHeight="1">
      <c r="B321" s="43">
        <v>256</v>
      </c>
      <c r="C321" s="186"/>
      <c r="D321" s="187"/>
      <c r="S321" s="141"/>
      <c r="U321" s="43">
        <v>256</v>
      </c>
      <c r="V321" s="186"/>
      <c r="W321" s="187"/>
      <c r="AL321" s="141"/>
    </row>
    <row r="322" spans="2:38" ht="12.75" customHeight="1">
      <c r="B322" s="43">
        <v>257</v>
      </c>
      <c r="C322" s="186"/>
      <c r="D322" s="187"/>
      <c r="S322" s="141"/>
      <c r="U322" s="43">
        <v>257</v>
      </c>
      <c r="V322" s="186"/>
      <c r="W322" s="187"/>
      <c r="AL322" s="141"/>
    </row>
    <row r="323" spans="2:38" ht="12.75" customHeight="1">
      <c r="B323" s="43">
        <v>258</v>
      </c>
      <c r="C323" s="186"/>
      <c r="D323" s="187"/>
      <c r="S323" s="141"/>
      <c r="U323" s="43">
        <v>258</v>
      </c>
      <c r="V323" s="186"/>
      <c r="W323" s="187"/>
      <c r="AL323" s="141"/>
    </row>
    <row r="324" spans="2:38" ht="12.75" customHeight="1">
      <c r="B324" s="43">
        <v>259</v>
      </c>
      <c r="C324" s="186"/>
      <c r="D324" s="187"/>
      <c r="S324" s="141"/>
      <c r="U324" s="43">
        <v>259</v>
      </c>
      <c r="V324" s="186"/>
      <c r="W324" s="187"/>
      <c r="AL324" s="141"/>
    </row>
    <row r="325" spans="2:38" ht="12.75" customHeight="1">
      <c r="B325" s="43">
        <v>260</v>
      </c>
      <c r="C325" s="186"/>
      <c r="D325" s="187"/>
      <c r="S325" s="141"/>
      <c r="U325" s="43">
        <v>260</v>
      </c>
      <c r="V325" s="186"/>
      <c r="W325" s="187"/>
      <c r="AL325" s="141"/>
    </row>
    <row r="326" spans="2:38" ht="12.75" customHeight="1">
      <c r="B326" s="43">
        <v>261</v>
      </c>
      <c r="C326" s="186"/>
      <c r="D326" s="187"/>
      <c r="S326" s="141"/>
      <c r="U326" s="43">
        <v>261</v>
      </c>
      <c r="V326" s="186"/>
      <c r="W326" s="187"/>
      <c r="AL326" s="141"/>
    </row>
    <row r="327" spans="2:38" ht="12.75" customHeight="1">
      <c r="B327" s="43">
        <v>262</v>
      </c>
      <c r="C327" s="186"/>
      <c r="D327" s="187"/>
      <c r="S327" s="141"/>
      <c r="U327" s="43">
        <v>262</v>
      </c>
      <c r="V327" s="186"/>
      <c r="W327" s="187"/>
      <c r="AL327" s="141"/>
    </row>
    <row r="328" spans="2:38" ht="12.75" customHeight="1">
      <c r="B328" s="43">
        <v>263</v>
      </c>
      <c r="C328" s="186"/>
      <c r="D328" s="187"/>
      <c r="S328" s="141"/>
      <c r="U328" s="43">
        <v>263</v>
      </c>
      <c r="V328" s="186"/>
      <c r="W328" s="187"/>
      <c r="AL328" s="141"/>
    </row>
    <row r="329" spans="2:38" ht="12.75" customHeight="1">
      <c r="B329" s="43">
        <v>264</v>
      </c>
      <c r="C329" s="186"/>
      <c r="D329" s="187"/>
      <c r="S329" s="141"/>
      <c r="U329" s="43">
        <v>264</v>
      </c>
      <c r="V329" s="186"/>
      <c r="W329" s="187"/>
      <c r="AL329" s="141"/>
    </row>
    <row r="330" spans="2:38" ht="12.75" customHeight="1">
      <c r="B330" s="43">
        <v>265</v>
      </c>
      <c r="C330" s="186"/>
      <c r="D330" s="187"/>
      <c r="S330" s="141"/>
      <c r="U330" s="43">
        <v>265</v>
      </c>
      <c r="V330" s="186"/>
      <c r="W330" s="187"/>
      <c r="AL330" s="141"/>
    </row>
    <row r="331" spans="2:38" ht="12.75" customHeight="1">
      <c r="B331" s="43">
        <v>266</v>
      </c>
      <c r="C331" s="186"/>
      <c r="D331" s="187"/>
      <c r="S331" s="141"/>
      <c r="U331" s="43">
        <v>266</v>
      </c>
      <c r="V331" s="186"/>
      <c r="W331" s="187"/>
      <c r="AL331" s="141"/>
    </row>
    <row r="332" spans="2:38" ht="12.75" customHeight="1">
      <c r="B332" s="43">
        <v>267</v>
      </c>
      <c r="C332" s="186"/>
      <c r="D332" s="187"/>
      <c r="S332" s="141"/>
      <c r="U332" s="43">
        <v>267</v>
      </c>
      <c r="V332" s="186"/>
      <c r="W332" s="187"/>
      <c r="AL332" s="141"/>
    </row>
    <row r="333" spans="2:38" ht="12.75" customHeight="1">
      <c r="B333" s="43">
        <v>268</v>
      </c>
      <c r="C333" s="186"/>
      <c r="D333" s="187"/>
      <c r="S333" s="141"/>
      <c r="U333" s="43">
        <v>268</v>
      </c>
      <c r="V333" s="186"/>
      <c r="W333" s="187"/>
      <c r="AL333" s="141"/>
    </row>
    <row r="334" spans="2:38" ht="12.75" customHeight="1">
      <c r="B334" s="43">
        <v>269</v>
      </c>
      <c r="C334" s="186"/>
      <c r="D334" s="187"/>
      <c r="S334" s="141"/>
      <c r="U334" s="43">
        <v>269</v>
      </c>
      <c r="V334" s="186"/>
      <c r="W334" s="187"/>
      <c r="AL334" s="141"/>
    </row>
    <row r="335" spans="2:38" ht="12.75" customHeight="1">
      <c r="B335" s="43">
        <v>270</v>
      </c>
      <c r="C335" s="186"/>
      <c r="D335" s="187"/>
      <c r="S335" s="141"/>
      <c r="U335" s="43">
        <v>270</v>
      </c>
      <c r="V335" s="186"/>
      <c r="W335" s="187"/>
      <c r="AL335" s="141"/>
    </row>
    <row r="336" spans="2:38" ht="12.75" customHeight="1">
      <c r="B336" s="43">
        <v>271</v>
      </c>
      <c r="C336" s="186"/>
      <c r="D336" s="187"/>
      <c r="S336" s="141"/>
      <c r="U336" s="43">
        <v>271</v>
      </c>
      <c r="V336" s="186"/>
      <c r="W336" s="187"/>
      <c r="AL336" s="141"/>
    </row>
    <row r="337" spans="2:38" ht="12.75" customHeight="1">
      <c r="B337" s="43">
        <v>272</v>
      </c>
      <c r="C337" s="186"/>
      <c r="D337" s="187"/>
      <c r="S337" s="141"/>
      <c r="U337" s="43">
        <v>272</v>
      </c>
      <c r="V337" s="186"/>
      <c r="W337" s="187"/>
      <c r="AL337" s="141"/>
    </row>
    <row r="338" spans="2:38" ht="12.75" customHeight="1">
      <c r="B338" s="43">
        <v>273</v>
      </c>
      <c r="C338" s="186"/>
      <c r="D338" s="187"/>
      <c r="S338" s="141"/>
      <c r="U338" s="43">
        <v>273</v>
      </c>
      <c r="V338" s="186"/>
      <c r="W338" s="187"/>
      <c r="AL338" s="141"/>
    </row>
    <row r="339" spans="2:38" ht="12.75" customHeight="1">
      <c r="B339" s="43">
        <v>274</v>
      </c>
      <c r="C339" s="186"/>
      <c r="D339" s="187"/>
      <c r="S339" s="141"/>
      <c r="U339" s="43">
        <v>274</v>
      </c>
      <c r="V339" s="186"/>
      <c r="W339" s="187"/>
      <c r="AL339" s="141"/>
    </row>
    <row r="340" spans="2:38" ht="12.75" customHeight="1">
      <c r="B340" s="43">
        <v>275</v>
      </c>
      <c r="C340" s="186"/>
      <c r="D340" s="187"/>
      <c r="S340" s="141"/>
      <c r="U340" s="43">
        <v>275</v>
      </c>
      <c r="V340" s="186"/>
      <c r="W340" s="187"/>
      <c r="AL340" s="141"/>
    </row>
    <row r="341" spans="2:38" ht="12.75" customHeight="1">
      <c r="B341" s="43">
        <v>276</v>
      </c>
      <c r="C341" s="186"/>
      <c r="D341" s="187"/>
      <c r="S341" s="141"/>
      <c r="U341" s="43">
        <v>276</v>
      </c>
      <c r="V341" s="186"/>
      <c r="W341" s="187"/>
      <c r="AL341" s="141"/>
    </row>
    <row r="342" spans="2:38" ht="12.75" customHeight="1">
      <c r="B342" s="43">
        <v>277</v>
      </c>
      <c r="C342" s="186"/>
      <c r="D342" s="187"/>
      <c r="S342" s="141"/>
      <c r="U342" s="43">
        <v>277</v>
      </c>
      <c r="V342" s="186"/>
      <c r="W342" s="187"/>
      <c r="AL342" s="141"/>
    </row>
    <row r="343" spans="2:38" ht="12.75" customHeight="1">
      <c r="B343" s="43">
        <v>278</v>
      </c>
      <c r="C343" s="186"/>
      <c r="D343" s="187"/>
      <c r="S343" s="141"/>
      <c r="U343" s="43">
        <v>278</v>
      </c>
      <c r="V343" s="186"/>
      <c r="W343" s="187"/>
      <c r="AL343" s="141"/>
    </row>
    <row r="344" spans="2:38" ht="12.75" customHeight="1">
      <c r="B344" s="43">
        <v>279</v>
      </c>
      <c r="C344" s="186"/>
      <c r="D344" s="187"/>
      <c r="S344" s="141"/>
      <c r="U344" s="43">
        <v>279</v>
      </c>
      <c r="V344" s="186"/>
      <c r="W344" s="187"/>
      <c r="AL344" s="141"/>
    </row>
    <row r="345" spans="2:38" ht="12.75" customHeight="1">
      <c r="B345" s="43">
        <v>280</v>
      </c>
      <c r="C345" s="186"/>
      <c r="D345" s="187"/>
      <c r="S345" s="141"/>
      <c r="U345" s="43">
        <v>280</v>
      </c>
      <c r="V345" s="186"/>
      <c r="W345" s="187"/>
      <c r="AL345" s="141"/>
    </row>
    <row r="346" spans="2:38" ht="12.75" customHeight="1">
      <c r="B346" s="43">
        <v>281</v>
      </c>
      <c r="C346" s="186"/>
      <c r="D346" s="187"/>
      <c r="S346" s="141"/>
      <c r="U346" s="43">
        <v>281</v>
      </c>
      <c r="V346" s="186"/>
      <c r="W346" s="187"/>
      <c r="AL346" s="141"/>
    </row>
    <row r="347" spans="2:38" ht="12.75" customHeight="1">
      <c r="B347" s="43">
        <v>282</v>
      </c>
      <c r="C347" s="186"/>
      <c r="D347" s="187"/>
      <c r="S347" s="141"/>
      <c r="U347" s="43">
        <v>282</v>
      </c>
      <c r="V347" s="186"/>
      <c r="W347" s="187"/>
      <c r="AL347" s="141"/>
    </row>
    <row r="348" spans="2:38" ht="12.75" customHeight="1">
      <c r="B348" s="43">
        <v>283</v>
      </c>
      <c r="C348" s="186"/>
      <c r="D348" s="187"/>
      <c r="S348" s="141"/>
      <c r="U348" s="43">
        <v>283</v>
      </c>
      <c r="V348" s="186"/>
      <c r="W348" s="187"/>
      <c r="AL348" s="141"/>
    </row>
    <row r="349" spans="2:38" ht="12.75" customHeight="1">
      <c r="B349" s="43">
        <v>284</v>
      </c>
      <c r="C349" s="186"/>
      <c r="D349" s="187"/>
      <c r="S349" s="141"/>
      <c r="U349" s="43">
        <v>284</v>
      </c>
      <c r="V349" s="186"/>
      <c r="W349" s="187"/>
      <c r="AL349" s="141"/>
    </row>
    <row r="350" spans="2:38" ht="12.75" customHeight="1">
      <c r="B350" s="43">
        <v>285</v>
      </c>
      <c r="C350" s="186"/>
      <c r="D350" s="187"/>
      <c r="S350" s="141"/>
      <c r="U350" s="43">
        <v>285</v>
      </c>
      <c r="V350" s="186"/>
      <c r="W350" s="187"/>
      <c r="AL350" s="141"/>
    </row>
    <row r="351" spans="2:38" ht="12.75" customHeight="1">
      <c r="B351" s="43">
        <v>286</v>
      </c>
      <c r="C351" s="186"/>
      <c r="D351" s="187"/>
      <c r="S351" s="141"/>
      <c r="U351" s="43">
        <v>286</v>
      </c>
      <c r="V351" s="186"/>
      <c r="W351" s="187"/>
      <c r="AL351" s="141"/>
    </row>
    <row r="352" spans="2:38" ht="12.75" customHeight="1">
      <c r="B352" s="43">
        <v>287</v>
      </c>
      <c r="C352" s="186"/>
      <c r="D352" s="187"/>
      <c r="S352" s="141"/>
      <c r="U352" s="43">
        <v>287</v>
      </c>
      <c r="V352" s="186"/>
      <c r="W352" s="187"/>
      <c r="AL352" s="141"/>
    </row>
    <row r="353" spans="1:38" ht="12.75" customHeight="1">
      <c r="B353" s="43">
        <v>288</v>
      </c>
      <c r="C353" s="186"/>
      <c r="D353" s="187"/>
      <c r="S353" s="141"/>
      <c r="U353" s="43">
        <v>288</v>
      </c>
      <c r="V353" s="186"/>
      <c r="W353" s="187"/>
      <c r="AL353" s="141"/>
    </row>
    <row r="354" spans="1:38" ht="12.75" customHeight="1">
      <c r="B354" s="43">
        <v>289</v>
      </c>
      <c r="C354" s="186"/>
      <c r="D354" s="187"/>
      <c r="S354" s="141"/>
      <c r="U354" s="43">
        <v>289</v>
      </c>
      <c r="V354" s="186"/>
      <c r="W354" s="187"/>
      <c r="AL354" s="141"/>
    </row>
    <row r="355" spans="1:38" ht="12.75" customHeight="1">
      <c r="B355" s="43">
        <v>290</v>
      </c>
      <c r="C355" s="186"/>
      <c r="D355" s="187"/>
      <c r="S355" s="141"/>
      <c r="U355" s="43">
        <v>290</v>
      </c>
      <c r="V355" s="186"/>
      <c r="W355" s="187"/>
      <c r="AL355" s="141"/>
    </row>
    <row r="356" spans="1:38" ht="12.75" customHeight="1">
      <c r="B356" s="43">
        <v>291</v>
      </c>
      <c r="C356" s="186"/>
      <c r="D356" s="187"/>
      <c r="S356" s="141"/>
      <c r="U356" s="43">
        <v>291</v>
      </c>
      <c r="V356" s="186"/>
      <c r="W356" s="187"/>
      <c r="AL356" s="141"/>
    </row>
    <row r="357" spans="1:38" ht="12.75" customHeight="1">
      <c r="B357" s="43">
        <v>292</v>
      </c>
      <c r="C357" s="186"/>
      <c r="D357" s="187"/>
      <c r="S357" s="141"/>
      <c r="U357" s="43">
        <v>292</v>
      </c>
      <c r="V357" s="186"/>
      <c r="W357" s="187"/>
      <c r="AL357" s="141"/>
    </row>
    <row r="358" spans="1:38" ht="12.75" customHeight="1">
      <c r="B358" s="43">
        <v>293</v>
      </c>
      <c r="C358" s="186"/>
      <c r="D358" s="187"/>
      <c r="S358" s="141"/>
      <c r="U358" s="43">
        <v>293</v>
      </c>
      <c r="V358" s="186"/>
      <c r="W358" s="187"/>
      <c r="AL358" s="141"/>
    </row>
    <row r="359" spans="1:38" ht="12.75" customHeight="1">
      <c r="B359" s="43">
        <v>294</v>
      </c>
      <c r="C359" s="186"/>
      <c r="D359" s="187"/>
      <c r="S359" s="141"/>
      <c r="U359" s="43">
        <v>294</v>
      </c>
      <c r="V359" s="186"/>
      <c r="W359" s="187"/>
      <c r="AL359" s="141"/>
    </row>
    <row r="360" spans="1:38" ht="12.75" customHeight="1">
      <c r="B360" s="43">
        <v>295</v>
      </c>
      <c r="C360" s="186"/>
      <c r="D360" s="187"/>
      <c r="S360" s="141"/>
      <c r="U360" s="43">
        <v>295</v>
      </c>
      <c r="V360" s="186"/>
      <c r="W360" s="187"/>
      <c r="AL360" s="141"/>
    </row>
    <row r="361" spans="1:38" ht="12.75" customHeight="1">
      <c r="B361" s="43">
        <v>296</v>
      </c>
      <c r="C361" s="186"/>
      <c r="D361" s="187"/>
      <c r="S361" s="141"/>
      <c r="U361" s="43">
        <v>296</v>
      </c>
      <c r="V361" s="186"/>
      <c r="W361" s="187"/>
      <c r="AL361" s="141"/>
    </row>
    <row r="362" spans="1:38" ht="12.75" customHeight="1">
      <c r="B362" s="43">
        <v>297</v>
      </c>
      <c r="C362" s="186"/>
      <c r="D362" s="187"/>
      <c r="S362" s="141"/>
      <c r="U362" s="43">
        <v>297</v>
      </c>
      <c r="V362" s="186"/>
      <c r="W362" s="187"/>
      <c r="AL362" s="141"/>
    </row>
    <row r="363" spans="1:38" ht="12.75" customHeight="1">
      <c r="B363" s="43">
        <v>298</v>
      </c>
      <c r="C363" s="186"/>
      <c r="D363" s="187"/>
      <c r="S363" s="141"/>
      <c r="U363" s="43">
        <v>298</v>
      </c>
      <c r="V363" s="186"/>
      <c r="W363" s="187"/>
      <c r="AL363" s="141"/>
    </row>
    <row r="364" spans="1:38" ht="12.75" customHeight="1">
      <c r="B364" s="43">
        <v>299</v>
      </c>
      <c r="C364" s="186"/>
      <c r="D364" s="187"/>
      <c r="S364" s="141"/>
      <c r="U364" s="43">
        <v>299</v>
      </c>
      <c r="V364" s="186"/>
      <c r="W364" s="187"/>
      <c r="AL364" s="141"/>
    </row>
    <row r="365" spans="1:38" ht="12.75" customHeight="1">
      <c r="B365" s="43">
        <v>300</v>
      </c>
      <c r="C365" s="186"/>
      <c r="D365" s="187"/>
      <c r="S365" s="141"/>
      <c r="U365" s="43">
        <v>300</v>
      </c>
      <c r="V365" s="186"/>
      <c r="W365" s="187"/>
      <c r="AL365" s="141"/>
    </row>
    <row r="366" spans="1:38" ht="12.75" customHeight="1">
      <c r="A366" s="25"/>
      <c r="B366" s="25"/>
      <c r="C366" s="25"/>
      <c r="D366" s="25"/>
      <c r="E366" s="25"/>
      <c r="F366" s="25"/>
      <c r="G366" s="25"/>
      <c r="H366" s="25"/>
      <c r="I366" s="25"/>
      <c r="J366" s="25"/>
      <c r="K366" s="25"/>
      <c r="L366" s="25"/>
      <c r="M366" s="25"/>
      <c r="N366" s="25"/>
      <c r="O366" s="25"/>
      <c r="P366" s="25"/>
      <c r="Q366" s="25"/>
      <c r="R366" s="25"/>
      <c r="S366" s="197"/>
      <c r="T366" s="25"/>
      <c r="U366" s="25"/>
      <c r="V366" s="25"/>
      <c r="W366" s="25"/>
      <c r="X366" s="25"/>
      <c r="Y366" s="25"/>
      <c r="Z366" s="25"/>
      <c r="AA366" s="25"/>
      <c r="AB366" s="25"/>
      <c r="AC366" s="25"/>
      <c r="AD366" s="25"/>
      <c r="AE366" s="25"/>
      <c r="AF366" s="25"/>
      <c r="AG366" s="25"/>
      <c r="AH366" s="25"/>
      <c r="AI366" s="25"/>
      <c r="AJ366" s="25"/>
      <c r="AK366" s="25"/>
      <c r="AL366" s="197"/>
    </row>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1">
    <mergeCell ref="V53:W53"/>
    <mergeCell ref="U56:AK57"/>
    <mergeCell ref="AA65:AB65"/>
    <mergeCell ref="A50:B50"/>
    <mergeCell ref="V50:W50"/>
    <mergeCell ref="AG50:AH50"/>
    <mergeCell ref="V51:W51"/>
    <mergeCell ref="AG51:AH51"/>
    <mergeCell ref="V52:W52"/>
    <mergeCell ref="AG52:AH52"/>
    <mergeCell ref="C57:D57"/>
    <mergeCell ref="C58:D58"/>
    <mergeCell ref="C50:D50"/>
    <mergeCell ref="C53:D53"/>
    <mergeCell ref="A54:B54"/>
    <mergeCell ref="C54:D54"/>
    <mergeCell ref="V47:W47"/>
    <mergeCell ref="X47:Y47"/>
    <mergeCell ref="Z47:AA47"/>
    <mergeCell ref="D3:J3"/>
    <mergeCell ref="A46:B46"/>
    <mergeCell ref="C46:D46"/>
    <mergeCell ref="E46:F46"/>
    <mergeCell ref="G46:H46"/>
    <mergeCell ref="N46:O46"/>
    <mergeCell ref="P46:R46"/>
    <mergeCell ref="A47:B47"/>
    <mergeCell ref="C47:D47"/>
    <mergeCell ref="E47:F47"/>
    <mergeCell ref="G47:H47"/>
    <mergeCell ref="T47:U47"/>
    <mergeCell ref="A5:S5"/>
    <mergeCell ref="T5:AL5"/>
    <mergeCell ref="T46:U46"/>
    <mergeCell ref="V46:W46"/>
    <mergeCell ref="X46:Y46"/>
    <mergeCell ref="Z46:AA46"/>
    <mergeCell ref="AG46:AH46"/>
    <mergeCell ref="A1:S1"/>
    <mergeCell ref="T1:AL1"/>
    <mergeCell ref="O3:S3"/>
    <mergeCell ref="W3:AC3"/>
    <mergeCell ref="AH3:AL3"/>
    <mergeCell ref="C60:D60"/>
    <mergeCell ref="H65:I65"/>
    <mergeCell ref="C56:D56"/>
    <mergeCell ref="A55:B55"/>
    <mergeCell ref="C55:D55"/>
    <mergeCell ref="A56:B56"/>
    <mergeCell ref="A57:B57"/>
    <mergeCell ref="C59:D59"/>
  </mergeCells>
  <conditionalFormatting sqref="C56:D56">
    <cfRule type="expression" dxfId="316" priority="1">
      <formula>AND($C$56&lt;0.4*$C$57,$C$56&lt;1)</formula>
    </cfRule>
  </conditionalFormatting>
  <conditionalFormatting sqref="C57:D57">
    <cfRule type="expression" dxfId="315" priority="2">
      <formula>AND($C$56&lt;0.4*$C$57,$C$57&lt;1)</formula>
    </cfRule>
  </conditionalFormatting>
  <conditionalFormatting sqref="N46:O46">
    <cfRule type="cellIs" dxfId="314" priority="3" stopIfTrue="1" operator="equal">
      <formula>0</formula>
    </cfRule>
    <cfRule type="cellIs" dxfId="313" priority="4" stopIfTrue="1" operator="greaterThanOrEqual">
      <formula>$P$47</formula>
    </cfRule>
    <cfRule type="cellIs" dxfId="312" priority="5" stopIfTrue="1" operator="lessThan">
      <formula>$P$47</formula>
    </cfRule>
  </conditionalFormatting>
  <conditionalFormatting sqref="AJ51">
    <cfRule type="cellIs" dxfId="311" priority="6" stopIfTrue="1" operator="greaterThanOrEqual">
      <formula>100</formula>
    </cfRule>
    <cfRule type="cellIs" dxfId="310" priority="7" stopIfTrue="1" operator="lessThan">
      <formula>85</formula>
    </cfRule>
    <cfRule type="cellIs" dxfId="309" priority="8" stopIfTrue="1" operator="greaterThanOrEqual">
      <formula>85</formula>
    </cfRule>
  </conditionalFormatting>
  <hyperlinks>
    <hyperlink ref="AM2" location="'Cover Sheet'!A1" display="BACK to COVER SHEET" xr:uid="{00000000-0004-0000-0A00-000000000000}"/>
  </hyperlinks>
  <printOptions horizontalCentered="1"/>
  <pageMargins left="0.39370078740157483" right="0.39370078740157483" top="0.39370078740157483" bottom="0.39370078740157483"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999FF"/>
  </sheetPr>
  <dimension ref="A1:AO1000"/>
  <sheetViews>
    <sheetView showGridLines="0" workbookViewId="0"/>
  </sheetViews>
  <sheetFormatPr baseColWidth="10" defaultColWidth="12.5703125" defaultRowHeight="15" customHeight="1"/>
  <cols>
    <col min="1" max="38" width="5" customWidth="1"/>
    <col min="39" max="41" width="11.42578125" customWidth="1"/>
  </cols>
  <sheetData>
    <row r="1" spans="1:41" ht="12.75" customHeight="1">
      <c r="A1" s="617" t="s">
        <v>398</v>
      </c>
      <c r="B1" s="598"/>
      <c r="C1" s="598"/>
      <c r="D1" s="598"/>
      <c r="E1" s="598"/>
      <c r="F1" s="598"/>
      <c r="G1" s="598"/>
      <c r="H1" s="598"/>
      <c r="I1" s="598"/>
      <c r="J1" s="598"/>
      <c r="K1" s="598"/>
      <c r="L1" s="598"/>
      <c r="M1" s="598"/>
      <c r="N1" s="598"/>
      <c r="O1" s="598"/>
      <c r="P1" s="598"/>
      <c r="Q1" s="598"/>
      <c r="R1" s="598"/>
      <c r="S1" s="598"/>
      <c r="T1" s="617" t="s">
        <v>398</v>
      </c>
      <c r="U1" s="598"/>
      <c r="V1" s="598"/>
      <c r="W1" s="598"/>
      <c r="X1" s="598"/>
      <c r="Y1" s="598"/>
      <c r="Z1" s="598"/>
      <c r="AA1" s="598"/>
      <c r="AB1" s="598"/>
      <c r="AC1" s="598"/>
      <c r="AD1" s="598"/>
      <c r="AE1" s="598"/>
      <c r="AF1" s="598"/>
      <c r="AG1" s="598"/>
      <c r="AH1" s="598"/>
      <c r="AI1" s="598"/>
      <c r="AJ1" s="598"/>
      <c r="AK1" s="598"/>
      <c r="AL1" s="598"/>
    </row>
    <row r="2" spans="1:41" ht="12.75" customHeight="1">
      <c r="AM2" s="39" t="s">
        <v>252</v>
      </c>
      <c r="AN2" s="39"/>
      <c r="AO2" s="39"/>
    </row>
    <row r="3" spans="1:41" ht="12.75" customHeight="1">
      <c r="A3" s="67" t="s">
        <v>45</v>
      </c>
      <c r="D3" s="635" t="str">
        <f>IF('Cover Sheet'!$D$14&gt;0,'Cover Sheet'!$D$14,"")</f>
        <v>Ecole Centrale Lyon</v>
      </c>
      <c r="E3" s="601"/>
      <c r="F3" s="601"/>
      <c r="G3" s="601"/>
      <c r="H3" s="601"/>
      <c r="I3" s="601"/>
      <c r="J3" s="601"/>
      <c r="K3" s="67" t="s">
        <v>47</v>
      </c>
      <c r="O3" s="635" t="str">
        <f>IF('Cover Sheet'!$O$14&gt;0,'Cover Sheet'!$O$14,"")</f>
        <v>81 FSCH/FSS/FSF</v>
      </c>
      <c r="P3" s="601"/>
      <c r="Q3" s="601"/>
      <c r="R3" s="601"/>
      <c r="S3" s="601"/>
      <c r="T3" s="67" t="s">
        <v>45</v>
      </c>
      <c r="W3" s="635" t="str">
        <f>IF('Cover Sheet'!$D$14&gt;0,'Cover Sheet'!$D$14,"")</f>
        <v>Ecole Centrale Lyon</v>
      </c>
      <c r="X3" s="601"/>
      <c r="Y3" s="601"/>
      <c r="Z3" s="601"/>
      <c r="AA3" s="601"/>
      <c r="AB3" s="601"/>
      <c r="AC3" s="601"/>
      <c r="AD3" s="67" t="s">
        <v>47</v>
      </c>
      <c r="AH3" s="635" t="str">
        <f>IF('Cover Sheet'!$O$14&gt;0,'Cover Sheet'!$O$14,"")</f>
        <v>81 FSCH/FSS/FSF</v>
      </c>
      <c r="AI3" s="601"/>
      <c r="AJ3" s="601"/>
      <c r="AK3" s="601"/>
      <c r="AL3" s="601"/>
    </row>
    <row r="4" spans="1:41" ht="12.75" customHeight="1"/>
    <row r="5" spans="1:41" ht="12.75" customHeight="1">
      <c r="A5" s="685"/>
      <c r="B5" s="677"/>
      <c r="C5" s="677"/>
      <c r="D5" s="677"/>
      <c r="E5" s="677"/>
      <c r="F5" s="677"/>
      <c r="G5" s="677"/>
      <c r="H5" s="677"/>
      <c r="I5" s="677"/>
      <c r="J5" s="677"/>
      <c r="K5" s="677"/>
      <c r="L5" s="677"/>
      <c r="M5" s="677"/>
      <c r="N5" s="677"/>
      <c r="O5" s="677"/>
      <c r="P5" s="677"/>
      <c r="Q5" s="677"/>
      <c r="R5" s="677"/>
      <c r="S5" s="667"/>
      <c r="T5" s="685"/>
      <c r="U5" s="677"/>
      <c r="V5" s="677"/>
      <c r="W5" s="677"/>
      <c r="X5" s="677"/>
      <c r="Y5" s="677"/>
      <c r="Z5" s="677"/>
      <c r="AA5" s="677"/>
      <c r="AB5" s="677"/>
      <c r="AC5" s="677"/>
      <c r="AD5" s="677"/>
      <c r="AE5" s="677"/>
      <c r="AF5" s="677"/>
      <c r="AG5" s="677"/>
      <c r="AH5" s="677"/>
      <c r="AI5" s="677"/>
      <c r="AJ5" s="677"/>
      <c r="AK5" s="677"/>
      <c r="AL5" s="667"/>
    </row>
    <row r="6" spans="1:41" ht="17.25" customHeight="1">
      <c r="A6" s="147"/>
      <c r="B6" s="147"/>
      <c r="C6" s="64"/>
      <c r="D6" s="147"/>
      <c r="E6" s="64"/>
      <c r="F6" s="64"/>
      <c r="G6" s="64"/>
      <c r="H6" s="64"/>
      <c r="I6" s="64"/>
      <c r="J6" s="64"/>
      <c r="K6" s="64"/>
      <c r="L6" s="64"/>
      <c r="M6" s="64"/>
      <c r="N6" s="64"/>
      <c r="O6" s="64"/>
      <c r="P6" s="64"/>
      <c r="Q6" s="64"/>
      <c r="R6" s="64"/>
      <c r="S6" s="96"/>
      <c r="T6" s="147"/>
      <c r="U6" s="147"/>
      <c r="V6" s="64"/>
      <c r="W6" s="147"/>
      <c r="X6" s="64"/>
      <c r="Y6" s="64"/>
      <c r="Z6" s="64"/>
      <c r="AA6" s="64"/>
      <c r="AB6" s="64"/>
      <c r="AC6" s="64"/>
      <c r="AD6" s="64"/>
      <c r="AE6" s="64"/>
      <c r="AF6" s="64"/>
      <c r="AG6" s="64"/>
      <c r="AH6" s="64"/>
      <c r="AI6" s="64"/>
      <c r="AJ6" s="64"/>
      <c r="AK6" s="64"/>
      <c r="AL6" s="96"/>
    </row>
    <row r="7" spans="1:41" ht="12.75" customHeight="1">
      <c r="A7" s="147"/>
      <c r="B7" s="147" t="s">
        <v>253</v>
      </c>
      <c r="C7" s="64"/>
      <c r="D7" s="147"/>
      <c r="E7" s="64"/>
      <c r="F7" s="64"/>
      <c r="G7" s="64"/>
      <c r="H7" s="64"/>
      <c r="I7" s="64"/>
      <c r="J7" s="64"/>
      <c r="K7" s="64"/>
      <c r="L7" s="64"/>
      <c r="M7" s="64"/>
      <c r="N7" s="64"/>
      <c r="O7" s="64"/>
      <c r="P7" s="64"/>
      <c r="Q7" s="64"/>
      <c r="R7" s="64"/>
      <c r="S7" s="96"/>
      <c r="T7" s="147"/>
      <c r="U7" s="147" t="s">
        <v>253</v>
      </c>
      <c r="V7" s="64"/>
      <c r="W7" s="147"/>
      <c r="X7" s="64"/>
      <c r="Y7" s="64"/>
      <c r="Z7" s="64"/>
      <c r="AA7" s="64"/>
      <c r="AB7" s="64"/>
      <c r="AC7" s="64"/>
      <c r="AD7" s="64"/>
      <c r="AE7" s="64"/>
      <c r="AF7" s="64"/>
      <c r="AG7" s="64"/>
      <c r="AH7" s="64"/>
      <c r="AI7" s="64"/>
      <c r="AJ7" s="64"/>
      <c r="AK7" s="64"/>
      <c r="AL7" s="96"/>
    </row>
    <row r="8" spans="1:41" ht="12.75" customHeight="1">
      <c r="A8" s="147"/>
      <c r="B8" s="65"/>
      <c r="C8" s="64"/>
      <c r="D8" s="147"/>
      <c r="E8" s="64"/>
      <c r="F8" s="64"/>
      <c r="G8" s="64"/>
      <c r="H8" s="64"/>
      <c r="I8" s="64"/>
      <c r="J8" s="64"/>
      <c r="K8" s="64"/>
      <c r="L8" s="64"/>
      <c r="M8" s="64"/>
      <c r="N8" s="64"/>
      <c r="O8" s="64"/>
      <c r="P8" s="64"/>
      <c r="Q8" s="64"/>
      <c r="R8" s="64"/>
      <c r="S8" s="96"/>
      <c r="T8" s="147"/>
      <c r="U8" s="65"/>
      <c r="V8" s="64"/>
      <c r="W8" s="147"/>
      <c r="X8" s="64"/>
      <c r="Y8" s="64"/>
      <c r="Z8" s="64"/>
      <c r="AA8" s="64"/>
      <c r="AB8" s="64"/>
      <c r="AC8" s="64"/>
      <c r="AD8" s="64"/>
      <c r="AE8" s="64"/>
      <c r="AF8" s="64"/>
      <c r="AG8" s="64"/>
      <c r="AH8" s="64"/>
      <c r="AI8" s="64"/>
      <c r="AJ8" s="64"/>
      <c r="AK8" s="64"/>
      <c r="AL8" s="96"/>
    </row>
    <row r="9" spans="1:41" ht="12.75" customHeight="1">
      <c r="A9" s="147"/>
      <c r="B9" s="147" t="s">
        <v>254</v>
      </c>
      <c r="C9" s="64"/>
      <c r="D9" s="147"/>
      <c r="E9" s="64"/>
      <c r="F9" s="64"/>
      <c r="G9" s="64"/>
      <c r="H9" s="64"/>
      <c r="I9" s="64"/>
      <c r="J9" s="64"/>
      <c r="K9" s="64"/>
      <c r="L9" s="64"/>
      <c r="M9" s="64"/>
      <c r="N9" s="64"/>
      <c r="O9" s="64"/>
      <c r="P9" s="64"/>
      <c r="Q9" s="64"/>
      <c r="R9" s="64"/>
      <c r="S9" s="96"/>
      <c r="T9" s="147"/>
      <c r="U9" s="147" t="s">
        <v>254</v>
      </c>
      <c r="V9" s="64"/>
      <c r="W9" s="147"/>
      <c r="X9" s="64"/>
      <c r="Y9" s="64"/>
      <c r="Z9" s="64"/>
      <c r="AA9" s="64"/>
      <c r="AB9" s="64"/>
      <c r="AC9" s="64"/>
      <c r="AD9" s="64"/>
      <c r="AE9" s="64"/>
      <c r="AF9" s="64"/>
      <c r="AG9" s="64"/>
      <c r="AH9" s="64"/>
      <c r="AI9" s="64"/>
      <c r="AJ9" s="64"/>
      <c r="AK9" s="64"/>
      <c r="AL9" s="96"/>
    </row>
    <row r="10" spans="1:41" ht="12.75" customHeight="1">
      <c r="A10" s="147"/>
      <c r="B10" s="65"/>
      <c r="C10" s="64"/>
      <c r="D10" s="64"/>
      <c r="E10" s="64"/>
      <c r="F10" s="64"/>
      <c r="G10" s="64"/>
      <c r="H10" s="64"/>
      <c r="I10" s="64"/>
      <c r="J10" s="64"/>
      <c r="K10" s="64"/>
      <c r="L10" s="64"/>
      <c r="M10" s="64"/>
      <c r="N10" s="64"/>
      <c r="O10" s="64"/>
      <c r="P10" s="64"/>
      <c r="Q10" s="64"/>
      <c r="R10" s="64"/>
      <c r="S10" s="96"/>
      <c r="T10" s="147"/>
      <c r="U10" s="65"/>
      <c r="V10" s="64"/>
      <c r="W10" s="64"/>
      <c r="X10" s="64"/>
      <c r="Y10" s="64"/>
      <c r="Z10" s="64"/>
      <c r="AA10" s="64"/>
      <c r="AB10" s="64"/>
      <c r="AC10" s="64"/>
      <c r="AD10" s="64"/>
      <c r="AE10" s="64"/>
      <c r="AF10" s="64"/>
      <c r="AG10" s="64"/>
      <c r="AH10" s="64"/>
      <c r="AI10" s="64"/>
      <c r="AJ10" s="64"/>
      <c r="AK10" s="64"/>
      <c r="AL10" s="96"/>
    </row>
    <row r="11" spans="1:41" ht="12.75" customHeight="1">
      <c r="A11" s="95"/>
      <c r="B11" s="147" t="s">
        <v>255</v>
      </c>
      <c r="C11" s="64"/>
      <c r="D11" s="64"/>
      <c r="E11" s="64"/>
      <c r="F11" s="64"/>
      <c r="G11" s="64"/>
      <c r="H11" s="64"/>
      <c r="I11" s="64"/>
      <c r="J11" s="64"/>
      <c r="K11" s="64"/>
      <c r="L11" s="64"/>
      <c r="M11" s="64"/>
      <c r="N11" s="64"/>
      <c r="O11" s="64"/>
      <c r="P11" s="64"/>
      <c r="Q11" s="64"/>
      <c r="R11" s="64"/>
      <c r="S11" s="96"/>
      <c r="T11" s="95"/>
      <c r="U11" s="147" t="s">
        <v>255</v>
      </c>
      <c r="V11" s="64"/>
      <c r="W11" s="64"/>
      <c r="X11" s="64"/>
      <c r="Y11" s="64"/>
      <c r="Z11" s="64"/>
      <c r="AA11" s="64"/>
      <c r="AB11" s="64"/>
      <c r="AC11" s="64"/>
      <c r="AD11" s="64"/>
      <c r="AE11" s="64"/>
      <c r="AF11" s="64"/>
      <c r="AG11" s="64"/>
      <c r="AH11" s="64"/>
      <c r="AI11" s="64"/>
      <c r="AJ11" s="64"/>
      <c r="AK11" s="64"/>
      <c r="AL11" s="96"/>
    </row>
    <row r="12" spans="1:41" ht="12.75" customHeight="1">
      <c r="A12" s="145"/>
      <c r="B12" s="65"/>
      <c r="C12" s="65"/>
      <c r="D12" s="65"/>
      <c r="E12" s="65"/>
      <c r="F12" s="65"/>
      <c r="G12" s="65"/>
      <c r="H12" s="65"/>
      <c r="I12" s="65"/>
      <c r="J12" s="65"/>
      <c r="K12" s="65"/>
      <c r="L12" s="65"/>
      <c r="M12" s="65"/>
      <c r="N12" s="65"/>
      <c r="O12" s="65"/>
      <c r="P12" s="65"/>
      <c r="Q12" s="65"/>
      <c r="R12" s="65"/>
      <c r="S12" s="146"/>
      <c r="T12" s="145"/>
      <c r="U12" s="65"/>
      <c r="V12" s="65"/>
      <c r="W12" s="65"/>
      <c r="X12" s="65"/>
      <c r="Y12" s="65"/>
      <c r="Z12" s="65"/>
      <c r="AA12" s="65"/>
      <c r="AB12" s="65"/>
      <c r="AC12" s="65"/>
      <c r="AD12" s="65"/>
      <c r="AE12" s="65"/>
      <c r="AF12" s="65"/>
      <c r="AG12" s="65"/>
      <c r="AH12" s="65"/>
      <c r="AI12" s="65"/>
      <c r="AJ12" s="65"/>
      <c r="AK12" s="65"/>
      <c r="AL12" s="146"/>
    </row>
    <row r="13" spans="1:41" ht="12.75" customHeight="1">
      <c r="A13" s="145"/>
      <c r="B13" s="203" t="s">
        <v>399</v>
      </c>
      <c r="C13" s="65"/>
      <c r="D13" s="65"/>
      <c r="E13" s="65"/>
      <c r="F13" s="65"/>
      <c r="G13" s="147"/>
      <c r="H13" s="65"/>
      <c r="I13" s="65"/>
      <c r="J13" s="65"/>
      <c r="K13" s="65"/>
      <c r="L13" s="65"/>
      <c r="M13" s="65"/>
      <c r="N13" s="65"/>
      <c r="O13" s="65"/>
      <c r="P13" s="65"/>
      <c r="Q13" s="65"/>
      <c r="R13" s="65"/>
      <c r="S13" s="146"/>
      <c r="T13" s="145"/>
      <c r="U13" s="203" t="s">
        <v>400</v>
      </c>
      <c r="V13" s="65"/>
      <c r="W13" s="65"/>
      <c r="X13" s="65"/>
      <c r="Y13" s="65"/>
      <c r="Z13" s="147"/>
      <c r="AA13" s="65"/>
      <c r="AB13" s="65"/>
      <c r="AC13" s="65"/>
      <c r="AD13" s="65"/>
      <c r="AE13" s="65"/>
      <c r="AF13" s="65"/>
      <c r="AG13" s="65"/>
      <c r="AH13" s="65"/>
      <c r="AI13" s="65"/>
      <c r="AJ13" s="65"/>
      <c r="AK13" s="65"/>
      <c r="AL13" s="146"/>
    </row>
    <row r="14" spans="1:41" ht="12.75" customHeight="1">
      <c r="A14" s="145"/>
      <c r="B14" s="65"/>
      <c r="C14" s="65"/>
      <c r="D14" s="65"/>
      <c r="E14" s="65"/>
      <c r="F14" s="65"/>
      <c r="G14" s="65"/>
      <c r="H14" s="65"/>
      <c r="I14" s="65"/>
      <c r="J14" s="65"/>
      <c r="K14" s="65"/>
      <c r="L14" s="65"/>
      <c r="M14" s="65"/>
      <c r="N14" s="65"/>
      <c r="O14" s="65"/>
      <c r="P14" s="65"/>
      <c r="Q14" s="65"/>
      <c r="R14" s="65"/>
      <c r="S14" s="146"/>
      <c r="T14" s="145"/>
      <c r="U14" s="65"/>
      <c r="V14" s="65"/>
      <c r="W14" s="65"/>
      <c r="X14" s="65"/>
      <c r="Y14" s="65"/>
      <c r="Z14" s="65"/>
      <c r="AA14" s="65"/>
      <c r="AB14" s="65"/>
      <c r="AC14" s="65"/>
      <c r="AD14" s="65"/>
      <c r="AE14" s="65"/>
      <c r="AF14" s="65"/>
      <c r="AG14" s="65"/>
      <c r="AH14" s="65"/>
      <c r="AI14" s="65"/>
      <c r="AJ14" s="65"/>
      <c r="AK14" s="65"/>
      <c r="AL14" s="146"/>
    </row>
    <row r="15" spans="1:41" ht="12.75" customHeight="1">
      <c r="A15" s="145"/>
      <c r="B15" s="65"/>
      <c r="C15" s="65"/>
      <c r="D15" s="65"/>
      <c r="E15" s="65"/>
      <c r="F15" s="65"/>
      <c r="G15" s="203"/>
      <c r="H15" s="65"/>
      <c r="I15" s="65"/>
      <c r="J15" s="65"/>
      <c r="K15" s="65"/>
      <c r="L15" s="65"/>
      <c r="M15" s="65"/>
      <c r="N15" s="65"/>
      <c r="O15" s="65"/>
      <c r="P15" s="65"/>
      <c r="Q15" s="65"/>
      <c r="R15" s="65"/>
      <c r="S15" s="146"/>
      <c r="T15" s="145"/>
      <c r="U15" s="65"/>
      <c r="V15" s="65"/>
      <c r="W15" s="65"/>
      <c r="X15" s="65"/>
      <c r="Y15" s="65"/>
      <c r="Z15" s="203"/>
      <c r="AA15" s="65"/>
      <c r="AB15" s="65"/>
      <c r="AC15" s="65"/>
      <c r="AD15" s="65"/>
      <c r="AE15" s="65"/>
      <c r="AF15" s="65"/>
      <c r="AG15" s="65"/>
      <c r="AH15" s="65"/>
      <c r="AI15" s="65"/>
      <c r="AJ15" s="65"/>
      <c r="AK15" s="65"/>
      <c r="AL15" s="146"/>
    </row>
    <row r="16" spans="1:41" ht="12.75" customHeight="1">
      <c r="A16" s="145"/>
      <c r="B16" s="65"/>
      <c r="C16" s="65"/>
      <c r="D16" s="65"/>
      <c r="E16" s="65"/>
      <c r="F16" s="65"/>
      <c r="G16" s="64"/>
      <c r="H16" s="65"/>
      <c r="I16" s="65"/>
      <c r="J16" s="65"/>
      <c r="K16" s="65"/>
      <c r="L16" s="65"/>
      <c r="M16" s="65"/>
      <c r="N16" s="65"/>
      <c r="O16" s="65"/>
      <c r="P16" s="65"/>
      <c r="Q16" s="65"/>
      <c r="R16" s="65"/>
      <c r="S16" s="146"/>
      <c r="T16" s="145"/>
      <c r="U16" s="65"/>
      <c r="V16" s="65"/>
      <c r="W16" s="65"/>
      <c r="X16" s="65"/>
      <c r="Y16" s="65"/>
      <c r="Z16" s="65"/>
      <c r="AA16" s="65"/>
      <c r="AB16" s="65"/>
      <c r="AC16" s="65"/>
      <c r="AD16" s="65"/>
      <c r="AE16" s="65"/>
      <c r="AF16" s="65"/>
      <c r="AG16" s="65"/>
      <c r="AH16" s="65"/>
      <c r="AI16" s="65"/>
      <c r="AJ16" s="65"/>
      <c r="AK16" s="65"/>
      <c r="AL16" s="146"/>
    </row>
    <row r="17" spans="1:38" ht="12.75" customHeight="1">
      <c r="A17" s="145"/>
      <c r="B17" s="65"/>
      <c r="C17" s="65"/>
      <c r="D17" s="65"/>
      <c r="E17" s="65"/>
      <c r="F17" s="65"/>
      <c r="G17" s="65"/>
      <c r="H17" s="65"/>
      <c r="I17" s="65"/>
      <c r="J17" s="65"/>
      <c r="K17" s="65"/>
      <c r="L17" s="65"/>
      <c r="M17" s="65"/>
      <c r="N17" s="65"/>
      <c r="O17" s="65"/>
      <c r="P17" s="65"/>
      <c r="Q17" s="65"/>
      <c r="R17" s="65"/>
      <c r="S17" s="146"/>
      <c r="T17" s="145"/>
      <c r="U17" s="65"/>
      <c r="V17" s="65"/>
      <c r="W17" s="65"/>
      <c r="X17" s="65"/>
      <c r="Y17" s="65"/>
      <c r="Z17" s="65"/>
      <c r="AA17" s="65"/>
      <c r="AB17" s="65"/>
      <c r="AC17" s="65"/>
      <c r="AD17" s="65"/>
      <c r="AE17" s="65"/>
      <c r="AF17" s="65"/>
      <c r="AG17" s="65"/>
      <c r="AH17" s="65"/>
      <c r="AI17" s="65"/>
      <c r="AJ17" s="65"/>
      <c r="AK17" s="65"/>
      <c r="AL17" s="146"/>
    </row>
    <row r="18" spans="1:38" ht="12.75" customHeight="1">
      <c r="A18" s="148"/>
      <c r="B18" s="102"/>
      <c r="C18" s="102"/>
      <c r="D18" s="102"/>
      <c r="E18" s="101"/>
      <c r="F18" s="101"/>
      <c r="G18" s="102"/>
      <c r="H18" s="101"/>
      <c r="I18" s="102"/>
      <c r="J18" s="102"/>
      <c r="K18" s="102"/>
      <c r="L18" s="102"/>
      <c r="M18" s="102"/>
      <c r="N18" s="102"/>
      <c r="O18" s="102"/>
      <c r="P18" s="102"/>
      <c r="Q18" s="102"/>
      <c r="R18" s="102"/>
      <c r="S18" s="149"/>
      <c r="T18" s="148"/>
      <c r="U18" s="102"/>
      <c r="V18" s="102"/>
      <c r="W18" s="102"/>
      <c r="X18" s="101"/>
      <c r="Y18" s="101"/>
      <c r="Z18" s="102"/>
      <c r="AA18" s="101"/>
      <c r="AB18" s="102"/>
      <c r="AC18" s="102"/>
      <c r="AD18" s="102"/>
      <c r="AE18" s="102"/>
      <c r="AF18" s="102"/>
      <c r="AG18" s="102"/>
      <c r="AH18" s="102"/>
      <c r="AI18" s="102"/>
      <c r="AJ18" s="102"/>
      <c r="AK18" s="102"/>
      <c r="AL18" s="149"/>
    </row>
    <row r="19" spans="1:38" ht="12.75" customHeight="1">
      <c r="A19" s="151" t="s">
        <v>401</v>
      </c>
      <c r="B19" s="77"/>
      <c r="C19" s="77"/>
      <c r="D19" s="77"/>
      <c r="E19" s="77"/>
      <c r="F19" s="77"/>
      <c r="G19" s="77"/>
      <c r="H19" s="77"/>
      <c r="I19" s="77"/>
      <c r="J19" s="77"/>
      <c r="K19" s="77"/>
      <c r="L19" s="77"/>
      <c r="M19" s="77"/>
      <c r="N19" s="77"/>
      <c r="O19" s="77"/>
      <c r="P19" s="77"/>
      <c r="Q19" s="77"/>
      <c r="R19" s="77"/>
      <c r="S19" s="152"/>
      <c r="T19" s="151" t="s">
        <v>402</v>
      </c>
      <c r="U19" s="77"/>
      <c r="V19" s="77"/>
      <c r="W19" s="77"/>
      <c r="X19" s="77"/>
      <c r="Y19" s="77"/>
      <c r="Z19" s="77"/>
      <c r="AA19" s="77"/>
      <c r="AB19" s="77"/>
      <c r="AC19" s="77"/>
      <c r="AD19" s="77"/>
      <c r="AE19" s="77"/>
      <c r="AF19" s="77"/>
      <c r="AG19" s="77"/>
      <c r="AH19" s="77"/>
      <c r="AI19" s="77"/>
      <c r="AJ19" s="77"/>
      <c r="AK19" s="77"/>
      <c r="AL19" s="152"/>
    </row>
    <row r="20" spans="1:38" ht="12.75" customHeight="1">
      <c r="A20" s="153"/>
      <c r="B20" s="77"/>
      <c r="C20" s="77"/>
      <c r="D20" s="77"/>
      <c r="E20" s="77"/>
      <c r="F20" s="77"/>
      <c r="G20" s="77"/>
      <c r="H20" s="77"/>
      <c r="I20" s="77"/>
      <c r="J20" s="77"/>
      <c r="K20" s="77"/>
      <c r="L20" s="77"/>
      <c r="M20" s="77"/>
      <c r="N20" s="77"/>
      <c r="O20" s="77"/>
      <c r="P20" s="77"/>
      <c r="Q20" s="77"/>
      <c r="R20" s="77"/>
      <c r="S20" s="152"/>
      <c r="T20" s="153"/>
      <c r="U20" s="77"/>
      <c r="V20" s="77"/>
      <c r="W20" s="77"/>
      <c r="X20" s="77"/>
      <c r="Y20" s="77"/>
      <c r="Z20" s="77"/>
      <c r="AA20" s="77"/>
      <c r="AB20" s="77"/>
      <c r="AC20" s="77"/>
      <c r="AD20" s="77"/>
      <c r="AE20" s="77"/>
      <c r="AF20" s="77"/>
      <c r="AG20" s="77"/>
      <c r="AH20" s="77"/>
      <c r="AI20" s="77"/>
      <c r="AJ20" s="77"/>
      <c r="AK20" s="77"/>
      <c r="AL20" s="152"/>
    </row>
    <row r="21" spans="1:38" ht="12.75" customHeight="1">
      <c r="A21" s="142"/>
      <c r="B21" s="143"/>
      <c r="C21" s="143"/>
      <c r="D21" s="143"/>
      <c r="E21" s="143"/>
      <c r="F21" s="143"/>
      <c r="G21" s="143"/>
      <c r="H21" s="143"/>
      <c r="I21" s="143"/>
      <c r="J21" s="143"/>
      <c r="K21" s="143"/>
      <c r="L21" s="143"/>
      <c r="M21" s="143"/>
      <c r="N21" s="143"/>
      <c r="O21" s="143"/>
      <c r="P21" s="143"/>
      <c r="Q21" s="143"/>
      <c r="R21" s="143"/>
      <c r="S21" s="144"/>
      <c r="T21" s="142"/>
      <c r="U21" s="143"/>
      <c r="V21" s="143"/>
      <c r="W21" s="143"/>
      <c r="X21" s="143"/>
      <c r="Y21" s="143"/>
      <c r="Z21" s="143"/>
      <c r="AA21" s="143"/>
      <c r="AB21" s="143"/>
      <c r="AC21" s="143"/>
      <c r="AD21" s="143"/>
      <c r="AE21" s="143"/>
      <c r="AF21" s="143"/>
      <c r="AG21" s="143"/>
      <c r="AH21" s="143"/>
      <c r="AI21" s="143"/>
      <c r="AJ21" s="143"/>
      <c r="AK21" s="143"/>
      <c r="AL21" s="144"/>
    </row>
    <row r="22" spans="1:38" ht="12.75" customHeight="1">
      <c r="A22" s="95"/>
      <c r="B22" s="64"/>
      <c r="C22" s="64"/>
      <c r="D22" s="64"/>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147" t="s">
        <v>258</v>
      </c>
      <c r="C23" s="64"/>
      <c r="D23" s="64"/>
      <c r="E23" s="64"/>
      <c r="F23" s="64"/>
      <c r="G23" s="64"/>
      <c r="H23" s="64"/>
      <c r="I23" s="64"/>
      <c r="J23" s="64"/>
      <c r="K23" s="64"/>
      <c r="L23" s="64"/>
      <c r="M23" s="64"/>
      <c r="N23" s="64"/>
      <c r="O23" s="64"/>
      <c r="P23" s="64"/>
      <c r="Q23" s="64"/>
      <c r="R23" s="64"/>
      <c r="S23" s="96"/>
      <c r="T23" s="95"/>
      <c r="U23" s="147" t="s">
        <v>258</v>
      </c>
      <c r="V23" s="64"/>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64"/>
      <c r="W24" s="64"/>
      <c r="X24" s="64"/>
      <c r="Y24" s="64"/>
      <c r="Z24" s="64"/>
      <c r="AA24" s="64"/>
      <c r="AB24" s="64"/>
      <c r="AC24" s="64"/>
      <c r="AD24" s="64"/>
      <c r="AE24" s="64"/>
      <c r="AF24" s="64"/>
      <c r="AG24" s="64"/>
      <c r="AH24" s="64"/>
      <c r="AI24" s="64"/>
      <c r="AJ24" s="64"/>
      <c r="AK24" s="64"/>
      <c r="AL24" s="96"/>
    </row>
    <row r="25" spans="1:38" ht="12.75" customHeight="1">
      <c r="A25" s="95"/>
      <c r="B25" s="147" t="s">
        <v>259</v>
      </c>
      <c r="C25" s="64"/>
      <c r="D25" s="64"/>
      <c r="E25" s="64"/>
      <c r="F25" s="64"/>
      <c r="G25" s="64"/>
      <c r="H25" s="64"/>
      <c r="I25" s="64"/>
      <c r="J25" s="64"/>
      <c r="K25" s="64"/>
      <c r="L25" s="64"/>
      <c r="M25" s="64"/>
      <c r="N25" s="64"/>
      <c r="O25" s="64"/>
      <c r="P25" s="64"/>
      <c r="Q25" s="64"/>
      <c r="R25" s="64"/>
      <c r="S25" s="96"/>
      <c r="T25" s="95"/>
      <c r="U25" s="147" t="s">
        <v>259</v>
      </c>
      <c r="V25" s="64"/>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64"/>
      <c r="W26" s="64"/>
      <c r="X26" s="64"/>
      <c r="Y26" s="64"/>
      <c r="Z26" s="64"/>
      <c r="AA26" s="64"/>
      <c r="AB26" s="64"/>
      <c r="AC26" s="64"/>
      <c r="AD26" s="64"/>
      <c r="AE26" s="64"/>
      <c r="AF26" s="64"/>
      <c r="AG26" s="64"/>
      <c r="AH26" s="64"/>
      <c r="AI26" s="64"/>
      <c r="AJ26" s="64"/>
      <c r="AK26" s="64"/>
      <c r="AL26" s="96"/>
    </row>
    <row r="27" spans="1:38" ht="12.75" customHeight="1">
      <c r="A27" s="95"/>
      <c r="B27" s="147" t="s">
        <v>260</v>
      </c>
      <c r="C27" s="64"/>
      <c r="D27" s="64"/>
      <c r="E27" s="64"/>
      <c r="F27" s="64"/>
      <c r="G27" s="64"/>
      <c r="H27" s="64"/>
      <c r="I27" s="64"/>
      <c r="J27" s="64"/>
      <c r="K27" s="64"/>
      <c r="L27" s="64"/>
      <c r="M27" s="64"/>
      <c r="N27" s="64"/>
      <c r="O27" s="64"/>
      <c r="P27" s="64"/>
      <c r="Q27" s="64"/>
      <c r="R27" s="64"/>
      <c r="S27" s="96"/>
      <c r="T27" s="95"/>
      <c r="U27" s="147" t="s">
        <v>260</v>
      </c>
      <c r="V27" s="64"/>
      <c r="W27" s="64"/>
      <c r="X27" s="64"/>
      <c r="Y27" s="64"/>
      <c r="Z27" s="64"/>
      <c r="AA27" s="64"/>
      <c r="AB27" s="64"/>
      <c r="AC27" s="64"/>
      <c r="AD27" s="64"/>
      <c r="AE27" s="64"/>
      <c r="AF27" s="64"/>
      <c r="AG27" s="64"/>
      <c r="AH27" s="64"/>
      <c r="AI27" s="64"/>
      <c r="AJ27" s="64"/>
      <c r="AK27" s="64"/>
      <c r="AL27" s="96"/>
    </row>
    <row r="28" spans="1:38" ht="12.75" customHeight="1">
      <c r="A28" s="145"/>
      <c r="B28" s="65"/>
      <c r="C28" s="65"/>
      <c r="D28" s="65"/>
      <c r="E28" s="65"/>
      <c r="F28" s="65"/>
      <c r="G28" s="65"/>
      <c r="H28" s="65"/>
      <c r="I28" s="65"/>
      <c r="J28" s="65"/>
      <c r="K28" s="65"/>
      <c r="L28" s="65"/>
      <c r="M28" s="65"/>
      <c r="N28" s="65"/>
      <c r="O28" s="65"/>
      <c r="P28" s="65"/>
      <c r="Q28" s="65"/>
      <c r="R28" s="65"/>
      <c r="S28" s="146"/>
      <c r="T28" s="145"/>
      <c r="U28" s="65"/>
      <c r="V28" s="65"/>
      <c r="W28" s="65"/>
      <c r="X28" s="65"/>
      <c r="Y28" s="65"/>
      <c r="Z28" s="65"/>
      <c r="AA28" s="65"/>
      <c r="AB28" s="65"/>
      <c r="AC28" s="65"/>
      <c r="AD28" s="65"/>
      <c r="AE28" s="65"/>
      <c r="AF28" s="65"/>
      <c r="AG28" s="65"/>
      <c r="AH28" s="65"/>
      <c r="AI28" s="65"/>
      <c r="AJ28" s="65"/>
      <c r="AK28" s="65"/>
      <c r="AL28" s="146"/>
    </row>
    <row r="29" spans="1:38" ht="12.75" customHeight="1">
      <c r="A29" s="145"/>
      <c r="B29" s="147" t="s">
        <v>261</v>
      </c>
      <c r="C29" s="65"/>
      <c r="D29" s="65"/>
      <c r="E29" s="65"/>
      <c r="F29" s="65"/>
      <c r="G29" s="65"/>
      <c r="H29" s="65"/>
      <c r="I29" s="65"/>
      <c r="J29" s="65"/>
      <c r="K29" s="65"/>
      <c r="L29" s="65"/>
      <c r="M29" s="65"/>
      <c r="N29" s="65"/>
      <c r="O29" s="65"/>
      <c r="P29" s="65"/>
      <c r="Q29" s="65"/>
      <c r="R29" s="65"/>
      <c r="S29" s="146"/>
      <c r="T29" s="145"/>
      <c r="U29" s="147" t="s">
        <v>261</v>
      </c>
      <c r="V29" s="65"/>
      <c r="W29" s="65"/>
      <c r="X29" s="65"/>
      <c r="Y29" s="65"/>
      <c r="Z29" s="65"/>
      <c r="AA29" s="65"/>
      <c r="AB29" s="65"/>
      <c r="AC29" s="65"/>
      <c r="AD29" s="65"/>
      <c r="AE29" s="65"/>
      <c r="AF29" s="65"/>
      <c r="AG29" s="65"/>
      <c r="AH29" s="65"/>
      <c r="AI29" s="65"/>
      <c r="AJ29" s="65"/>
      <c r="AK29" s="65"/>
      <c r="AL29" s="146"/>
    </row>
    <row r="30" spans="1:38" ht="12.75" customHeight="1">
      <c r="A30" s="145"/>
      <c r="B30" s="147" t="s">
        <v>262</v>
      </c>
      <c r="C30" s="65"/>
      <c r="D30" s="65"/>
      <c r="E30" s="65"/>
      <c r="F30" s="65"/>
      <c r="G30" s="65"/>
      <c r="H30" s="65"/>
      <c r="I30" s="65"/>
      <c r="J30" s="65"/>
      <c r="K30" s="65"/>
      <c r="L30" s="65"/>
      <c r="M30" s="65"/>
      <c r="N30" s="65"/>
      <c r="O30" s="65"/>
      <c r="P30" s="65"/>
      <c r="Q30" s="65"/>
      <c r="R30" s="65"/>
      <c r="S30" s="146"/>
      <c r="T30" s="145"/>
      <c r="U30" s="147" t="s">
        <v>262</v>
      </c>
      <c r="V30" s="65"/>
      <c r="W30" s="65"/>
      <c r="X30" s="65"/>
      <c r="Y30" s="65"/>
      <c r="Z30" s="65"/>
      <c r="AA30" s="65"/>
      <c r="AB30" s="65"/>
      <c r="AC30" s="65"/>
      <c r="AD30" s="65"/>
      <c r="AE30" s="65"/>
      <c r="AF30" s="65"/>
      <c r="AG30" s="65"/>
      <c r="AH30" s="65"/>
      <c r="AI30" s="65"/>
      <c r="AJ30" s="65"/>
      <c r="AK30" s="65"/>
      <c r="AL30" s="146"/>
    </row>
    <row r="31" spans="1:38" ht="12.75" customHeight="1">
      <c r="A31" s="145"/>
      <c r="B31" s="64"/>
      <c r="C31" s="65"/>
      <c r="D31" s="65"/>
      <c r="E31" s="65"/>
      <c r="F31" s="65"/>
      <c r="G31" s="65"/>
      <c r="H31" s="65"/>
      <c r="I31" s="65"/>
      <c r="J31" s="65"/>
      <c r="K31" s="65"/>
      <c r="L31" s="65"/>
      <c r="M31" s="65"/>
      <c r="N31" s="65"/>
      <c r="O31" s="65"/>
      <c r="P31" s="65"/>
      <c r="Q31" s="65"/>
      <c r="R31" s="65"/>
      <c r="S31" s="146"/>
      <c r="T31" s="145"/>
      <c r="U31" s="64"/>
      <c r="V31" s="65"/>
      <c r="W31" s="65"/>
      <c r="X31" s="65"/>
      <c r="Y31" s="65"/>
      <c r="Z31" s="65"/>
      <c r="AA31" s="65"/>
      <c r="AB31" s="65"/>
      <c r="AC31" s="65"/>
      <c r="AD31" s="65"/>
      <c r="AE31" s="65"/>
      <c r="AF31" s="65"/>
      <c r="AG31" s="65"/>
      <c r="AH31" s="65"/>
      <c r="AI31" s="65"/>
      <c r="AJ31" s="65"/>
      <c r="AK31" s="65"/>
      <c r="AL31" s="146"/>
    </row>
    <row r="32" spans="1:38" ht="12.75" customHeight="1">
      <c r="A32" s="145"/>
      <c r="B32" s="204"/>
      <c r="C32" s="65"/>
      <c r="D32" s="65"/>
      <c r="E32" s="64"/>
      <c r="F32" s="64"/>
      <c r="G32" s="147"/>
      <c r="H32" s="65"/>
      <c r="I32" s="65"/>
      <c r="J32" s="65"/>
      <c r="K32" s="65"/>
      <c r="L32" s="65"/>
      <c r="M32" s="65"/>
      <c r="N32" s="65"/>
      <c r="O32" s="65"/>
      <c r="P32" s="65"/>
      <c r="Q32" s="65"/>
      <c r="R32" s="65"/>
      <c r="S32" s="146"/>
      <c r="T32" s="145"/>
      <c r="U32" s="65"/>
      <c r="V32" s="65"/>
      <c r="W32" s="65"/>
      <c r="X32" s="64"/>
      <c r="Y32" s="64"/>
      <c r="Z32" s="147"/>
      <c r="AA32" s="65"/>
      <c r="AB32" s="65"/>
      <c r="AC32" s="65"/>
      <c r="AD32" s="65"/>
      <c r="AE32" s="65"/>
      <c r="AF32" s="65"/>
      <c r="AG32" s="65"/>
      <c r="AH32" s="65"/>
      <c r="AI32" s="65"/>
      <c r="AJ32" s="65"/>
      <c r="AK32" s="65"/>
      <c r="AL32" s="146"/>
    </row>
    <row r="33" spans="1:39" ht="12.75" customHeight="1">
      <c r="A33" s="145"/>
      <c r="B33" s="65"/>
      <c r="C33" s="65"/>
      <c r="D33" s="147"/>
      <c r="E33" s="64"/>
      <c r="F33" s="65"/>
      <c r="G33" s="64"/>
      <c r="H33" s="65"/>
      <c r="I33" s="65"/>
      <c r="J33" s="65"/>
      <c r="K33" s="65"/>
      <c r="L33" s="65"/>
      <c r="M33" s="65"/>
      <c r="N33" s="65"/>
      <c r="O33" s="65"/>
      <c r="P33" s="65"/>
      <c r="Q33" s="65"/>
      <c r="R33" s="65"/>
      <c r="S33" s="146"/>
      <c r="T33" s="145"/>
      <c r="U33" s="65"/>
      <c r="V33" s="65"/>
      <c r="W33" s="147"/>
      <c r="X33" s="64"/>
      <c r="Y33" s="65"/>
      <c r="Z33" s="64"/>
      <c r="AA33" s="65"/>
      <c r="AB33" s="65"/>
      <c r="AC33" s="65"/>
      <c r="AD33" s="65"/>
      <c r="AE33" s="65"/>
      <c r="AF33" s="65"/>
      <c r="AG33" s="65"/>
      <c r="AH33" s="65"/>
      <c r="AI33" s="65"/>
      <c r="AJ33" s="65"/>
      <c r="AK33" s="65"/>
      <c r="AL33" s="146"/>
    </row>
    <row r="34" spans="1:39" ht="12.75" customHeight="1">
      <c r="A34" s="145"/>
      <c r="B34" s="65"/>
      <c r="C34" s="65"/>
      <c r="D34" s="65"/>
      <c r="E34" s="65"/>
      <c r="F34" s="65"/>
      <c r="G34" s="147"/>
      <c r="H34" s="147"/>
      <c r="I34" s="65"/>
      <c r="J34" s="65"/>
      <c r="K34" s="65"/>
      <c r="L34" s="65"/>
      <c r="M34" s="65"/>
      <c r="N34" s="65"/>
      <c r="O34" s="65"/>
      <c r="P34" s="65"/>
      <c r="Q34" s="65"/>
      <c r="R34" s="65"/>
      <c r="S34" s="146"/>
      <c r="T34" s="145"/>
      <c r="U34" s="65"/>
      <c r="V34" s="65"/>
      <c r="W34" s="65"/>
      <c r="X34" s="65"/>
      <c r="Y34" s="65"/>
      <c r="Z34" s="147"/>
      <c r="AA34" s="65"/>
      <c r="AB34" s="65"/>
      <c r="AC34" s="65"/>
      <c r="AD34" s="65"/>
      <c r="AE34" s="65"/>
      <c r="AF34" s="65"/>
      <c r="AG34" s="65"/>
      <c r="AH34" s="65"/>
      <c r="AI34" s="65"/>
      <c r="AJ34" s="65"/>
      <c r="AK34" s="65"/>
      <c r="AL34" s="146"/>
    </row>
    <row r="35" spans="1:39" ht="12.75" customHeight="1">
      <c r="A35" s="95"/>
      <c r="B35" s="65"/>
      <c r="C35" s="65"/>
      <c r="D35" s="65"/>
      <c r="E35" s="65"/>
      <c r="F35" s="65"/>
      <c r="G35" s="65"/>
      <c r="H35" s="65"/>
      <c r="I35" s="65"/>
      <c r="J35" s="65"/>
      <c r="K35" s="65"/>
      <c r="L35" s="65"/>
      <c r="M35" s="65"/>
      <c r="N35" s="65"/>
      <c r="O35" s="65"/>
      <c r="P35" s="65"/>
      <c r="Q35" s="65"/>
      <c r="R35" s="65"/>
      <c r="S35" s="146"/>
      <c r="T35" s="95"/>
      <c r="U35" s="65"/>
      <c r="V35" s="65"/>
      <c r="W35" s="65"/>
      <c r="X35" s="65"/>
      <c r="Y35" s="65"/>
      <c r="Z35" s="65"/>
      <c r="AA35" s="65"/>
      <c r="AB35" s="65"/>
      <c r="AC35" s="65"/>
      <c r="AD35" s="65"/>
      <c r="AE35" s="65"/>
      <c r="AF35" s="65"/>
      <c r="AG35" s="65"/>
      <c r="AH35" s="65"/>
      <c r="AI35" s="65"/>
      <c r="AJ35" s="65"/>
      <c r="AK35" s="65"/>
      <c r="AL35" s="146"/>
    </row>
    <row r="36" spans="1:39" ht="12.75" customHeight="1">
      <c r="A36" s="95"/>
      <c r="B36" s="65"/>
      <c r="C36" s="65"/>
      <c r="D36" s="65"/>
      <c r="E36" s="65"/>
      <c r="F36" s="65"/>
      <c r="G36" s="65"/>
      <c r="H36" s="65"/>
      <c r="I36" s="65"/>
      <c r="J36" s="65"/>
      <c r="K36" s="65"/>
      <c r="L36" s="65"/>
      <c r="M36" s="65"/>
      <c r="N36" s="65"/>
      <c r="O36" s="65"/>
      <c r="P36" s="65"/>
      <c r="Q36" s="65"/>
      <c r="R36" s="65"/>
      <c r="S36" s="146"/>
      <c r="T36" s="95"/>
      <c r="U36" s="65"/>
      <c r="V36" s="65"/>
      <c r="W36" s="65"/>
      <c r="X36" s="65"/>
      <c r="Y36" s="65"/>
      <c r="Z36" s="65"/>
      <c r="AA36" s="65"/>
      <c r="AB36" s="65"/>
      <c r="AC36" s="65"/>
      <c r="AD36" s="65"/>
      <c r="AE36" s="65"/>
      <c r="AF36" s="65"/>
      <c r="AG36" s="65"/>
      <c r="AH36" s="65"/>
      <c r="AI36" s="65"/>
      <c r="AJ36" s="65"/>
      <c r="AK36" s="65"/>
      <c r="AL36" s="146"/>
    </row>
    <row r="37" spans="1:39" ht="12.75" customHeight="1">
      <c r="A37" s="95"/>
      <c r="B37" s="65"/>
      <c r="C37" s="65"/>
      <c r="D37" s="65"/>
      <c r="E37" s="65"/>
      <c r="F37" s="65"/>
      <c r="G37" s="65"/>
      <c r="H37" s="65"/>
      <c r="I37" s="65"/>
      <c r="J37" s="65"/>
      <c r="K37" s="65"/>
      <c r="L37" s="65"/>
      <c r="M37" s="65"/>
      <c r="N37" s="65"/>
      <c r="O37" s="65"/>
      <c r="P37" s="65"/>
      <c r="Q37" s="65"/>
      <c r="R37" s="65"/>
      <c r="S37" s="146"/>
      <c r="T37" s="95"/>
      <c r="U37" s="65"/>
      <c r="V37" s="65"/>
      <c r="W37" s="65"/>
      <c r="X37" s="65"/>
      <c r="Y37" s="65"/>
      <c r="Z37" s="65"/>
      <c r="AA37" s="65"/>
      <c r="AB37" s="65"/>
      <c r="AC37" s="65"/>
      <c r="AD37" s="65"/>
      <c r="AE37" s="65"/>
      <c r="AF37" s="65"/>
      <c r="AG37" s="65"/>
      <c r="AH37" s="65"/>
      <c r="AI37" s="65"/>
      <c r="AJ37" s="65"/>
      <c r="AK37" s="65"/>
      <c r="AL37" s="146"/>
    </row>
    <row r="38" spans="1:39" ht="12.75" customHeight="1">
      <c r="A38" s="95"/>
      <c r="B38" s="65"/>
      <c r="C38" s="65"/>
      <c r="D38" s="65"/>
      <c r="E38" s="65"/>
      <c r="F38" s="65"/>
      <c r="G38" s="65"/>
      <c r="H38" s="65"/>
      <c r="I38" s="65"/>
      <c r="J38" s="65"/>
      <c r="K38" s="65"/>
      <c r="L38" s="65"/>
      <c r="M38" s="65"/>
      <c r="N38" s="65"/>
      <c r="O38" s="65"/>
      <c r="P38" s="65"/>
      <c r="Q38" s="65"/>
      <c r="R38" s="65"/>
      <c r="S38" s="146"/>
      <c r="T38" s="95"/>
      <c r="U38" s="65"/>
      <c r="V38" s="65"/>
      <c r="W38" s="65"/>
      <c r="X38" s="65"/>
      <c r="Y38" s="65"/>
      <c r="Z38" s="65"/>
      <c r="AA38" s="65"/>
      <c r="AB38" s="65"/>
      <c r="AC38" s="65"/>
      <c r="AD38" s="65"/>
      <c r="AE38" s="65"/>
      <c r="AF38" s="65"/>
      <c r="AG38" s="65"/>
      <c r="AH38" s="65"/>
      <c r="AI38" s="65"/>
      <c r="AJ38" s="65"/>
      <c r="AK38" s="65"/>
      <c r="AL38" s="146"/>
    </row>
    <row r="39" spans="1:39" ht="12.75" customHeight="1">
      <c r="A39" s="95"/>
      <c r="B39" s="65"/>
      <c r="C39" s="65"/>
      <c r="D39" s="65"/>
      <c r="E39" s="65"/>
      <c r="F39" s="65"/>
      <c r="G39" s="65"/>
      <c r="H39" s="65"/>
      <c r="I39" s="65"/>
      <c r="J39" s="65"/>
      <c r="K39" s="65"/>
      <c r="L39" s="65"/>
      <c r="M39" s="65"/>
      <c r="N39" s="65"/>
      <c r="O39" s="65"/>
      <c r="P39" s="65"/>
      <c r="Q39" s="65"/>
      <c r="R39" s="65"/>
      <c r="S39" s="146"/>
      <c r="T39" s="95"/>
      <c r="U39" s="65"/>
      <c r="V39" s="65"/>
      <c r="W39" s="65"/>
      <c r="X39" s="65"/>
      <c r="Y39" s="65"/>
      <c r="Z39" s="65"/>
      <c r="AA39" s="65"/>
      <c r="AB39" s="65"/>
      <c r="AC39" s="65"/>
      <c r="AD39" s="65"/>
      <c r="AE39" s="65"/>
      <c r="AF39" s="65"/>
      <c r="AG39" s="65"/>
      <c r="AH39" s="65"/>
      <c r="AI39" s="65"/>
      <c r="AJ39" s="65"/>
      <c r="AK39" s="65"/>
      <c r="AL39" s="146"/>
    </row>
    <row r="40" spans="1:39" ht="12.75" customHeight="1">
      <c r="A40" s="95"/>
      <c r="B40" s="65"/>
      <c r="C40" s="65"/>
      <c r="D40" s="65"/>
      <c r="E40" s="65"/>
      <c r="F40" s="65"/>
      <c r="G40" s="65"/>
      <c r="H40" s="65"/>
      <c r="I40" s="65"/>
      <c r="J40" s="65"/>
      <c r="K40" s="65"/>
      <c r="L40" s="65"/>
      <c r="M40" s="65"/>
      <c r="N40" s="65"/>
      <c r="O40" s="65"/>
      <c r="P40" s="65"/>
      <c r="Q40" s="65"/>
      <c r="R40" s="65"/>
      <c r="S40" s="146"/>
      <c r="T40" s="95"/>
      <c r="U40" s="65"/>
      <c r="V40" s="65"/>
      <c r="W40" s="65"/>
      <c r="X40" s="65"/>
      <c r="Y40" s="65"/>
      <c r="Z40" s="65"/>
      <c r="AA40" s="65"/>
      <c r="AB40" s="65"/>
      <c r="AC40" s="65"/>
      <c r="AD40" s="65"/>
      <c r="AE40" s="65"/>
      <c r="AF40" s="65"/>
      <c r="AG40" s="65"/>
      <c r="AH40" s="65"/>
      <c r="AI40" s="65"/>
      <c r="AJ40" s="65"/>
      <c r="AK40" s="65"/>
      <c r="AL40" s="146"/>
    </row>
    <row r="41" spans="1:39" ht="12.75" customHeight="1">
      <c r="A41" s="95"/>
      <c r="B41" s="65"/>
      <c r="C41" s="65"/>
      <c r="D41" s="65"/>
      <c r="E41" s="65"/>
      <c r="F41" s="65"/>
      <c r="G41" s="65"/>
      <c r="H41" s="65"/>
      <c r="I41" s="65"/>
      <c r="J41" s="65"/>
      <c r="K41" s="65"/>
      <c r="L41" s="65"/>
      <c r="M41" s="65"/>
      <c r="N41" s="65"/>
      <c r="O41" s="65"/>
      <c r="P41" s="65"/>
      <c r="Q41" s="65"/>
      <c r="R41" s="65"/>
      <c r="S41" s="146"/>
      <c r="T41" s="95"/>
      <c r="U41" s="65"/>
      <c r="V41" s="65"/>
      <c r="W41" s="65"/>
      <c r="X41" s="65"/>
      <c r="Y41" s="65"/>
      <c r="Z41" s="65"/>
      <c r="AA41" s="65"/>
      <c r="AB41" s="65"/>
      <c r="AC41" s="65"/>
      <c r="AD41" s="65"/>
      <c r="AE41" s="65"/>
      <c r="AF41" s="65"/>
      <c r="AG41" s="65"/>
      <c r="AH41" s="65"/>
      <c r="AI41" s="65"/>
      <c r="AJ41" s="65"/>
      <c r="AK41" s="65"/>
      <c r="AL41" s="146"/>
    </row>
    <row r="42" spans="1:39" ht="12.75" customHeight="1">
      <c r="A42" s="95"/>
      <c r="B42" s="65"/>
      <c r="C42" s="65"/>
      <c r="D42" s="65"/>
      <c r="E42" s="65"/>
      <c r="F42" s="65"/>
      <c r="G42" s="65"/>
      <c r="H42" s="65"/>
      <c r="I42" s="65"/>
      <c r="J42" s="65"/>
      <c r="K42" s="65"/>
      <c r="L42" s="65"/>
      <c r="M42" s="65"/>
      <c r="N42" s="65"/>
      <c r="O42" s="65"/>
      <c r="P42" s="65"/>
      <c r="Q42" s="65"/>
      <c r="R42" s="65"/>
      <c r="S42" s="146"/>
      <c r="T42" s="95"/>
      <c r="U42" s="65"/>
      <c r="V42" s="65"/>
      <c r="W42" s="65"/>
      <c r="X42" s="65"/>
      <c r="Y42" s="65"/>
      <c r="Z42" s="65"/>
      <c r="AA42" s="65"/>
      <c r="AB42" s="65"/>
      <c r="AC42" s="65"/>
      <c r="AD42" s="65"/>
      <c r="AE42" s="65"/>
      <c r="AF42" s="65"/>
      <c r="AG42" s="65"/>
      <c r="AH42" s="65"/>
      <c r="AI42" s="65"/>
      <c r="AJ42" s="65"/>
      <c r="AK42" s="65"/>
      <c r="AL42" s="146"/>
    </row>
    <row r="43" spans="1:39" ht="12.75" customHeight="1">
      <c r="A43" s="95"/>
      <c r="B43" s="204"/>
      <c r="C43" s="65"/>
      <c r="D43" s="65"/>
      <c r="E43" s="65"/>
      <c r="F43" s="65"/>
      <c r="G43" s="65"/>
      <c r="H43" s="65"/>
      <c r="I43" s="65"/>
      <c r="J43" s="65"/>
      <c r="K43" s="65"/>
      <c r="L43" s="65"/>
      <c r="M43" s="65"/>
      <c r="N43" s="65"/>
      <c r="O43" s="65"/>
      <c r="P43" s="65"/>
      <c r="Q43" s="65"/>
      <c r="R43" s="65"/>
      <c r="S43" s="146"/>
      <c r="T43" s="95"/>
      <c r="U43" s="65"/>
      <c r="V43" s="65"/>
      <c r="W43" s="65"/>
      <c r="X43" s="65"/>
      <c r="Y43" s="65"/>
      <c r="Z43" s="65"/>
      <c r="AA43" s="65"/>
      <c r="AB43" s="65"/>
      <c r="AC43" s="65"/>
      <c r="AD43" s="65"/>
      <c r="AE43" s="65"/>
      <c r="AF43" s="65"/>
      <c r="AG43" s="65"/>
      <c r="AH43" s="65"/>
      <c r="AI43" s="65"/>
      <c r="AJ43" s="65"/>
      <c r="AK43" s="65"/>
      <c r="AL43" s="146"/>
    </row>
    <row r="44" spans="1:39" ht="12.75" customHeight="1">
      <c r="A44" s="95"/>
      <c r="B44" s="65"/>
      <c r="C44" s="65"/>
      <c r="D44" s="65"/>
      <c r="E44" s="65"/>
      <c r="F44" s="65"/>
      <c r="G44" s="65"/>
      <c r="H44" s="65"/>
      <c r="I44" s="65"/>
      <c r="J44" s="65"/>
      <c r="K44" s="65"/>
      <c r="L44" s="65"/>
      <c r="M44" s="65"/>
      <c r="N44" s="65"/>
      <c r="O44" s="65"/>
      <c r="P44" s="65"/>
      <c r="Q44" s="65"/>
      <c r="R44" s="65"/>
      <c r="S44" s="146"/>
      <c r="T44" s="95"/>
      <c r="U44" s="65"/>
      <c r="V44" s="65"/>
      <c r="W44" s="65"/>
      <c r="X44" s="65"/>
      <c r="Y44" s="65"/>
      <c r="Z44" s="65"/>
      <c r="AA44" s="65"/>
      <c r="AB44" s="65"/>
      <c r="AC44" s="65"/>
      <c r="AD44" s="65"/>
      <c r="AE44" s="65"/>
      <c r="AF44" s="65"/>
      <c r="AG44" s="65"/>
      <c r="AH44" s="65"/>
      <c r="AI44" s="65"/>
      <c r="AJ44" s="65"/>
      <c r="AK44" s="65"/>
      <c r="AL44" s="146"/>
    </row>
    <row r="45" spans="1:39" ht="12.75" customHeight="1">
      <c r="A45" s="205" t="s">
        <v>403</v>
      </c>
      <c r="B45" s="206"/>
      <c r="C45" s="206"/>
      <c r="D45" s="206"/>
      <c r="E45" s="206"/>
      <c r="F45" s="206"/>
      <c r="G45" s="206"/>
      <c r="H45" s="206"/>
      <c r="I45" s="206"/>
      <c r="J45" s="206"/>
      <c r="K45" s="206"/>
      <c r="L45" s="206"/>
      <c r="M45" s="206"/>
      <c r="N45" s="206"/>
      <c r="O45" s="206"/>
      <c r="P45" s="206"/>
      <c r="Q45" s="206"/>
      <c r="R45" s="206"/>
      <c r="S45" s="207"/>
      <c r="T45" s="205" t="s">
        <v>404</v>
      </c>
      <c r="U45" s="206"/>
      <c r="V45" s="206"/>
      <c r="W45" s="206"/>
      <c r="X45" s="206"/>
      <c r="Y45" s="206"/>
      <c r="Z45" s="206"/>
      <c r="AA45" s="206"/>
      <c r="AB45" s="206"/>
      <c r="AC45" s="206"/>
      <c r="AD45" s="206"/>
      <c r="AE45" s="206"/>
      <c r="AF45" s="206"/>
      <c r="AG45" s="206"/>
      <c r="AH45" s="206"/>
      <c r="AI45" s="206"/>
      <c r="AJ45" s="206"/>
      <c r="AK45" s="206"/>
      <c r="AL45" s="207"/>
    </row>
    <row r="46" spans="1:39" ht="12.75" customHeight="1">
      <c r="A46" s="153"/>
      <c r="B46" s="77"/>
      <c r="C46" s="77"/>
      <c r="D46" s="77"/>
      <c r="E46" s="77"/>
      <c r="F46" s="77"/>
      <c r="G46" s="77"/>
      <c r="H46" s="77"/>
      <c r="I46" s="77"/>
      <c r="J46" s="77"/>
      <c r="K46" s="77"/>
      <c r="L46" s="77"/>
      <c r="M46" s="77"/>
      <c r="N46" s="77"/>
      <c r="O46" s="77"/>
      <c r="P46" s="77"/>
      <c r="Q46" s="77"/>
      <c r="R46" s="77"/>
      <c r="S46" s="152"/>
      <c r="T46" s="153"/>
      <c r="U46" s="77"/>
      <c r="V46" s="77"/>
      <c r="W46" s="77"/>
      <c r="X46" s="77"/>
      <c r="Y46" s="77"/>
      <c r="Z46" s="77"/>
      <c r="AA46" s="77"/>
      <c r="AB46" s="77"/>
      <c r="AC46" s="77"/>
      <c r="AD46" s="77"/>
      <c r="AE46" s="77"/>
      <c r="AF46" s="77"/>
      <c r="AG46" s="77"/>
      <c r="AH46" s="77"/>
      <c r="AI46" s="77"/>
      <c r="AJ46" s="77"/>
      <c r="AK46" s="77"/>
      <c r="AL46" s="152"/>
    </row>
    <row r="47" spans="1:39" ht="12.75" customHeight="1">
      <c r="A47" s="208" t="s">
        <v>405</v>
      </c>
      <c r="B47" s="158"/>
      <c r="C47" s="158"/>
      <c r="D47" s="158"/>
      <c r="E47" s="158"/>
      <c r="F47" s="158"/>
      <c r="G47" s="158"/>
      <c r="H47" s="158"/>
      <c r="I47" s="158"/>
      <c r="J47" s="158"/>
      <c r="K47" s="158"/>
      <c r="L47" s="158"/>
      <c r="M47" s="158"/>
      <c r="N47" s="158"/>
      <c r="O47" s="158"/>
      <c r="P47" s="158"/>
      <c r="Q47" s="158"/>
      <c r="R47" s="158"/>
      <c r="S47" s="159"/>
      <c r="T47" s="151" t="s">
        <v>406</v>
      </c>
      <c r="U47" s="158"/>
      <c r="V47" s="158"/>
      <c r="W47" s="158"/>
      <c r="X47" s="158"/>
      <c r="Y47" s="158"/>
      <c r="Z47" s="158"/>
      <c r="AA47" s="158"/>
      <c r="AB47" s="158"/>
      <c r="AC47" s="158"/>
      <c r="AD47" s="158"/>
      <c r="AE47" s="158"/>
      <c r="AF47" s="158"/>
      <c r="AG47" s="158"/>
      <c r="AH47" s="158"/>
      <c r="AI47" s="158"/>
      <c r="AJ47" s="158"/>
      <c r="AK47" s="158"/>
      <c r="AL47" s="159"/>
      <c r="AM47" s="209" t="s">
        <v>407</v>
      </c>
    </row>
    <row r="48" spans="1:39" ht="12.75" customHeight="1">
      <c r="A48" s="664" t="s">
        <v>408</v>
      </c>
      <c r="B48" s="598"/>
      <c r="C48" s="599"/>
      <c r="D48" s="665"/>
      <c r="E48" s="588"/>
      <c r="F48" s="210" t="s">
        <v>409</v>
      </c>
      <c r="G48" s="25"/>
      <c r="H48" s="155"/>
      <c r="I48" s="158"/>
      <c r="J48" s="158"/>
      <c r="K48" s="158"/>
      <c r="L48" s="158"/>
      <c r="M48" s="158"/>
      <c r="N48" s="158"/>
      <c r="O48" s="158"/>
      <c r="P48" s="158"/>
      <c r="Q48" s="158"/>
      <c r="R48" s="158"/>
      <c r="S48" s="159"/>
      <c r="T48" s="664" t="s">
        <v>408</v>
      </c>
      <c r="U48" s="598"/>
      <c r="V48" s="599"/>
      <c r="W48" s="689"/>
      <c r="X48" s="588"/>
      <c r="Y48" s="210" t="s">
        <v>410</v>
      </c>
      <c r="Z48" s="25"/>
      <c r="AA48" s="155"/>
      <c r="AB48" s="158"/>
      <c r="AC48" s="158"/>
      <c r="AD48" s="158"/>
      <c r="AE48" s="158"/>
      <c r="AF48" s="158"/>
      <c r="AG48" s="158"/>
      <c r="AH48" s="158"/>
      <c r="AI48" s="158"/>
      <c r="AJ48" s="158"/>
      <c r="AK48" s="158"/>
      <c r="AL48" s="159"/>
    </row>
    <row r="49" spans="1:38" ht="12.75" customHeight="1">
      <c r="A49" s="664" t="s">
        <v>411</v>
      </c>
      <c r="B49" s="598"/>
      <c r="C49" s="598"/>
      <c r="D49" s="665"/>
      <c r="E49" s="588"/>
      <c r="F49" s="690" t="str">
        <f>IF(D49&gt;=4000,"PASS","FAIL")</f>
        <v>FAIL</v>
      </c>
      <c r="G49" s="588"/>
      <c r="H49" s="155"/>
      <c r="I49" s="158"/>
      <c r="J49" s="158"/>
      <c r="K49" s="158"/>
      <c r="L49" s="158"/>
      <c r="M49" s="158"/>
      <c r="N49" s="158"/>
      <c r="O49" s="158"/>
      <c r="P49" s="158"/>
      <c r="Q49" s="158"/>
      <c r="R49" s="158"/>
      <c r="S49" s="159"/>
      <c r="T49" s="664" t="s">
        <v>411</v>
      </c>
      <c r="U49" s="598"/>
      <c r="V49" s="598"/>
      <c r="W49" s="689"/>
      <c r="X49" s="588"/>
      <c r="Y49" s="690" t="str">
        <f>IF(W49&gt;=7500,"PASS","FAIL")</f>
        <v>FAIL</v>
      </c>
      <c r="Z49" s="588"/>
      <c r="AA49" s="155"/>
      <c r="AB49" s="158"/>
      <c r="AC49" s="158"/>
      <c r="AD49" s="158"/>
      <c r="AE49" s="158"/>
      <c r="AF49" s="158"/>
      <c r="AG49" s="158"/>
      <c r="AH49" s="158"/>
      <c r="AI49" s="158"/>
      <c r="AJ49" s="158"/>
      <c r="AK49" s="158"/>
      <c r="AL49" s="159"/>
    </row>
    <row r="50" spans="1:38" ht="12.75" customHeight="1">
      <c r="A50" s="172"/>
      <c r="B50" s="175"/>
      <c r="C50" s="175"/>
      <c r="D50" s="175"/>
      <c r="E50" s="175"/>
      <c r="F50" s="175"/>
      <c r="G50" s="175"/>
      <c r="H50" s="175"/>
      <c r="I50" s="175"/>
      <c r="J50" s="175"/>
      <c r="K50" s="175"/>
      <c r="L50" s="175"/>
      <c r="M50" s="175"/>
      <c r="N50" s="175"/>
      <c r="O50" s="175"/>
      <c r="P50" s="175"/>
      <c r="Q50" s="175"/>
      <c r="R50" s="175"/>
      <c r="S50" s="176"/>
      <c r="T50" s="172"/>
      <c r="U50" s="175"/>
      <c r="V50" s="175"/>
      <c r="W50" s="175"/>
      <c r="X50" s="175"/>
      <c r="Y50" s="175"/>
      <c r="Z50" s="175"/>
      <c r="AA50" s="175"/>
      <c r="AB50" s="175"/>
      <c r="AC50" s="175"/>
      <c r="AD50" s="175"/>
      <c r="AE50" s="175"/>
      <c r="AF50" s="175"/>
      <c r="AG50" s="175"/>
      <c r="AH50" s="175"/>
      <c r="AI50" s="175"/>
      <c r="AJ50" s="175"/>
      <c r="AK50" s="175"/>
      <c r="AL50" s="176"/>
    </row>
    <row r="51" spans="1:38" ht="12.75" customHeight="1">
      <c r="A51" s="157" t="s">
        <v>412</v>
      </c>
      <c r="B51" s="158"/>
      <c r="C51" s="158"/>
      <c r="D51" s="158"/>
      <c r="E51" s="158"/>
      <c r="F51" s="158"/>
      <c r="G51" s="158"/>
      <c r="H51" s="158"/>
      <c r="I51" s="158"/>
      <c r="J51" s="158"/>
      <c r="K51" s="158"/>
      <c r="L51" s="158"/>
      <c r="M51" s="158"/>
      <c r="N51" s="158"/>
      <c r="O51" s="158"/>
      <c r="P51" s="158"/>
      <c r="Q51" s="158"/>
      <c r="R51" s="158"/>
      <c r="S51" s="159"/>
      <c r="T51" s="157" t="s">
        <v>412</v>
      </c>
      <c r="U51" s="158"/>
      <c r="V51" s="158"/>
      <c r="W51" s="158"/>
      <c r="X51" s="158"/>
      <c r="Y51" s="158"/>
      <c r="Z51" s="158"/>
      <c r="AA51" s="158"/>
      <c r="AB51" s="158"/>
      <c r="AC51" s="158"/>
      <c r="AD51" s="158"/>
      <c r="AE51" s="158"/>
      <c r="AF51" s="158"/>
      <c r="AG51" s="158"/>
      <c r="AH51" s="158"/>
      <c r="AI51" s="158"/>
      <c r="AJ51" s="158"/>
      <c r="AK51" s="158"/>
      <c r="AL51" s="159"/>
    </row>
    <row r="52" spans="1:38" ht="15.75" customHeight="1">
      <c r="A52" s="155"/>
      <c r="B52" s="691" t="s">
        <v>413</v>
      </c>
      <c r="C52" s="599"/>
      <c r="D52" s="692">
        <f>'T3.5 FBHS'!C56</f>
        <v>0</v>
      </c>
      <c r="E52" s="588"/>
      <c r="F52" s="155" t="s">
        <v>79</v>
      </c>
      <c r="G52" s="155"/>
      <c r="H52" s="155"/>
      <c r="I52" s="155"/>
      <c r="J52" s="155"/>
      <c r="K52" s="163" t="str">
        <f>IF(D52&lt;D53,"Note: Thinner skin must face punch!","")</f>
        <v/>
      </c>
      <c r="L52" s="155"/>
      <c r="M52" s="155"/>
      <c r="N52" s="155"/>
      <c r="O52" s="158"/>
      <c r="P52" s="158"/>
      <c r="Q52" s="158"/>
      <c r="R52" s="158"/>
      <c r="S52" s="159"/>
      <c r="T52" s="155"/>
      <c r="U52" s="691" t="s">
        <v>414</v>
      </c>
      <c r="V52" s="599"/>
      <c r="W52" s="692">
        <f>'T3.5 Laminate Test'!C60</f>
        <v>0</v>
      </c>
      <c r="X52" s="588"/>
      <c r="Y52" s="155" t="s">
        <v>79</v>
      </c>
      <c r="Z52" s="155"/>
      <c r="AA52" s="155"/>
      <c r="AB52" s="155"/>
      <c r="AC52" s="155"/>
      <c r="AD52" s="163" t="str">
        <f>IF(W52&lt;W53,"Note: Thinner skin must face punch!","")</f>
        <v/>
      </c>
      <c r="AE52" s="155"/>
      <c r="AF52" s="155"/>
      <c r="AG52" s="155"/>
      <c r="AH52" s="158"/>
      <c r="AI52" s="158"/>
      <c r="AJ52" s="158"/>
      <c r="AK52" s="158"/>
      <c r="AL52" s="159"/>
    </row>
    <row r="53" spans="1:38" ht="15.75" customHeight="1">
      <c r="A53" s="155"/>
      <c r="B53" s="691" t="s">
        <v>415</v>
      </c>
      <c r="C53" s="599"/>
      <c r="D53" s="692">
        <f>'T3.5 FBHS'!C57</f>
        <v>0</v>
      </c>
      <c r="E53" s="588"/>
      <c r="F53" s="155" t="s">
        <v>80</v>
      </c>
      <c r="G53" s="155"/>
      <c r="H53" s="155"/>
      <c r="I53" s="155"/>
      <c r="J53" s="155"/>
      <c r="K53" s="163" t="str">
        <f>IF(D53&lt;D52,"Note: Thinner skin must face punch!","")</f>
        <v/>
      </c>
      <c r="L53" s="155"/>
      <c r="M53" s="155"/>
      <c r="N53" s="155"/>
      <c r="O53" s="158"/>
      <c r="P53" s="158"/>
      <c r="Q53" s="158"/>
      <c r="R53" s="158"/>
      <c r="S53" s="159"/>
      <c r="T53" s="155"/>
      <c r="U53" s="691" t="s">
        <v>416</v>
      </c>
      <c r="V53" s="599"/>
      <c r="W53" s="692">
        <f>'T3.5 Laminate Test'!C61</f>
        <v>0</v>
      </c>
      <c r="X53" s="588"/>
      <c r="Y53" s="155" t="s">
        <v>80</v>
      </c>
      <c r="Z53" s="155"/>
      <c r="AA53" s="155"/>
      <c r="AB53" s="155"/>
      <c r="AC53" s="155"/>
      <c r="AD53" s="163" t="str">
        <f>IF(W53&lt;W52,"Note: Thinner skin must face punch!","")</f>
        <v/>
      </c>
      <c r="AE53" s="155"/>
      <c r="AF53" s="155"/>
      <c r="AG53" s="155"/>
      <c r="AH53" s="158"/>
      <c r="AI53" s="158"/>
      <c r="AJ53" s="158"/>
      <c r="AK53" s="158"/>
      <c r="AL53" s="159"/>
    </row>
    <row r="54" spans="1:38" ht="15.75" customHeight="1">
      <c r="A54" s="169"/>
      <c r="B54" s="162"/>
      <c r="C54" s="171"/>
      <c r="D54" s="211"/>
      <c r="E54" s="155"/>
      <c r="F54" s="155"/>
      <c r="G54" s="155"/>
      <c r="H54" s="155"/>
      <c r="I54" s="155"/>
      <c r="J54" s="155"/>
      <c r="K54" s="155"/>
      <c r="L54" s="155"/>
      <c r="M54" s="155"/>
      <c r="N54" s="155"/>
      <c r="O54" s="158"/>
      <c r="P54" s="158"/>
      <c r="Q54" s="158"/>
      <c r="R54" s="158"/>
      <c r="S54" s="159"/>
      <c r="T54" s="169"/>
      <c r="U54" s="162"/>
      <c r="V54" s="171"/>
      <c r="W54" s="211"/>
      <c r="X54" s="155"/>
      <c r="Y54" s="155"/>
      <c r="Z54" s="155"/>
      <c r="AA54" s="155"/>
      <c r="AB54" s="155"/>
      <c r="AC54" s="155"/>
      <c r="AD54" s="155"/>
      <c r="AE54" s="155"/>
      <c r="AF54" s="155"/>
      <c r="AG54" s="155"/>
      <c r="AH54" s="158"/>
      <c r="AI54" s="158"/>
      <c r="AJ54" s="158"/>
      <c r="AK54" s="158"/>
      <c r="AL54" s="159"/>
    </row>
    <row r="55" spans="1:38" ht="15.75" customHeight="1">
      <c r="A55" s="169"/>
      <c r="B55" s="171" t="s">
        <v>417</v>
      </c>
      <c r="D55" s="693" t="s">
        <v>418</v>
      </c>
      <c r="E55" s="588"/>
      <c r="F55" s="155" t="s">
        <v>419</v>
      </c>
      <c r="G55" s="155"/>
      <c r="H55" s="155"/>
      <c r="I55" s="155"/>
      <c r="J55" s="155"/>
      <c r="K55" s="155"/>
      <c r="L55" s="155"/>
      <c r="M55" s="155"/>
      <c r="N55" s="155"/>
      <c r="O55" s="158"/>
      <c r="P55" s="158"/>
      <c r="Q55" s="158"/>
      <c r="R55" s="158"/>
      <c r="S55" s="159"/>
      <c r="T55" s="169"/>
      <c r="U55" s="171" t="s">
        <v>417</v>
      </c>
      <c r="W55" s="693" t="s">
        <v>420</v>
      </c>
      <c r="X55" s="588"/>
      <c r="Y55" s="155" t="s">
        <v>419</v>
      </c>
      <c r="Z55" s="155"/>
      <c r="AA55" s="155"/>
      <c r="AB55" s="155"/>
      <c r="AC55" s="155"/>
      <c r="AD55" s="155"/>
      <c r="AE55" s="155"/>
      <c r="AF55" s="155"/>
      <c r="AG55" s="155"/>
      <c r="AH55" s="158"/>
      <c r="AI55" s="158"/>
      <c r="AJ55" s="158"/>
      <c r="AK55" s="158"/>
      <c r="AL55" s="159"/>
    </row>
    <row r="56" spans="1:38" ht="15.75" customHeight="1">
      <c r="A56" s="694" t="s">
        <v>421</v>
      </c>
      <c r="B56" s="598"/>
      <c r="C56" s="599"/>
      <c r="D56" s="695" t="e">
        <f t="array" aca="1" ref="D56" ca="1">_xludf.IFS(D55="t_1",D49/(PI()*25*D52),D55="t_2",D49/(PI()*25*D53),OR(D48="",D49=""),"")</f>
        <v>#NAME?</v>
      </c>
      <c r="E56" s="674"/>
      <c r="F56" s="155" t="s">
        <v>422</v>
      </c>
      <c r="G56" s="155"/>
      <c r="H56" s="155"/>
      <c r="I56" s="155"/>
      <c r="J56" s="155"/>
      <c r="K56" s="155"/>
      <c r="L56" s="155"/>
      <c r="M56" s="155"/>
      <c r="N56" s="155"/>
      <c r="O56" s="155"/>
      <c r="P56" s="158"/>
      <c r="Q56" s="158"/>
      <c r="R56" s="158"/>
      <c r="S56" s="159"/>
      <c r="T56" s="694" t="s">
        <v>423</v>
      </c>
      <c r="U56" s="598"/>
      <c r="V56" s="599"/>
      <c r="W56" s="695" t="e">
        <f t="array" aca="1" ref="W56" ca="1">_xludf.IFS(W55="t_1",W49/(PI()*25*W52),W55="t_2",W49/(PI()*25*W53),OR(W48="",W49=""),"")</f>
        <v>#NAME?</v>
      </c>
      <c r="X56" s="674"/>
      <c r="Y56" s="155" t="s">
        <v>422</v>
      </c>
      <c r="Z56" s="155"/>
      <c r="AA56" s="155"/>
      <c r="AB56" s="155"/>
      <c r="AC56" s="155"/>
      <c r="AD56" s="155"/>
      <c r="AE56" s="155"/>
      <c r="AF56" s="155"/>
      <c r="AG56" s="155"/>
      <c r="AH56" s="155"/>
      <c r="AI56" s="158"/>
      <c r="AJ56" s="158"/>
      <c r="AK56" s="158"/>
      <c r="AL56" s="159"/>
    </row>
    <row r="57" spans="1:38" ht="12.75" customHeight="1">
      <c r="A57" s="172"/>
      <c r="B57" s="175"/>
      <c r="C57" s="175"/>
      <c r="D57" s="175"/>
      <c r="E57" s="175"/>
      <c r="F57" s="175"/>
      <c r="G57" s="175"/>
      <c r="H57" s="175"/>
      <c r="I57" s="175"/>
      <c r="J57" s="175"/>
      <c r="K57" s="175"/>
      <c r="L57" s="175"/>
      <c r="M57" s="175"/>
      <c r="N57" s="175"/>
      <c r="O57" s="175"/>
      <c r="P57" s="175"/>
      <c r="Q57" s="175"/>
      <c r="R57" s="175"/>
      <c r="S57" s="176"/>
      <c r="T57" s="172"/>
      <c r="U57" s="175"/>
      <c r="V57" s="175"/>
      <c r="W57" s="175"/>
      <c r="X57" s="175"/>
      <c r="Y57" s="175"/>
      <c r="Z57" s="175"/>
      <c r="AA57" s="175"/>
      <c r="AB57" s="175"/>
      <c r="AC57" s="175"/>
      <c r="AD57" s="175"/>
      <c r="AE57" s="175"/>
      <c r="AF57" s="175"/>
      <c r="AG57" s="175"/>
      <c r="AH57" s="175"/>
      <c r="AI57" s="175"/>
      <c r="AJ57" s="175"/>
      <c r="AK57" s="175"/>
      <c r="AL57" s="176"/>
    </row>
    <row r="58" spans="1:38" ht="12.75" customHeight="1">
      <c r="A58" s="179" t="s">
        <v>312</v>
      </c>
      <c r="S58" s="141"/>
      <c r="T58" s="179" t="s">
        <v>312</v>
      </c>
      <c r="AL58" s="141"/>
    </row>
    <row r="59" spans="1:38" ht="12.75" customHeight="1">
      <c r="A59" s="155" t="s">
        <v>424</v>
      </c>
      <c r="S59" s="141"/>
      <c r="T59" s="155" t="s">
        <v>425</v>
      </c>
      <c r="AL59" s="141"/>
    </row>
    <row r="60" spans="1:38" ht="12.75" customHeight="1">
      <c r="A60" s="155" t="s">
        <v>315</v>
      </c>
      <c r="B60" s="34"/>
      <c r="C60" s="34"/>
      <c r="D60" s="34"/>
      <c r="E60" s="34"/>
      <c r="F60" s="34"/>
      <c r="G60" s="34"/>
      <c r="H60" s="34"/>
      <c r="I60" s="34"/>
      <c r="J60" s="34"/>
      <c r="K60" s="34"/>
      <c r="L60" s="34"/>
      <c r="M60" s="34"/>
      <c r="N60" s="34"/>
      <c r="O60" s="34"/>
      <c r="P60" s="34"/>
      <c r="Q60" s="34"/>
      <c r="R60" s="34"/>
      <c r="S60" s="141"/>
      <c r="T60" s="155" t="s">
        <v>315</v>
      </c>
      <c r="U60" s="34"/>
      <c r="V60" s="34"/>
      <c r="W60" s="34"/>
      <c r="X60" s="34"/>
      <c r="Y60" s="34"/>
      <c r="Z60" s="34"/>
      <c r="AA60" s="34"/>
      <c r="AB60" s="34"/>
      <c r="AC60" s="34"/>
      <c r="AD60" s="34"/>
      <c r="AE60" s="34"/>
      <c r="AF60" s="34"/>
      <c r="AG60" s="34"/>
      <c r="AH60" s="34"/>
      <c r="AI60" s="34"/>
      <c r="AJ60" s="34"/>
      <c r="AK60" s="34"/>
      <c r="AL60" s="141"/>
    </row>
    <row r="61" spans="1:38" ht="12.75" customHeight="1">
      <c r="A61" s="80"/>
      <c r="B61" s="34"/>
      <c r="C61" s="34"/>
      <c r="D61" s="34"/>
      <c r="E61" s="34"/>
      <c r="F61" s="34"/>
      <c r="G61" s="34"/>
      <c r="H61" s="34"/>
      <c r="I61" s="34"/>
      <c r="J61" s="34"/>
      <c r="K61" s="34"/>
      <c r="L61" s="34"/>
      <c r="M61" s="34"/>
      <c r="N61" s="34"/>
      <c r="O61" s="34"/>
      <c r="P61" s="34"/>
      <c r="Q61" s="34"/>
      <c r="R61" s="34"/>
      <c r="S61" s="141"/>
      <c r="T61" s="80"/>
      <c r="U61" s="34"/>
      <c r="V61" s="34"/>
      <c r="W61" s="34"/>
      <c r="X61" s="34"/>
      <c r="Y61" s="34"/>
      <c r="Z61" s="34"/>
      <c r="AA61" s="34"/>
      <c r="AB61" s="34"/>
      <c r="AC61" s="34"/>
      <c r="AD61" s="34"/>
      <c r="AE61" s="34"/>
      <c r="AF61" s="34"/>
      <c r="AG61" s="34"/>
      <c r="AH61" s="34"/>
      <c r="AI61" s="34"/>
      <c r="AJ61" s="34"/>
      <c r="AK61" s="34"/>
      <c r="AL61" s="141"/>
    </row>
    <row r="62" spans="1:38" ht="12.75" customHeight="1">
      <c r="A62" s="80"/>
      <c r="B62" s="180"/>
      <c r="C62" s="181" t="s">
        <v>316</v>
      </c>
      <c r="D62" s="182" t="s">
        <v>317</v>
      </c>
      <c r="H62" s="686"/>
      <c r="I62" s="598"/>
      <c r="S62" s="141"/>
      <c r="T62" s="80"/>
      <c r="U62" s="180"/>
      <c r="V62" s="181" t="s">
        <v>316</v>
      </c>
      <c r="W62" s="182" t="s">
        <v>317</v>
      </c>
      <c r="AA62" s="686"/>
      <c r="AB62" s="598"/>
      <c r="AL62" s="141"/>
    </row>
    <row r="63" spans="1:38" ht="12.75" customHeight="1">
      <c r="A63" s="80"/>
      <c r="B63" s="43">
        <v>1</v>
      </c>
      <c r="C63" s="186"/>
      <c r="D63" s="187"/>
      <c r="G63" s="34"/>
      <c r="H63" s="201"/>
      <c r="I63" s="212"/>
      <c r="J63" s="24"/>
      <c r="K63" s="24"/>
      <c r="L63" s="24"/>
      <c r="M63" s="24"/>
      <c r="S63" s="141"/>
      <c r="T63" s="80"/>
      <c r="U63" s="43">
        <v>1</v>
      </c>
      <c r="V63" s="186"/>
      <c r="W63" s="187"/>
      <c r="Z63" s="34"/>
      <c r="AA63" s="201"/>
      <c r="AB63" s="201"/>
      <c r="AL63" s="141"/>
    </row>
    <row r="64" spans="1:38" ht="12.75" customHeight="1">
      <c r="A64" s="80"/>
      <c r="B64" s="43">
        <v>2</v>
      </c>
      <c r="C64" s="191"/>
      <c r="D64" s="192"/>
      <c r="G64" s="34"/>
      <c r="I64" s="24"/>
      <c r="J64" s="24"/>
      <c r="K64" s="24"/>
      <c r="L64" s="24"/>
      <c r="M64" s="24"/>
      <c r="S64" s="141"/>
      <c r="T64" s="80"/>
      <c r="U64" s="43">
        <v>2</v>
      </c>
      <c r="V64" s="191"/>
      <c r="W64" s="192"/>
      <c r="Z64" s="34"/>
      <c r="AL64" s="141"/>
    </row>
    <row r="65" spans="1:38" ht="12.75" customHeight="1">
      <c r="A65" s="80"/>
      <c r="B65" s="43">
        <v>3</v>
      </c>
      <c r="C65" s="191"/>
      <c r="D65" s="192"/>
      <c r="G65" s="34"/>
      <c r="S65" s="141"/>
      <c r="T65" s="80"/>
      <c r="U65" s="43">
        <v>3</v>
      </c>
      <c r="V65" s="191"/>
      <c r="W65" s="192"/>
      <c r="Z65" s="34"/>
      <c r="AL65" s="141"/>
    </row>
    <row r="66" spans="1:38" ht="12.75" customHeight="1">
      <c r="A66" s="80"/>
      <c r="B66" s="43">
        <v>4</v>
      </c>
      <c r="C66" s="191"/>
      <c r="D66" s="192"/>
      <c r="S66" s="141"/>
      <c r="T66" s="80"/>
      <c r="U66" s="43">
        <v>4</v>
      </c>
      <c r="V66" s="191"/>
      <c r="W66" s="192"/>
      <c r="AL66" s="141"/>
    </row>
    <row r="67" spans="1:38" ht="12.75" customHeight="1">
      <c r="A67" s="80"/>
      <c r="B67" s="43">
        <v>5</v>
      </c>
      <c r="C67" s="191"/>
      <c r="D67" s="192"/>
      <c r="S67" s="141"/>
      <c r="T67" s="80"/>
      <c r="U67" s="43">
        <v>5</v>
      </c>
      <c r="V67" s="191"/>
      <c r="W67" s="192"/>
      <c r="AL67" s="141"/>
    </row>
    <row r="68" spans="1:38" ht="12.75" customHeight="1">
      <c r="A68" s="80"/>
      <c r="B68" s="43">
        <v>6</v>
      </c>
      <c r="C68" s="191"/>
      <c r="D68" s="192"/>
      <c r="S68" s="141"/>
      <c r="T68" s="80"/>
      <c r="U68" s="43">
        <v>6</v>
      </c>
      <c r="V68" s="191"/>
      <c r="W68" s="192"/>
      <c r="AL68" s="141"/>
    </row>
    <row r="69" spans="1:38" ht="12.75" customHeight="1">
      <c r="A69" s="80"/>
      <c r="B69" s="43">
        <v>7</v>
      </c>
      <c r="C69" s="191"/>
      <c r="D69" s="192"/>
      <c r="S69" s="141"/>
      <c r="T69" s="80"/>
      <c r="U69" s="43">
        <v>7</v>
      </c>
      <c r="V69" s="191"/>
      <c r="W69" s="192"/>
      <c r="AL69" s="141"/>
    </row>
    <row r="70" spans="1:38" ht="12.75" customHeight="1">
      <c r="A70" s="80"/>
      <c r="B70" s="43">
        <v>8</v>
      </c>
      <c r="C70" s="191"/>
      <c r="D70" s="192"/>
      <c r="S70" s="141"/>
      <c r="T70" s="80"/>
      <c r="U70" s="43">
        <v>8</v>
      </c>
      <c r="V70" s="191"/>
      <c r="W70" s="192"/>
      <c r="AL70" s="141"/>
    </row>
    <row r="71" spans="1:38" ht="12.75" customHeight="1">
      <c r="A71" s="80"/>
      <c r="B71" s="43">
        <v>9</v>
      </c>
      <c r="C71" s="191"/>
      <c r="D71" s="192"/>
      <c r="S71" s="141"/>
      <c r="T71" s="80"/>
      <c r="U71" s="43">
        <v>9</v>
      </c>
      <c r="V71" s="191"/>
      <c r="W71" s="192"/>
      <c r="AL71" s="141"/>
    </row>
    <row r="72" spans="1:38" ht="12.75" customHeight="1">
      <c r="A72" s="80"/>
      <c r="B72" s="43">
        <v>10</v>
      </c>
      <c r="C72" s="191"/>
      <c r="D72" s="192"/>
      <c r="S72" s="141"/>
      <c r="T72" s="80"/>
      <c r="U72" s="43">
        <v>10</v>
      </c>
      <c r="V72" s="191"/>
      <c r="W72" s="192"/>
      <c r="AL72" s="141"/>
    </row>
    <row r="73" spans="1:38" ht="12.75" customHeight="1">
      <c r="A73" s="80"/>
      <c r="B73" s="43">
        <v>11</v>
      </c>
      <c r="C73" s="191"/>
      <c r="D73" s="192"/>
      <c r="S73" s="141"/>
      <c r="T73" s="80"/>
      <c r="U73" s="43">
        <v>11</v>
      </c>
      <c r="V73" s="191"/>
      <c r="W73" s="192"/>
      <c r="AL73" s="141"/>
    </row>
    <row r="74" spans="1:38" ht="12.75" customHeight="1">
      <c r="A74" s="80"/>
      <c r="B74" s="43">
        <v>12</v>
      </c>
      <c r="C74" s="191"/>
      <c r="D74" s="192"/>
      <c r="S74" s="141"/>
      <c r="T74" s="80"/>
      <c r="U74" s="43">
        <v>12</v>
      </c>
      <c r="V74" s="191"/>
      <c r="W74" s="192"/>
      <c r="AL74" s="141"/>
    </row>
    <row r="75" spans="1:38" ht="12.75" customHeight="1">
      <c r="A75" s="80"/>
      <c r="B75" s="43">
        <v>13</v>
      </c>
      <c r="C75" s="191"/>
      <c r="D75" s="192"/>
      <c r="S75" s="141"/>
      <c r="T75" s="80"/>
      <c r="U75" s="43">
        <v>13</v>
      </c>
      <c r="V75" s="191"/>
      <c r="W75" s="192"/>
      <c r="AL75" s="141"/>
    </row>
    <row r="76" spans="1:38" ht="12.75" customHeight="1">
      <c r="A76" s="80"/>
      <c r="B76" s="43">
        <v>14</v>
      </c>
      <c r="C76" s="191"/>
      <c r="D76" s="192"/>
      <c r="S76" s="141"/>
      <c r="T76" s="80"/>
      <c r="U76" s="43">
        <v>14</v>
      </c>
      <c r="V76" s="191"/>
      <c r="W76" s="192"/>
      <c r="AL76" s="141"/>
    </row>
    <row r="77" spans="1:38" ht="12.75" customHeight="1">
      <c r="A77" s="80"/>
      <c r="B77" s="43">
        <v>15</v>
      </c>
      <c r="C77" s="191"/>
      <c r="D77" s="192"/>
      <c r="S77" s="141"/>
      <c r="T77" s="80"/>
      <c r="U77" s="43">
        <v>15</v>
      </c>
      <c r="V77" s="191"/>
      <c r="W77" s="192"/>
      <c r="AL77" s="141"/>
    </row>
    <row r="78" spans="1:38" ht="12.75" customHeight="1">
      <c r="A78" s="80"/>
      <c r="B78" s="43">
        <v>16</v>
      </c>
      <c r="C78" s="191"/>
      <c r="D78" s="192"/>
      <c r="S78" s="141"/>
      <c r="T78" s="80"/>
      <c r="U78" s="43">
        <v>16</v>
      </c>
      <c r="V78" s="191"/>
      <c r="W78" s="192"/>
      <c r="AL78" s="141"/>
    </row>
    <row r="79" spans="1:38" ht="12.75" customHeight="1">
      <c r="A79" s="80"/>
      <c r="B79" s="43">
        <v>17</v>
      </c>
      <c r="C79" s="191"/>
      <c r="D79" s="192"/>
      <c r="S79" s="141"/>
      <c r="T79" s="80"/>
      <c r="U79" s="43">
        <v>17</v>
      </c>
      <c r="V79" s="191"/>
      <c r="W79" s="192"/>
      <c r="AL79" s="141"/>
    </row>
    <row r="80" spans="1:38" ht="12.75" customHeight="1">
      <c r="A80" s="80"/>
      <c r="B80" s="43">
        <v>18</v>
      </c>
      <c r="C80" s="191"/>
      <c r="D80" s="192"/>
      <c r="S80" s="141"/>
      <c r="T80" s="80"/>
      <c r="U80" s="43">
        <v>18</v>
      </c>
      <c r="V80" s="191"/>
      <c r="W80" s="192"/>
      <c r="AL80" s="141"/>
    </row>
    <row r="81" spans="1:38" ht="12.75" customHeight="1">
      <c r="A81" s="80"/>
      <c r="B81" s="43">
        <v>19</v>
      </c>
      <c r="C81" s="191"/>
      <c r="D81" s="192"/>
      <c r="S81" s="141"/>
      <c r="T81" s="80"/>
      <c r="U81" s="43">
        <v>19</v>
      </c>
      <c r="V81" s="191"/>
      <c r="W81" s="192"/>
      <c r="AL81" s="141"/>
    </row>
    <row r="82" spans="1:38" ht="12.75" customHeight="1">
      <c r="A82" s="80"/>
      <c r="B82" s="43">
        <v>20</v>
      </c>
      <c r="C82" s="191"/>
      <c r="D82" s="192"/>
      <c r="S82" s="141"/>
      <c r="T82" s="80"/>
      <c r="U82" s="43">
        <v>20</v>
      </c>
      <c r="V82" s="191"/>
      <c r="W82" s="192"/>
      <c r="AL82" s="141"/>
    </row>
    <row r="83" spans="1:38" ht="12.75" customHeight="1">
      <c r="A83" s="80"/>
      <c r="B83" s="43">
        <v>21</v>
      </c>
      <c r="C83" s="191"/>
      <c r="D83" s="192"/>
      <c r="S83" s="141"/>
      <c r="T83" s="80"/>
      <c r="U83" s="43">
        <v>21</v>
      </c>
      <c r="V83" s="191"/>
      <c r="W83" s="192"/>
      <c r="AL83" s="141"/>
    </row>
    <row r="84" spans="1:38" ht="12.75" customHeight="1">
      <c r="A84" s="80"/>
      <c r="B84" s="43">
        <v>22</v>
      </c>
      <c r="C84" s="191"/>
      <c r="D84" s="192"/>
      <c r="S84" s="141"/>
      <c r="T84" s="80"/>
      <c r="U84" s="43">
        <v>22</v>
      </c>
      <c r="V84" s="191"/>
      <c r="W84" s="192"/>
      <c r="AL84" s="141"/>
    </row>
    <row r="85" spans="1:38" ht="12.75" customHeight="1">
      <c r="A85" s="80"/>
      <c r="B85" s="43">
        <v>23</v>
      </c>
      <c r="C85" s="191"/>
      <c r="D85" s="192"/>
      <c r="S85" s="141"/>
      <c r="T85" s="80"/>
      <c r="U85" s="43">
        <v>23</v>
      </c>
      <c r="V85" s="191"/>
      <c r="W85" s="192"/>
      <c r="AL85" s="141"/>
    </row>
    <row r="86" spans="1:38" ht="12.75" customHeight="1">
      <c r="A86" s="80"/>
      <c r="B86" s="43">
        <v>24</v>
      </c>
      <c r="C86" s="191"/>
      <c r="D86" s="192"/>
      <c r="S86" s="141"/>
      <c r="T86" s="80"/>
      <c r="U86" s="43">
        <v>24</v>
      </c>
      <c r="V86" s="191"/>
      <c r="W86" s="192"/>
      <c r="AL86" s="141"/>
    </row>
    <row r="87" spans="1:38" ht="12.75" customHeight="1">
      <c r="A87" s="80"/>
      <c r="B87" s="43">
        <v>25</v>
      </c>
      <c r="C87" s="191"/>
      <c r="D87" s="192"/>
      <c r="S87" s="141"/>
      <c r="T87" s="80"/>
      <c r="U87" s="43">
        <v>25</v>
      </c>
      <c r="V87" s="191"/>
      <c r="W87" s="192"/>
      <c r="AL87" s="141"/>
    </row>
    <row r="88" spans="1:38" ht="12.75" customHeight="1">
      <c r="A88" s="80"/>
      <c r="B88" s="43">
        <v>26</v>
      </c>
      <c r="C88" s="191"/>
      <c r="D88" s="192"/>
      <c r="S88" s="141"/>
      <c r="T88" s="80"/>
      <c r="U88" s="43">
        <v>26</v>
      </c>
      <c r="V88" s="191"/>
      <c r="W88" s="192"/>
      <c r="AL88" s="141"/>
    </row>
    <row r="89" spans="1:38" ht="12.75" customHeight="1">
      <c r="A89" s="80"/>
      <c r="B89" s="43">
        <v>27</v>
      </c>
      <c r="C89" s="191"/>
      <c r="D89" s="192"/>
      <c r="S89" s="141"/>
      <c r="T89" s="80"/>
      <c r="U89" s="43">
        <v>27</v>
      </c>
      <c r="V89" s="191"/>
      <c r="W89" s="192"/>
      <c r="AL89" s="141"/>
    </row>
    <row r="90" spans="1:38" ht="12.75" customHeight="1">
      <c r="A90" s="80"/>
      <c r="B90" s="43">
        <v>28</v>
      </c>
      <c r="C90" s="191"/>
      <c r="D90" s="192"/>
      <c r="S90" s="141"/>
      <c r="T90" s="80"/>
      <c r="U90" s="43">
        <v>28</v>
      </c>
      <c r="V90" s="191"/>
      <c r="W90" s="192"/>
      <c r="AL90" s="141"/>
    </row>
    <row r="91" spans="1:38" ht="12.75" customHeight="1">
      <c r="A91" s="80"/>
      <c r="B91" s="43">
        <v>29</v>
      </c>
      <c r="C91" s="191"/>
      <c r="D91" s="192"/>
      <c r="S91" s="141"/>
      <c r="T91" s="80"/>
      <c r="U91" s="43">
        <v>29</v>
      </c>
      <c r="V91" s="191"/>
      <c r="W91" s="192"/>
      <c r="AL91" s="141"/>
    </row>
    <row r="92" spans="1:38" ht="12.75" customHeight="1">
      <c r="A92" s="80"/>
      <c r="B92" s="43">
        <v>30</v>
      </c>
      <c r="C92" s="191"/>
      <c r="D92" s="192"/>
      <c r="S92" s="141"/>
      <c r="T92" s="80"/>
      <c r="U92" s="43">
        <v>30</v>
      </c>
      <c r="V92" s="191"/>
      <c r="W92" s="192"/>
      <c r="AL92" s="141"/>
    </row>
    <row r="93" spans="1:38" ht="12.75" customHeight="1">
      <c r="A93" s="80"/>
      <c r="B93" s="43">
        <v>31</v>
      </c>
      <c r="C93" s="191"/>
      <c r="D93" s="192"/>
      <c r="S93" s="141"/>
      <c r="T93" s="80"/>
      <c r="U93" s="43">
        <v>31</v>
      </c>
      <c r="V93" s="191"/>
      <c r="W93" s="192"/>
      <c r="AL93" s="141"/>
    </row>
    <row r="94" spans="1:38" ht="12.75" customHeight="1">
      <c r="A94" s="80"/>
      <c r="B94" s="43">
        <v>32</v>
      </c>
      <c r="C94" s="191"/>
      <c r="D94" s="192"/>
      <c r="S94" s="141"/>
      <c r="T94" s="80"/>
      <c r="U94" s="43">
        <v>32</v>
      </c>
      <c r="V94" s="191"/>
      <c r="W94" s="192"/>
      <c r="AL94" s="141"/>
    </row>
    <row r="95" spans="1:38" ht="12.75" customHeight="1">
      <c r="A95" s="80"/>
      <c r="B95" s="43">
        <v>33</v>
      </c>
      <c r="C95" s="191"/>
      <c r="D95" s="192"/>
      <c r="S95" s="141"/>
      <c r="T95" s="80"/>
      <c r="U95" s="43">
        <v>33</v>
      </c>
      <c r="V95" s="191"/>
      <c r="W95" s="192"/>
      <c r="AL95" s="141"/>
    </row>
    <row r="96" spans="1:38" ht="12.75" customHeight="1">
      <c r="A96" s="80"/>
      <c r="B96" s="43">
        <v>34</v>
      </c>
      <c r="C96" s="191"/>
      <c r="D96" s="192"/>
      <c r="S96" s="141"/>
      <c r="T96" s="80"/>
      <c r="U96" s="43">
        <v>34</v>
      </c>
      <c r="V96" s="191"/>
      <c r="W96" s="192"/>
      <c r="AL96" s="141"/>
    </row>
    <row r="97" spans="1:38" ht="12.75" customHeight="1">
      <c r="A97" s="80"/>
      <c r="B97" s="43">
        <v>35</v>
      </c>
      <c r="C97" s="191"/>
      <c r="D97" s="192"/>
      <c r="S97" s="141"/>
      <c r="T97" s="80"/>
      <c r="U97" s="43">
        <v>35</v>
      </c>
      <c r="V97" s="191"/>
      <c r="W97" s="192"/>
      <c r="AL97" s="141"/>
    </row>
    <row r="98" spans="1:38" ht="12.75" customHeight="1">
      <c r="A98" s="80"/>
      <c r="B98" s="43">
        <v>36</v>
      </c>
      <c r="C98" s="191"/>
      <c r="D98" s="192"/>
      <c r="S98" s="141"/>
      <c r="T98" s="80"/>
      <c r="U98" s="43">
        <v>36</v>
      </c>
      <c r="V98" s="191"/>
      <c r="W98" s="192"/>
      <c r="AL98" s="141"/>
    </row>
    <row r="99" spans="1:38" ht="12.75" customHeight="1">
      <c r="A99" s="80"/>
      <c r="B99" s="43">
        <v>37</v>
      </c>
      <c r="C99" s="191"/>
      <c r="D99" s="192"/>
      <c r="S99" s="141"/>
      <c r="T99" s="80"/>
      <c r="U99" s="43">
        <v>37</v>
      </c>
      <c r="V99" s="191"/>
      <c r="W99" s="192"/>
      <c r="AL99" s="141"/>
    </row>
    <row r="100" spans="1:38" ht="12.75" customHeight="1">
      <c r="A100" s="80"/>
      <c r="B100" s="43">
        <v>38</v>
      </c>
      <c r="C100" s="191"/>
      <c r="D100" s="192"/>
      <c r="S100" s="141"/>
      <c r="T100" s="80"/>
      <c r="U100" s="43">
        <v>38</v>
      </c>
      <c r="V100" s="191"/>
      <c r="W100" s="192"/>
      <c r="AL100" s="141"/>
    </row>
    <row r="101" spans="1:38" ht="12.75" customHeight="1">
      <c r="A101" s="80"/>
      <c r="B101" s="43">
        <v>39</v>
      </c>
      <c r="C101" s="191"/>
      <c r="D101" s="192"/>
      <c r="S101" s="141"/>
      <c r="T101" s="80"/>
      <c r="U101" s="43">
        <v>39</v>
      </c>
      <c r="V101" s="191"/>
      <c r="W101" s="192"/>
      <c r="AL101" s="141"/>
    </row>
    <row r="102" spans="1:38" ht="12.75" customHeight="1">
      <c r="A102" s="80"/>
      <c r="B102" s="43">
        <v>40</v>
      </c>
      <c r="C102" s="191"/>
      <c r="D102" s="192"/>
      <c r="S102" s="141"/>
      <c r="T102" s="80"/>
      <c r="U102" s="43">
        <v>40</v>
      </c>
      <c r="V102" s="191"/>
      <c r="W102" s="192"/>
      <c r="AL102" s="141"/>
    </row>
    <row r="103" spans="1:38" ht="12.75" customHeight="1">
      <c r="A103" s="80"/>
      <c r="B103" s="43">
        <v>41</v>
      </c>
      <c r="C103" s="191"/>
      <c r="D103" s="192"/>
      <c r="S103" s="141"/>
      <c r="T103" s="80"/>
      <c r="U103" s="43">
        <v>41</v>
      </c>
      <c r="V103" s="191"/>
      <c r="W103" s="192"/>
      <c r="AL103" s="141"/>
    </row>
    <row r="104" spans="1:38" ht="12.75" customHeight="1">
      <c r="A104" s="80"/>
      <c r="B104" s="43">
        <v>42</v>
      </c>
      <c r="C104" s="191"/>
      <c r="D104" s="192"/>
      <c r="S104" s="141"/>
      <c r="T104" s="80"/>
      <c r="U104" s="43">
        <v>42</v>
      </c>
      <c r="V104" s="191"/>
      <c r="W104" s="192"/>
      <c r="AL104" s="141"/>
    </row>
    <row r="105" spans="1:38" ht="12.75" customHeight="1">
      <c r="A105" s="80"/>
      <c r="B105" s="43">
        <v>43</v>
      </c>
      <c r="C105" s="191"/>
      <c r="D105" s="192"/>
      <c r="S105" s="141"/>
      <c r="T105" s="80"/>
      <c r="U105" s="43">
        <v>43</v>
      </c>
      <c r="V105" s="191"/>
      <c r="W105" s="192"/>
      <c r="AL105" s="141"/>
    </row>
    <row r="106" spans="1:38" ht="12.75" customHeight="1">
      <c r="A106" s="80"/>
      <c r="B106" s="43">
        <v>44</v>
      </c>
      <c r="C106" s="191"/>
      <c r="D106" s="192"/>
      <c r="S106" s="141"/>
      <c r="T106" s="80"/>
      <c r="U106" s="43">
        <v>44</v>
      </c>
      <c r="V106" s="191"/>
      <c r="W106" s="192"/>
      <c r="AL106" s="141"/>
    </row>
    <row r="107" spans="1:38" ht="12.75" customHeight="1">
      <c r="A107" s="80"/>
      <c r="B107" s="43">
        <v>45</v>
      </c>
      <c r="C107" s="191"/>
      <c r="D107" s="192"/>
      <c r="S107" s="141"/>
      <c r="T107" s="80"/>
      <c r="U107" s="43">
        <v>45</v>
      </c>
      <c r="V107" s="191"/>
      <c r="W107" s="192"/>
      <c r="AL107" s="141"/>
    </row>
    <row r="108" spans="1:38" ht="12.75" customHeight="1">
      <c r="A108" s="80"/>
      <c r="B108" s="43">
        <v>46</v>
      </c>
      <c r="C108" s="191"/>
      <c r="D108" s="192"/>
      <c r="S108" s="141"/>
      <c r="T108" s="80"/>
      <c r="U108" s="43">
        <v>46</v>
      </c>
      <c r="V108" s="191"/>
      <c r="W108" s="192"/>
      <c r="AL108" s="141"/>
    </row>
    <row r="109" spans="1:38" ht="12.75" customHeight="1">
      <c r="A109" s="80"/>
      <c r="B109" s="43">
        <v>47</v>
      </c>
      <c r="C109" s="191"/>
      <c r="D109" s="192"/>
      <c r="S109" s="141"/>
      <c r="T109" s="80"/>
      <c r="U109" s="43">
        <v>47</v>
      </c>
      <c r="V109" s="191"/>
      <c r="W109" s="192"/>
      <c r="AL109" s="141"/>
    </row>
    <row r="110" spans="1:38" ht="12.75" customHeight="1">
      <c r="A110" s="80"/>
      <c r="B110" s="43">
        <v>48</v>
      </c>
      <c r="C110" s="191"/>
      <c r="D110" s="192"/>
      <c r="S110" s="141"/>
      <c r="T110" s="80"/>
      <c r="U110" s="43">
        <v>48</v>
      </c>
      <c r="V110" s="191"/>
      <c r="W110" s="192"/>
      <c r="AL110" s="141"/>
    </row>
    <row r="111" spans="1:38" ht="12.75" customHeight="1">
      <c r="A111" s="80"/>
      <c r="B111" s="43">
        <v>49</v>
      </c>
      <c r="C111" s="191"/>
      <c r="D111" s="192"/>
      <c r="S111" s="141"/>
      <c r="T111" s="80"/>
      <c r="U111" s="43">
        <v>49</v>
      </c>
      <c r="V111" s="191"/>
      <c r="W111" s="192"/>
      <c r="AL111" s="141"/>
    </row>
    <row r="112" spans="1:38" ht="12.75" customHeight="1">
      <c r="A112" s="80"/>
      <c r="B112" s="43">
        <v>50</v>
      </c>
      <c r="C112" s="191"/>
      <c r="D112" s="192"/>
      <c r="S112" s="141"/>
      <c r="T112" s="80"/>
      <c r="U112" s="43">
        <v>50</v>
      </c>
      <c r="V112" s="191"/>
      <c r="W112" s="192"/>
      <c r="AL112" s="141"/>
    </row>
    <row r="113" spans="1:38" ht="12.75" customHeight="1">
      <c r="A113" s="80"/>
      <c r="B113" s="43">
        <v>51</v>
      </c>
      <c r="C113" s="191"/>
      <c r="D113" s="192"/>
      <c r="S113" s="141"/>
      <c r="T113" s="80"/>
      <c r="U113" s="43">
        <v>51</v>
      </c>
      <c r="V113" s="191"/>
      <c r="W113" s="192"/>
      <c r="AL113" s="141"/>
    </row>
    <row r="114" spans="1:38" ht="12.75" customHeight="1">
      <c r="A114" s="80"/>
      <c r="B114" s="43">
        <v>52</v>
      </c>
      <c r="C114" s="191"/>
      <c r="D114" s="192"/>
      <c r="S114" s="141"/>
      <c r="T114" s="80"/>
      <c r="U114" s="43">
        <v>52</v>
      </c>
      <c r="V114" s="191"/>
      <c r="W114" s="192"/>
      <c r="AL114" s="141"/>
    </row>
    <row r="115" spans="1:38" ht="12.75" customHeight="1">
      <c r="A115" s="80"/>
      <c r="B115" s="43">
        <v>53</v>
      </c>
      <c r="C115" s="191"/>
      <c r="D115" s="192"/>
      <c r="S115" s="141"/>
      <c r="T115" s="80"/>
      <c r="U115" s="43">
        <v>53</v>
      </c>
      <c r="V115" s="191"/>
      <c r="W115" s="192"/>
      <c r="AL115" s="141"/>
    </row>
    <row r="116" spans="1:38" ht="12.75" customHeight="1">
      <c r="A116" s="80"/>
      <c r="B116" s="43">
        <v>54</v>
      </c>
      <c r="C116" s="191"/>
      <c r="D116" s="192"/>
      <c r="S116" s="141"/>
      <c r="T116" s="80"/>
      <c r="U116" s="43">
        <v>54</v>
      </c>
      <c r="V116" s="191"/>
      <c r="W116" s="192"/>
      <c r="AL116" s="141"/>
    </row>
    <row r="117" spans="1:38" ht="12.75" customHeight="1">
      <c r="A117" s="80"/>
      <c r="B117" s="43">
        <v>55</v>
      </c>
      <c r="C117" s="191"/>
      <c r="D117" s="192"/>
      <c r="S117" s="141"/>
      <c r="T117" s="80"/>
      <c r="U117" s="43">
        <v>55</v>
      </c>
      <c r="V117" s="191"/>
      <c r="W117" s="192"/>
      <c r="AL117" s="141"/>
    </row>
    <row r="118" spans="1:38" ht="12.75" customHeight="1">
      <c r="A118" s="80"/>
      <c r="B118" s="43">
        <v>56</v>
      </c>
      <c r="C118" s="191"/>
      <c r="D118" s="192"/>
      <c r="S118" s="141"/>
      <c r="T118" s="80"/>
      <c r="U118" s="43">
        <v>56</v>
      </c>
      <c r="V118" s="191"/>
      <c r="W118" s="192"/>
      <c r="AL118" s="141"/>
    </row>
    <row r="119" spans="1:38" ht="12.75" customHeight="1">
      <c r="A119" s="80"/>
      <c r="B119" s="43">
        <v>57</v>
      </c>
      <c r="C119" s="191"/>
      <c r="D119" s="192"/>
      <c r="S119" s="141"/>
      <c r="T119" s="80"/>
      <c r="U119" s="43">
        <v>57</v>
      </c>
      <c r="V119" s="191"/>
      <c r="W119" s="192"/>
      <c r="AL119" s="141"/>
    </row>
    <row r="120" spans="1:38" ht="12.75" customHeight="1">
      <c r="A120" s="80"/>
      <c r="B120" s="43">
        <v>58</v>
      </c>
      <c r="C120" s="191"/>
      <c r="D120" s="192"/>
      <c r="S120" s="141"/>
      <c r="T120" s="80"/>
      <c r="U120" s="43">
        <v>58</v>
      </c>
      <c r="V120" s="191"/>
      <c r="W120" s="192"/>
      <c r="AL120" s="141"/>
    </row>
    <row r="121" spans="1:38" ht="12.75" customHeight="1">
      <c r="A121" s="80"/>
      <c r="B121" s="43">
        <v>59</v>
      </c>
      <c r="C121" s="191"/>
      <c r="D121" s="192"/>
      <c r="S121" s="141"/>
      <c r="T121" s="80"/>
      <c r="U121" s="43">
        <v>59</v>
      </c>
      <c r="V121" s="191"/>
      <c r="W121" s="192"/>
      <c r="AL121" s="141"/>
    </row>
    <row r="122" spans="1:38" ht="12.75" customHeight="1">
      <c r="A122" s="80"/>
      <c r="B122" s="43">
        <v>60</v>
      </c>
      <c r="C122" s="191"/>
      <c r="D122" s="192"/>
      <c r="S122" s="141"/>
      <c r="T122" s="80"/>
      <c r="U122" s="43">
        <v>60</v>
      </c>
      <c r="V122" s="191"/>
      <c r="W122" s="192"/>
      <c r="AL122" s="141"/>
    </row>
    <row r="123" spans="1:38" ht="12.75" customHeight="1">
      <c r="A123" s="80"/>
      <c r="B123" s="43">
        <v>61</v>
      </c>
      <c r="C123" s="191"/>
      <c r="D123" s="192"/>
      <c r="S123" s="141"/>
      <c r="T123" s="80"/>
      <c r="U123" s="43">
        <v>61</v>
      </c>
      <c r="V123" s="191"/>
      <c r="W123" s="192"/>
      <c r="AL123" s="141"/>
    </row>
    <row r="124" spans="1:38" ht="12.75" customHeight="1">
      <c r="A124" s="80"/>
      <c r="B124" s="43">
        <v>62</v>
      </c>
      <c r="C124" s="191"/>
      <c r="D124" s="192"/>
      <c r="S124" s="141"/>
      <c r="T124" s="80"/>
      <c r="U124" s="43">
        <v>62</v>
      </c>
      <c r="V124" s="191"/>
      <c r="W124" s="192"/>
      <c r="AL124" s="141"/>
    </row>
    <row r="125" spans="1:38" ht="12.75" customHeight="1">
      <c r="A125" s="80"/>
      <c r="B125" s="43">
        <v>63</v>
      </c>
      <c r="C125" s="191"/>
      <c r="D125" s="192"/>
      <c r="S125" s="141"/>
      <c r="T125" s="80"/>
      <c r="U125" s="43">
        <v>63</v>
      </c>
      <c r="V125" s="191"/>
      <c r="W125" s="192"/>
      <c r="AL125" s="141"/>
    </row>
    <row r="126" spans="1:38" ht="12.75" customHeight="1">
      <c r="A126" s="80"/>
      <c r="B126" s="43">
        <v>64</v>
      </c>
      <c r="C126" s="191"/>
      <c r="D126" s="192"/>
      <c r="S126" s="141"/>
      <c r="T126" s="80"/>
      <c r="U126" s="43">
        <v>64</v>
      </c>
      <c r="V126" s="191"/>
      <c r="W126" s="192"/>
      <c r="AL126" s="141"/>
    </row>
    <row r="127" spans="1:38" ht="12.75" customHeight="1">
      <c r="A127" s="80"/>
      <c r="B127" s="43">
        <v>65</v>
      </c>
      <c r="C127" s="191"/>
      <c r="D127" s="192"/>
      <c r="S127" s="141"/>
      <c r="T127" s="80"/>
      <c r="U127" s="43">
        <v>65</v>
      </c>
      <c r="V127" s="191"/>
      <c r="W127" s="192"/>
      <c r="AL127" s="141"/>
    </row>
    <row r="128" spans="1:38" ht="12.75" customHeight="1">
      <c r="A128" s="80"/>
      <c r="B128" s="43">
        <v>66</v>
      </c>
      <c r="C128" s="191"/>
      <c r="D128" s="192"/>
      <c r="S128" s="141"/>
      <c r="T128" s="80"/>
      <c r="U128" s="43">
        <v>66</v>
      </c>
      <c r="V128" s="191"/>
      <c r="W128" s="192"/>
      <c r="AL128" s="141"/>
    </row>
    <row r="129" spans="1:38" ht="12.75" customHeight="1">
      <c r="A129" s="80"/>
      <c r="B129" s="43">
        <v>67</v>
      </c>
      <c r="C129" s="191"/>
      <c r="D129" s="192"/>
      <c r="S129" s="141"/>
      <c r="T129" s="80"/>
      <c r="U129" s="43">
        <v>67</v>
      </c>
      <c r="V129" s="191"/>
      <c r="W129" s="192"/>
      <c r="AL129" s="141"/>
    </row>
    <row r="130" spans="1:38" ht="12.75" customHeight="1">
      <c r="A130" s="80"/>
      <c r="B130" s="43">
        <v>68</v>
      </c>
      <c r="C130" s="191"/>
      <c r="D130" s="192"/>
      <c r="S130" s="141"/>
      <c r="T130" s="80"/>
      <c r="U130" s="43">
        <v>68</v>
      </c>
      <c r="V130" s="191"/>
      <c r="W130" s="192"/>
      <c r="AL130" s="141"/>
    </row>
    <row r="131" spans="1:38" ht="12.75" customHeight="1">
      <c r="A131" s="80"/>
      <c r="B131" s="43">
        <v>69</v>
      </c>
      <c r="C131" s="191"/>
      <c r="D131" s="192"/>
      <c r="S131" s="141"/>
      <c r="T131" s="80"/>
      <c r="U131" s="43">
        <v>69</v>
      </c>
      <c r="V131" s="191"/>
      <c r="W131" s="192"/>
      <c r="AL131" s="141"/>
    </row>
    <row r="132" spans="1:38" ht="12.75" customHeight="1">
      <c r="A132" s="80"/>
      <c r="B132" s="43">
        <v>70</v>
      </c>
      <c r="C132" s="191"/>
      <c r="D132" s="192"/>
      <c r="S132" s="141"/>
      <c r="T132" s="80"/>
      <c r="U132" s="43">
        <v>70</v>
      </c>
      <c r="V132" s="191"/>
      <c r="W132" s="192"/>
      <c r="AL132" s="141"/>
    </row>
    <row r="133" spans="1:38" ht="12.75" customHeight="1">
      <c r="A133" s="80"/>
      <c r="B133" s="43">
        <v>71</v>
      </c>
      <c r="C133" s="191"/>
      <c r="D133" s="192"/>
      <c r="S133" s="141"/>
      <c r="T133" s="80"/>
      <c r="U133" s="43">
        <v>71</v>
      </c>
      <c r="V133" s="191"/>
      <c r="W133" s="192"/>
      <c r="AL133" s="141"/>
    </row>
    <row r="134" spans="1:38" ht="12.75" customHeight="1">
      <c r="A134" s="80"/>
      <c r="B134" s="43">
        <v>72</v>
      </c>
      <c r="C134" s="191"/>
      <c r="D134" s="192"/>
      <c r="S134" s="141"/>
      <c r="T134" s="80"/>
      <c r="U134" s="43">
        <v>72</v>
      </c>
      <c r="V134" s="191"/>
      <c r="W134" s="192"/>
      <c r="AL134" s="141"/>
    </row>
    <row r="135" spans="1:38" ht="12.75" customHeight="1">
      <c r="A135" s="80"/>
      <c r="B135" s="43">
        <v>73</v>
      </c>
      <c r="C135" s="191"/>
      <c r="D135" s="192"/>
      <c r="S135" s="141"/>
      <c r="T135" s="80"/>
      <c r="U135" s="43">
        <v>73</v>
      </c>
      <c r="V135" s="191"/>
      <c r="W135" s="192"/>
      <c r="AL135" s="141"/>
    </row>
    <row r="136" spans="1:38" ht="12.75" customHeight="1">
      <c r="A136" s="80"/>
      <c r="B136" s="43">
        <v>74</v>
      </c>
      <c r="C136" s="191"/>
      <c r="D136" s="192"/>
      <c r="S136" s="141"/>
      <c r="T136" s="80"/>
      <c r="U136" s="43">
        <v>74</v>
      </c>
      <c r="V136" s="191"/>
      <c r="W136" s="192"/>
      <c r="AL136" s="141"/>
    </row>
    <row r="137" spans="1:38" ht="12.75" customHeight="1">
      <c r="A137" s="80"/>
      <c r="B137" s="43">
        <v>75</v>
      </c>
      <c r="C137" s="191"/>
      <c r="D137" s="192"/>
      <c r="S137" s="141"/>
      <c r="T137" s="80"/>
      <c r="U137" s="43">
        <v>75</v>
      </c>
      <c r="V137" s="191"/>
      <c r="W137" s="192"/>
      <c r="AL137" s="141"/>
    </row>
    <row r="138" spans="1:38" ht="12.75" customHeight="1">
      <c r="A138" s="80"/>
      <c r="B138" s="43">
        <v>76</v>
      </c>
      <c r="C138" s="191"/>
      <c r="D138" s="192"/>
      <c r="S138" s="141"/>
      <c r="T138" s="80"/>
      <c r="U138" s="43">
        <v>76</v>
      </c>
      <c r="V138" s="191"/>
      <c r="W138" s="192"/>
      <c r="AL138" s="141"/>
    </row>
    <row r="139" spans="1:38" ht="12.75" customHeight="1">
      <c r="A139" s="80"/>
      <c r="B139" s="43">
        <v>77</v>
      </c>
      <c r="C139" s="191"/>
      <c r="D139" s="192"/>
      <c r="S139" s="141"/>
      <c r="T139" s="80"/>
      <c r="U139" s="43">
        <v>77</v>
      </c>
      <c r="V139" s="191"/>
      <c r="W139" s="192"/>
      <c r="AL139" s="141"/>
    </row>
    <row r="140" spans="1:38" ht="12.75" customHeight="1">
      <c r="A140" s="80"/>
      <c r="B140" s="43">
        <v>78</v>
      </c>
      <c r="C140" s="191"/>
      <c r="D140" s="192"/>
      <c r="S140" s="141"/>
      <c r="T140" s="80"/>
      <c r="U140" s="43">
        <v>78</v>
      </c>
      <c r="V140" s="191"/>
      <c r="W140" s="192"/>
      <c r="AL140" s="141"/>
    </row>
    <row r="141" spans="1:38" ht="12.75" customHeight="1">
      <c r="A141" s="80"/>
      <c r="B141" s="43">
        <v>79</v>
      </c>
      <c r="C141" s="191"/>
      <c r="D141" s="192"/>
      <c r="S141" s="141"/>
      <c r="T141" s="80"/>
      <c r="U141" s="43">
        <v>79</v>
      </c>
      <c r="V141" s="191"/>
      <c r="W141" s="192"/>
      <c r="AL141" s="141"/>
    </row>
    <row r="142" spans="1:38" ht="12.75" customHeight="1">
      <c r="A142" s="80"/>
      <c r="B142" s="43">
        <v>80</v>
      </c>
      <c r="C142" s="191"/>
      <c r="D142" s="192"/>
      <c r="S142" s="141"/>
      <c r="T142" s="80"/>
      <c r="U142" s="43">
        <v>80</v>
      </c>
      <c r="V142" s="191"/>
      <c r="W142" s="192"/>
      <c r="AL142" s="141"/>
    </row>
    <row r="143" spans="1:38" ht="12.75" customHeight="1">
      <c r="A143" s="80"/>
      <c r="B143" s="43">
        <v>81</v>
      </c>
      <c r="C143" s="191"/>
      <c r="D143" s="192"/>
      <c r="S143" s="141"/>
      <c r="T143" s="80"/>
      <c r="U143" s="43">
        <v>81</v>
      </c>
      <c r="V143" s="191"/>
      <c r="W143" s="192"/>
      <c r="AL143" s="141"/>
    </row>
    <row r="144" spans="1:38" ht="12.75" customHeight="1">
      <c r="A144" s="80"/>
      <c r="B144" s="43">
        <v>82</v>
      </c>
      <c r="C144" s="191"/>
      <c r="D144" s="192"/>
      <c r="S144" s="141"/>
      <c r="T144" s="80"/>
      <c r="U144" s="43">
        <v>82</v>
      </c>
      <c r="V144" s="191"/>
      <c r="W144" s="192"/>
      <c r="AL144" s="141"/>
    </row>
    <row r="145" spans="1:38" ht="12.75" customHeight="1">
      <c r="A145" s="80"/>
      <c r="B145" s="43">
        <v>83</v>
      </c>
      <c r="C145" s="191"/>
      <c r="D145" s="192"/>
      <c r="S145" s="141"/>
      <c r="T145" s="80"/>
      <c r="U145" s="43">
        <v>83</v>
      </c>
      <c r="V145" s="191"/>
      <c r="W145" s="192"/>
      <c r="AL145" s="141"/>
    </row>
    <row r="146" spans="1:38" ht="12.75" customHeight="1">
      <c r="A146" s="80"/>
      <c r="B146" s="43">
        <v>84</v>
      </c>
      <c r="C146" s="191"/>
      <c r="D146" s="192"/>
      <c r="S146" s="141"/>
      <c r="T146" s="80"/>
      <c r="U146" s="43">
        <v>84</v>
      </c>
      <c r="V146" s="191"/>
      <c r="W146" s="192"/>
      <c r="AL146" s="141"/>
    </row>
    <row r="147" spans="1:38" ht="12.75" customHeight="1">
      <c r="A147" s="80"/>
      <c r="B147" s="43">
        <v>85</v>
      </c>
      <c r="C147" s="191"/>
      <c r="D147" s="192"/>
      <c r="S147" s="141"/>
      <c r="T147" s="80"/>
      <c r="U147" s="43">
        <v>85</v>
      </c>
      <c r="V147" s="191"/>
      <c r="W147" s="192"/>
      <c r="AL147" s="141"/>
    </row>
    <row r="148" spans="1:38" ht="12.75" customHeight="1">
      <c r="A148" s="80"/>
      <c r="B148" s="43">
        <v>86</v>
      </c>
      <c r="C148" s="191"/>
      <c r="D148" s="192"/>
      <c r="S148" s="141"/>
      <c r="T148" s="80"/>
      <c r="U148" s="43">
        <v>86</v>
      </c>
      <c r="V148" s="191"/>
      <c r="W148" s="192"/>
      <c r="AL148" s="141"/>
    </row>
    <row r="149" spans="1:38" ht="12.75" customHeight="1">
      <c r="A149" s="80"/>
      <c r="B149" s="43">
        <v>87</v>
      </c>
      <c r="C149" s="191"/>
      <c r="D149" s="192"/>
      <c r="S149" s="141"/>
      <c r="T149" s="80"/>
      <c r="U149" s="43">
        <v>87</v>
      </c>
      <c r="V149" s="191"/>
      <c r="W149" s="192"/>
      <c r="AL149" s="141"/>
    </row>
    <row r="150" spans="1:38" ht="12.75" customHeight="1">
      <c r="A150" s="80"/>
      <c r="B150" s="43">
        <v>88</v>
      </c>
      <c r="C150" s="191"/>
      <c r="D150" s="192"/>
      <c r="S150" s="141"/>
      <c r="T150" s="80"/>
      <c r="U150" s="43">
        <v>88</v>
      </c>
      <c r="V150" s="191"/>
      <c r="W150" s="192"/>
      <c r="AL150" s="141"/>
    </row>
    <row r="151" spans="1:38" ht="12.75" customHeight="1">
      <c r="A151" s="80"/>
      <c r="B151" s="43">
        <v>89</v>
      </c>
      <c r="C151" s="191"/>
      <c r="D151" s="192"/>
      <c r="S151" s="141"/>
      <c r="T151" s="80"/>
      <c r="U151" s="43">
        <v>89</v>
      </c>
      <c r="V151" s="191"/>
      <c r="W151" s="192"/>
      <c r="AL151" s="141"/>
    </row>
    <row r="152" spans="1:38" ht="12.75" customHeight="1">
      <c r="A152" s="80"/>
      <c r="B152" s="43">
        <v>90</v>
      </c>
      <c r="C152" s="191"/>
      <c r="D152" s="192"/>
      <c r="S152" s="141"/>
      <c r="T152" s="80"/>
      <c r="U152" s="43">
        <v>90</v>
      </c>
      <c r="V152" s="191"/>
      <c r="W152" s="192"/>
      <c r="AL152" s="141"/>
    </row>
    <row r="153" spans="1:38" ht="12.75" customHeight="1">
      <c r="A153" s="80"/>
      <c r="B153" s="43">
        <v>91</v>
      </c>
      <c r="C153" s="191"/>
      <c r="D153" s="192"/>
      <c r="S153" s="141"/>
      <c r="T153" s="80"/>
      <c r="U153" s="43">
        <v>91</v>
      </c>
      <c r="V153" s="191"/>
      <c r="W153" s="192"/>
      <c r="AL153" s="141"/>
    </row>
    <row r="154" spans="1:38" ht="12.75" customHeight="1">
      <c r="A154" s="80"/>
      <c r="B154" s="43">
        <v>92</v>
      </c>
      <c r="C154" s="191"/>
      <c r="D154" s="192"/>
      <c r="S154" s="141"/>
      <c r="T154" s="80"/>
      <c r="U154" s="43">
        <v>92</v>
      </c>
      <c r="V154" s="191"/>
      <c r="W154" s="192"/>
      <c r="AL154" s="141"/>
    </row>
    <row r="155" spans="1:38" ht="12.75" customHeight="1">
      <c r="A155" s="80"/>
      <c r="B155" s="43">
        <v>93</v>
      </c>
      <c r="C155" s="191"/>
      <c r="D155" s="192"/>
      <c r="S155" s="141"/>
      <c r="T155" s="80"/>
      <c r="U155" s="43">
        <v>93</v>
      </c>
      <c r="V155" s="191"/>
      <c r="W155" s="192"/>
      <c r="AL155" s="141"/>
    </row>
    <row r="156" spans="1:38" ht="12.75" customHeight="1">
      <c r="A156" s="80"/>
      <c r="B156" s="43">
        <v>94</v>
      </c>
      <c r="C156" s="191"/>
      <c r="D156" s="192"/>
      <c r="S156" s="141"/>
      <c r="T156" s="80"/>
      <c r="U156" s="43">
        <v>94</v>
      </c>
      <c r="V156" s="191"/>
      <c r="W156" s="192"/>
      <c r="AL156" s="141"/>
    </row>
    <row r="157" spans="1:38" ht="12.75" customHeight="1">
      <c r="A157" s="80"/>
      <c r="B157" s="43">
        <v>95</v>
      </c>
      <c r="C157" s="191"/>
      <c r="D157" s="192"/>
      <c r="S157" s="141"/>
      <c r="T157" s="80"/>
      <c r="U157" s="43">
        <v>95</v>
      </c>
      <c r="V157" s="191"/>
      <c r="W157" s="192"/>
      <c r="AL157" s="141"/>
    </row>
    <row r="158" spans="1:38" ht="12.75" customHeight="1">
      <c r="A158" s="80"/>
      <c r="B158" s="43">
        <v>96</v>
      </c>
      <c r="C158" s="191"/>
      <c r="D158" s="192"/>
      <c r="S158" s="141"/>
      <c r="T158" s="80"/>
      <c r="U158" s="43">
        <v>96</v>
      </c>
      <c r="V158" s="191"/>
      <c r="W158" s="192"/>
      <c r="AL158" s="141"/>
    </row>
    <row r="159" spans="1:38" ht="12.75" customHeight="1">
      <c r="A159" s="80"/>
      <c r="B159" s="43">
        <v>97</v>
      </c>
      <c r="C159" s="191"/>
      <c r="D159" s="192"/>
      <c r="S159" s="141"/>
      <c r="T159" s="80"/>
      <c r="U159" s="43">
        <v>97</v>
      </c>
      <c r="V159" s="191"/>
      <c r="W159" s="192"/>
      <c r="AL159" s="141"/>
    </row>
    <row r="160" spans="1:38" ht="12.75" customHeight="1">
      <c r="A160" s="80"/>
      <c r="B160" s="43">
        <v>98</v>
      </c>
      <c r="C160" s="191"/>
      <c r="D160" s="192"/>
      <c r="S160" s="141"/>
      <c r="T160" s="80"/>
      <c r="U160" s="43">
        <v>98</v>
      </c>
      <c r="V160" s="191"/>
      <c r="W160" s="192"/>
      <c r="AL160" s="141"/>
    </row>
    <row r="161" spans="1:38" ht="12.75" customHeight="1">
      <c r="A161" s="80"/>
      <c r="B161" s="43">
        <v>99</v>
      </c>
      <c r="C161" s="191"/>
      <c r="D161" s="192"/>
      <c r="S161" s="141"/>
      <c r="T161" s="80"/>
      <c r="U161" s="43">
        <v>99</v>
      </c>
      <c r="V161" s="191"/>
      <c r="W161" s="192"/>
      <c r="AL161" s="141"/>
    </row>
    <row r="162" spans="1:38" ht="12.75" customHeight="1">
      <c r="A162" s="80"/>
      <c r="B162" s="43">
        <v>100</v>
      </c>
      <c r="C162" s="191"/>
      <c r="D162" s="192"/>
      <c r="S162" s="141"/>
      <c r="T162" s="80"/>
      <c r="U162" s="43">
        <v>100</v>
      </c>
      <c r="V162" s="191"/>
      <c r="W162" s="192"/>
      <c r="AL162" s="141"/>
    </row>
    <row r="163" spans="1:38" ht="12.75" customHeight="1">
      <c r="A163" s="80"/>
      <c r="B163" s="43">
        <v>101</v>
      </c>
      <c r="C163" s="191"/>
      <c r="D163" s="192"/>
      <c r="S163" s="141"/>
      <c r="T163" s="80"/>
      <c r="U163" s="43">
        <v>101</v>
      </c>
      <c r="V163" s="191"/>
      <c r="W163" s="192"/>
      <c r="AL163" s="141"/>
    </row>
    <row r="164" spans="1:38" ht="12.75" customHeight="1">
      <c r="A164" s="80"/>
      <c r="B164" s="43">
        <v>102</v>
      </c>
      <c r="C164" s="191"/>
      <c r="D164" s="192"/>
      <c r="S164" s="141"/>
      <c r="T164" s="80"/>
      <c r="U164" s="43">
        <v>102</v>
      </c>
      <c r="V164" s="191"/>
      <c r="W164" s="192"/>
      <c r="AL164" s="141"/>
    </row>
    <row r="165" spans="1:38" ht="12.75" customHeight="1">
      <c r="A165" s="80"/>
      <c r="B165" s="43">
        <v>103</v>
      </c>
      <c r="C165" s="186"/>
      <c r="D165" s="187"/>
      <c r="S165" s="141"/>
      <c r="T165" s="80"/>
      <c r="U165" s="43">
        <v>103</v>
      </c>
      <c r="V165" s="186"/>
      <c r="W165" s="187"/>
      <c r="AL165" s="141"/>
    </row>
    <row r="166" spans="1:38" ht="12.75" customHeight="1">
      <c r="A166" s="80"/>
      <c r="B166" s="43">
        <v>104</v>
      </c>
      <c r="C166" s="186"/>
      <c r="D166" s="187"/>
      <c r="S166" s="141"/>
      <c r="T166" s="80"/>
      <c r="U166" s="43">
        <v>104</v>
      </c>
      <c r="V166" s="186"/>
      <c r="W166" s="187"/>
      <c r="AL166" s="141"/>
    </row>
    <row r="167" spans="1:38" ht="12.75" customHeight="1">
      <c r="A167" s="80"/>
      <c r="B167" s="43">
        <v>105</v>
      </c>
      <c r="C167" s="186"/>
      <c r="D167" s="187"/>
      <c r="S167" s="141"/>
      <c r="T167" s="80"/>
      <c r="U167" s="43">
        <v>105</v>
      </c>
      <c r="V167" s="186"/>
      <c r="W167" s="187"/>
      <c r="AL167" s="141"/>
    </row>
    <row r="168" spans="1:38" ht="12.75" customHeight="1">
      <c r="A168" s="80"/>
      <c r="B168" s="43">
        <v>106</v>
      </c>
      <c r="C168" s="186"/>
      <c r="D168" s="187"/>
      <c r="S168" s="141"/>
      <c r="T168" s="80"/>
      <c r="U168" s="43">
        <v>106</v>
      </c>
      <c r="V168" s="186"/>
      <c r="W168" s="187"/>
      <c r="AL168" s="141"/>
    </row>
    <row r="169" spans="1:38" ht="12.75" customHeight="1">
      <c r="A169" s="80"/>
      <c r="B169" s="43">
        <v>107</v>
      </c>
      <c r="C169" s="186"/>
      <c r="D169" s="187"/>
      <c r="S169" s="141"/>
      <c r="T169" s="80"/>
      <c r="U169" s="43">
        <v>107</v>
      </c>
      <c r="V169" s="186"/>
      <c r="W169" s="187"/>
      <c r="AL169" s="141"/>
    </row>
    <row r="170" spans="1:38" ht="12.75" customHeight="1">
      <c r="A170" s="80"/>
      <c r="B170" s="43">
        <v>108</v>
      </c>
      <c r="C170" s="186"/>
      <c r="D170" s="187"/>
      <c r="S170" s="141"/>
      <c r="T170" s="80"/>
      <c r="U170" s="43">
        <v>108</v>
      </c>
      <c r="V170" s="186"/>
      <c r="W170" s="187"/>
      <c r="AL170" s="141"/>
    </row>
    <row r="171" spans="1:38" ht="12.75" customHeight="1">
      <c r="A171" s="80"/>
      <c r="B171" s="43">
        <v>109</v>
      </c>
      <c r="C171" s="186"/>
      <c r="D171" s="187"/>
      <c r="S171" s="141"/>
      <c r="T171" s="80"/>
      <c r="U171" s="43">
        <v>109</v>
      </c>
      <c r="V171" s="186"/>
      <c r="W171" s="187"/>
      <c r="AL171" s="141"/>
    </row>
    <row r="172" spans="1:38" ht="12.75" customHeight="1">
      <c r="A172" s="80"/>
      <c r="B172" s="43">
        <v>110</v>
      </c>
      <c r="C172" s="186"/>
      <c r="D172" s="187"/>
      <c r="S172" s="141"/>
      <c r="T172" s="80"/>
      <c r="U172" s="43">
        <v>110</v>
      </c>
      <c r="V172" s="186"/>
      <c r="W172" s="187"/>
      <c r="AL172" s="141"/>
    </row>
    <row r="173" spans="1:38" ht="12.75" customHeight="1">
      <c r="A173" s="80"/>
      <c r="B173" s="43">
        <v>111</v>
      </c>
      <c r="C173" s="186"/>
      <c r="D173" s="187"/>
      <c r="S173" s="141"/>
      <c r="T173" s="80"/>
      <c r="U173" s="43">
        <v>111</v>
      </c>
      <c r="V173" s="186"/>
      <c r="W173" s="187"/>
      <c r="AL173" s="141"/>
    </row>
    <row r="174" spans="1:38" ht="12.75" customHeight="1">
      <c r="A174" s="80"/>
      <c r="B174" s="43">
        <v>112</v>
      </c>
      <c r="C174" s="186"/>
      <c r="D174" s="187"/>
      <c r="S174" s="141"/>
      <c r="T174" s="80"/>
      <c r="U174" s="43">
        <v>112</v>
      </c>
      <c r="V174" s="186"/>
      <c r="W174" s="187"/>
      <c r="AL174" s="141"/>
    </row>
    <row r="175" spans="1:38" ht="12.75" customHeight="1">
      <c r="A175" s="80"/>
      <c r="B175" s="43">
        <v>113</v>
      </c>
      <c r="C175" s="186"/>
      <c r="D175" s="187"/>
      <c r="S175" s="141"/>
      <c r="T175" s="80"/>
      <c r="U175" s="43">
        <v>113</v>
      </c>
      <c r="V175" s="186"/>
      <c r="W175" s="187"/>
      <c r="AL175" s="141"/>
    </row>
    <row r="176" spans="1:38" ht="12.75" customHeight="1">
      <c r="A176" s="80"/>
      <c r="B176" s="43">
        <v>114</v>
      </c>
      <c r="C176" s="186"/>
      <c r="D176" s="187"/>
      <c r="S176" s="141"/>
      <c r="T176" s="80"/>
      <c r="U176" s="43">
        <v>114</v>
      </c>
      <c r="V176" s="186"/>
      <c r="W176" s="187"/>
      <c r="AL176" s="141"/>
    </row>
    <row r="177" spans="1:38" ht="12.75" customHeight="1">
      <c r="A177" s="80"/>
      <c r="B177" s="43">
        <v>115</v>
      </c>
      <c r="C177" s="186"/>
      <c r="D177" s="187"/>
      <c r="S177" s="141"/>
      <c r="T177" s="80"/>
      <c r="U177" s="43">
        <v>115</v>
      </c>
      <c r="V177" s="186"/>
      <c r="W177" s="187"/>
      <c r="AL177" s="141"/>
    </row>
    <row r="178" spans="1:38" ht="12.75" customHeight="1">
      <c r="A178" s="80"/>
      <c r="B178" s="43">
        <v>116</v>
      </c>
      <c r="C178" s="186"/>
      <c r="D178" s="187"/>
      <c r="S178" s="141"/>
      <c r="T178" s="80"/>
      <c r="U178" s="43">
        <v>116</v>
      </c>
      <c r="V178" s="186"/>
      <c r="W178" s="187"/>
      <c r="AL178" s="141"/>
    </row>
    <row r="179" spans="1:38" ht="12.75" customHeight="1">
      <c r="A179" s="80"/>
      <c r="B179" s="43">
        <v>117</v>
      </c>
      <c r="C179" s="186"/>
      <c r="D179" s="187"/>
      <c r="S179" s="141"/>
      <c r="T179" s="80"/>
      <c r="U179" s="43">
        <v>117</v>
      </c>
      <c r="V179" s="186"/>
      <c r="W179" s="187"/>
      <c r="AL179" s="141"/>
    </row>
    <row r="180" spans="1:38" ht="12.75" customHeight="1">
      <c r="A180" s="80"/>
      <c r="B180" s="43">
        <v>118</v>
      </c>
      <c r="C180" s="186"/>
      <c r="D180" s="187"/>
      <c r="S180" s="141"/>
      <c r="T180" s="80"/>
      <c r="U180" s="43">
        <v>118</v>
      </c>
      <c r="V180" s="186"/>
      <c r="W180" s="187"/>
      <c r="AL180" s="141"/>
    </row>
    <row r="181" spans="1:38" ht="12.75" customHeight="1">
      <c r="A181" s="80"/>
      <c r="B181" s="43">
        <v>119</v>
      </c>
      <c r="C181" s="186"/>
      <c r="D181" s="187"/>
      <c r="S181" s="141"/>
      <c r="T181" s="80"/>
      <c r="U181" s="43">
        <v>119</v>
      </c>
      <c r="V181" s="186"/>
      <c r="W181" s="187"/>
      <c r="AL181" s="141"/>
    </row>
    <row r="182" spans="1:38" ht="12.75" customHeight="1">
      <c r="A182" s="80"/>
      <c r="B182" s="43">
        <v>120</v>
      </c>
      <c r="C182" s="186"/>
      <c r="D182" s="187"/>
      <c r="S182" s="141"/>
      <c r="T182" s="80"/>
      <c r="U182" s="43">
        <v>120</v>
      </c>
      <c r="V182" s="186"/>
      <c r="W182" s="187"/>
      <c r="AL182" s="141"/>
    </row>
    <row r="183" spans="1:38" ht="12.75" customHeight="1">
      <c r="A183" s="34"/>
      <c r="B183" s="43">
        <v>121</v>
      </c>
      <c r="C183" s="186"/>
      <c r="D183" s="187"/>
      <c r="S183" s="141"/>
      <c r="U183" s="43">
        <v>121</v>
      </c>
      <c r="V183" s="186"/>
      <c r="W183" s="187"/>
      <c r="AL183" s="141"/>
    </row>
    <row r="184" spans="1:38" ht="12.75" customHeight="1">
      <c r="B184" s="43">
        <v>122</v>
      </c>
      <c r="C184" s="186"/>
      <c r="D184" s="187"/>
      <c r="S184" s="141"/>
      <c r="U184" s="43">
        <v>122</v>
      </c>
      <c r="V184" s="186"/>
      <c r="W184" s="187"/>
      <c r="AL184" s="141"/>
    </row>
    <row r="185" spans="1:38" ht="12.75" customHeight="1">
      <c r="B185" s="43">
        <v>123</v>
      </c>
      <c r="C185" s="186"/>
      <c r="D185" s="187"/>
      <c r="S185" s="141"/>
      <c r="U185" s="43">
        <v>123</v>
      </c>
      <c r="V185" s="186"/>
      <c r="W185" s="187"/>
      <c r="AL185" s="141"/>
    </row>
    <row r="186" spans="1:38" ht="12.75" customHeight="1">
      <c r="B186" s="43">
        <v>124</v>
      </c>
      <c r="C186" s="186"/>
      <c r="D186" s="187"/>
      <c r="S186" s="141"/>
      <c r="U186" s="43">
        <v>124</v>
      </c>
      <c r="V186" s="186"/>
      <c r="W186" s="187"/>
      <c r="AL186" s="141"/>
    </row>
    <row r="187" spans="1:38" ht="12.75" customHeight="1">
      <c r="B187" s="43">
        <v>125</v>
      </c>
      <c r="C187" s="186"/>
      <c r="D187" s="187"/>
      <c r="S187" s="141"/>
      <c r="U187" s="43">
        <v>125</v>
      </c>
      <c r="V187" s="186"/>
      <c r="W187" s="187"/>
      <c r="AL187" s="141"/>
    </row>
    <row r="188" spans="1:38" ht="12.75" customHeight="1">
      <c r="B188" s="43">
        <v>126</v>
      </c>
      <c r="C188" s="186"/>
      <c r="D188" s="187"/>
      <c r="S188" s="141"/>
      <c r="U188" s="43">
        <v>126</v>
      </c>
      <c r="V188" s="186"/>
      <c r="W188" s="187"/>
      <c r="AL188" s="141"/>
    </row>
    <row r="189" spans="1:38" ht="12.75" customHeight="1">
      <c r="B189" s="43">
        <v>127</v>
      </c>
      <c r="C189" s="186"/>
      <c r="D189" s="187"/>
      <c r="S189" s="141"/>
      <c r="U189" s="43">
        <v>127</v>
      </c>
      <c r="V189" s="186"/>
      <c r="W189" s="187"/>
      <c r="AL189" s="141"/>
    </row>
    <row r="190" spans="1:38" ht="12.75" customHeight="1">
      <c r="B190" s="43">
        <v>128</v>
      </c>
      <c r="C190" s="186"/>
      <c r="D190" s="187"/>
      <c r="S190" s="141"/>
      <c r="U190" s="43">
        <v>128</v>
      </c>
      <c r="V190" s="186"/>
      <c r="W190" s="187"/>
      <c r="AL190" s="141"/>
    </row>
    <row r="191" spans="1:38" ht="12.75" customHeight="1">
      <c r="B191" s="43">
        <v>129</v>
      </c>
      <c r="C191" s="186"/>
      <c r="D191" s="187"/>
      <c r="S191" s="141"/>
      <c r="U191" s="43">
        <v>129</v>
      </c>
      <c r="V191" s="186"/>
      <c r="W191" s="187"/>
      <c r="AL191" s="141"/>
    </row>
    <row r="192" spans="1:38" ht="12.75" customHeight="1">
      <c r="B192" s="43">
        <v>130</v>
      </c>
      <c r="C192" s="186"/>
      <c r="D192" s="187"/>
      <c r="S192" s="141"/>
      <c r="U192" s="43">
        <v>130</v>
      </c>
      <c r="V192" s="186"/>
      <c r="W192" s="187"/>
      <c r="AL192" s="141"/>
    </row>
    <row r="193" spans="2:38" ht="12.75" customHeight="1">
      <c r="B193" s="43">
        <v>131</v>
      </c>
      <c r="C193" s="186"/>
      <c r="D193" s="187"/>
      <c r="S193" s="141"/>
      <c r="U193" s="43">
        <v>131</v>
      </c>
      <c r="V193" s="186"/>
      <c r="W193" s="187"/>
      <c r="AL193" s="141"/>
    </row>
    <row r="194" spans="2:38" ht="12.75" customHeight="1">
      <c r="B194" s="43">
        <v>132</v>
      </c>
      <c r="C194" s="186"/>
      <c r="D194" s="187"/>
      <c r="S194" s="141"/>
      <c r="U194" s="43">
        <v>132</v>
      </c>
      <c r="V194" s="186"/>
      <c r="W194" s="187"/>
      <c r="AL194" s="141"/>
    </row>
    <row r="195" spans="2:38" ht="12.75" customHeight="1">
      <c r="B195" s="43">
        <v>133</v>
      </c>
      <c r="C195" s="186"/>
      <c r="D195" s="187"/>
      <c r="S195" s="141"/>
      <c r="U195" s="43">
        <v>133</v>
      </c>
      <c r="V195" s="186"/>
      <c r="W195" s="187"/>
      <c r="AL195" s="141"/>
    </row>
    <row r="196" spans="2:38" ht="12.75" customHeight="1">
      <c r="B196" s="43">
        <v>134</v>
      </c>
      <c r="C196" s="186"/>
      <c r="D196" s="187"/>
      <c r="S196" s="141"/>
      <c r="U196" s="43">
        <v>134</v>
      </c>
      <c r="V196" s="186"/>
      <c r="W196" s="187"/>
      <c r="AL196" s="141"/>
    </row>
    <row r="197" spans="2:38" ht="12.75" customHeight="1">
      <c r="B197" s="43">
        <v>135</v>
      </c>
      <c r="C197" s="186"/>
      <c r="D197" s="187"/>
      <c r="S197" s="141"/>
      <c r="U197" s="43">
        <v>135</v>
      </c>
      <c r="V197" s="186"/>
      <c r="W197" s="187"/>
      <c r="AL197" s="141"/>
    </row>
    <row r="198" spans="2:38" ht="12.75" customHeight="1">
      <c r="B198" s="43">
        <v>136</v>
      </c>
      <c r="C198" s="186"/>
      <c r="D198" s="187"/>
      <c r="S198" s="141"/>
      <c r="U198" s="43">
        <v>136</v>
      </c>
      <c r="V198" s="186"/>
      <c r="W198" s="187"/>
      <c r="AL198" s="141"/>
    </row>
    <row r="199" spans="2:38" ht="12.75" customHeight="1">
      <c r="B199" s="43">
        <v>137</v>
      </c>
      <c r="C199" s="186"/>
      <c r="D199" s="187"/>
      <c r="S199" s="141"/>
      <c r="U199" s="43">
        <v>137</v>
      </c>
      <c r="V199" s="186"/>
      <c r="W199" s="187"/>
      <c r="AL199" s="141"/>
    </row>
    <row r="200" spans="2:38" ht="12.75" customHeight="1">
      <c r="B200" s="43">
        <v>138</v>
      </c>
      <c r="C200" s="186"/>
      <c r="D200" s="187"/>
      <c r="S200" s="141"/>
      <c r="U200" s="43">
        <v>138</v>
      </c>
      <c r="V200" s="186"/>
      <c r="W200" s="187"/>
      <c r="AL200" s="141"/>
    </row>
    <row r="201" spans="2:38" ht="12.75" customHeight="1">
      <c r="B201" s="43">
        <v>139</v>
      </c>
      <c r="C201" s="186"/>
      <c r="D201" s="187"/>
      <c r="S201" s="141"/>
      <c r="U201" s="43">
        <v>139</v>
      </c>
      <c r="V201" s="186"/>
      <c r="W201" s="187"/>
      <c r="AL201" s="141"/>
    </row>
    <row r="202" spans="2:38" ht="12.75" customHeight="1">
      <c r="B202" s="43">
        <v>140</v>
      </c>
      <c r="C202" s="186"/>
      <c r="D202" s="187"/>
      <c r="S202" s="141"/>
      <c r="U202" s="43">
        <v>140</v>
      </c>
      <c r="V202" s="186"/>
      <c r="W202" s="187"/>
      <c r="AL202" s="141"/>
    </row>
    <row r="203" spans="2:38" ht="12.75" customHeight="1">
      <c r="B203" s="43">
        <v>141</v>
      </c>
      <c r="C203" s="186"/>
      <c r="D203" s="187"/>
      <c r="S203" s="141"/>
      <c r="U203" s="43">
        <v>141</v>
      </c>
      <c r="V203" s="186"/>
      <c r="W203" s="187"/>
      <c r="AL203" s="141"/>
    </row>
    <row r="204" spans="2:38" ht="12.75" customHeight="1">
      <c r="B204" s="43">
        <v>142</v>
      </c>
      <c r="C204" s="186"/>
      <c r="D204" s="187"/>
      <c r="S204" s="141"/>
      <c r="U204" s="43">
        <v>142</v>
      </c>
      <c r="V204" s="186"/>
      <c r="W204" s="187"/>
      <c r="AL204" s="141"/>
    </row>
    <row r="205" spans="2:38" ht="12.75" customHeight="1">
      <c r="B205" s="43">
        <v>143</v>
      </c>
      <c r="C205" s="186"/>
      <c r="D205" s="187"/>
      <c r="S205" s="141"/>
      <c r="U205" s="43">
        <v>143</v>
      </c>
      <c r="V205" s="186"/>
      <c r="W205" s="187"/>
      <c r="AL205" s="141"/>
    </row>
    <row r="206" spans="2:38" ht="12.75" customHeight="1">
      <c r="B206" s="43">
        <v>144</v>
      </c>
      <c r="C206" s="186"/>
      <c r="D206" s="187"/>
      <c r="S206" s="141"/>
      <c r="U206" s="43">
        <v>144</v>
      </c>
      <c r="V206" s="186"/>
      <c r="W206" s="187"/>
      <c r="AL206" s="141"/>
    </row>
    <row r="207" spans="2:38" ht="12.75" customHeight="1">
      <c r="B207" s="43">
        <v>145</v>
      </c>
      <c r="C207" s="186"/>
      <c r="D207" s="187"/>
      <c r="S207" s="141"/>
      <c r="U207" s="43">
        <v>145</v>
      </c>
      <c r="V207" s="186"/>
      <c r="W207" s="187"/>
      <c r="AL207" s="141"/>
    </row>
    <row r="208" spans="2:38" ht="12.75" customHeight="1">
      <c r="B208" s="43">
        <v>146</v>
      </c>
      <c r="C208" s="186"/>
      <c r="D208" s="187"/>
      <c r="S208" s="141"/>
      <c r="U208" s="43">
        <v>146</v>
      </c>
      <c r="V208" s="186"/>
      <c r="W208" s="187"/>
      <c r="AL208" s="141"/>
    </row>
    <row r="209" spans="2:38" ht="12.75" customHeight="1">
      <c r="B209" s="43">
        <v>147</v>
      </c>
      <c r="C209" s="186"/>
      <c r="D209" s="187"/>
      <c r="S209" s="141"/>
      <c r="U209" s="43">
        <v>147</v>
      </c>
      <c r="V209" s="186"/>
      <c r="W209" s="187"/>
      <c r="AL209" s="141"/>
    </row>
    <row r="210" spans="2:38" ht="12.75" customHeight="1">
      <c r="B210" s="43">
        <v>148</v>
      </c>
      <c r="C210" s="186"/>
      <c r="D210" s="187"/>
      <c r="S210" s="141"/>
      <c r="U210" s="43">
        <v>148</v>
      </c>
      <c r="V210" s="186"/>
      <c r="W210" s="187"/>
      <c r="AL210" s="141"/>
    </row>
    <row r="211" spans="2:38" ht="12.75" customHeight="1">
      <c r="B211" s="43">
        <v>149</v>
      </c>
      <c r="C211" s="186"/>
      <c r="D211" s="187"/>
      <c r="S211" s="141"/>
      <c r="U211" s="43">
        <v>149</v>
      </c>
      <c r="V211" s="186"/>
      <c r="W211" s="187"/>
      <c r="AL211" s="141"/>
    </row>
    <row r="212" spans="2:38" ht="12.75" customHeight="1">
      <c r="B212" s="43">
        <v>150</v>
      </c>
      <c r="C212" s="186"/>
      <c r="D212" s="187"/>
      <c r="S212" s="141"/>
      <c r="U212" s="43">
        <v>150</v>
      </c>
      <c r="V212" s="186"/>
      <c r="W212" s="187"/>
      <c r="AL212" s="141"/>
    </row>
    <row r="213" spans="2:38" ht="12.75" customHeight="1">
      <c r="B213" s="43">
        <v>151</v>
      </c>
      <c r="C213" s="186"/>
      <c r="D213" s="187"/>
      <c r="S213" s="141"/>
      <c r="U213" s="43">
        <v>151</v>
      </c>
      <c r="V213" s="186"/>
      <c r="W213" s="187"/>
      <c r="AL213" s="141"/>
    </row>
    <row r="214" spans="2:38" ht="12.75" customHeight="1">
      <c r="B214" s="43">
        <v>152</v>
      </c>
      <c r="C214" s="186"/>
      <c r="D214" s="187"/>
      <c r="S214" s="141"/>
      <c r="U214" s="43">
        <v>152</v>
      </c>
      <c r="V214" s="186"/>
      <c r="W214" s="187"/>
      <c r="AL214" s="141"/>
    </row>
    <row r="215" spans="2:38" ht="12.75" customHeight="1">
      <c r="B215" s="43">
        <v>153</v>
      </c>
      <c r="C215" s="186"/>
      <c r="D215" s="187"/>
      <c r="S215" s="141"/>
      <c r="U215" s="43">
        <v>153</v>
      </c>
      <c r="V215" s="186"/>
      <c r="W215" s="187"/>
      <c r="AL215" s="141"/>
    </row>
    <row r="216" spans="2:38" ht="12.75" customHeight="1">
      <c r="B216" s="43">
        <v>154</v>
      </c>
      <c r="C216" s="186"/>
      <c r="D216" s="187"/>
      <c r="S216" s="141"/>
      <c r="U216" s="43">
        <v>154</v>
      </c>
      <c r="V216" s="186"/>
      <c r="W216" s="187"/>
      <c r="AL216" s="141"/>
    </row>
    <row r="217" spans="2:38" ht="12.75" customHeight="1">
      <c r="B217" s="43">
        <v>155</v>
      </c>
      <c r="C217" s="186"/>
      <c r="D217" s="187"/>
      <c r="S217" s="141"/>
      <c r="U217" s="43">
        <v>155</v>
      </c>
      <c r="V217" s="186"/>
      <c r="W217" s="187"/>
      <c r="AL217" s="141"/>
    </row>
    <row r="218" spans="2:38" ht="12.75" customHeight="1">
      <c r="B218" s="43">
        <v>156</v>
      </c>
      <c r="C218" s="186"/>
      <c r="D218" s="187"/>
      <c r="S218" s="141"/>
      <c r="U218" s="43">
        <v>156</v>
      </c>
      <c r="V218" s="186"/>
      <c r="W218" s="187"/>
      <c r="AL218" s="141"/>
    </row>
    <row r="219" spans="2:38" ht="12.75" customHeight="1">
      <c r="B219" s="43">
        <v>157</v>
      </c>
      <c r="C219" s="186"/>
      <c r="D219" s="187"/>
      <c r="S219" s="141"/>
      <c r="U219" s="43">
        <v>157</v>
      </c>
      <c r="V219" s="186"/>
      <c r="W219" s="187"/>
      <c r="AL219" s="141"/>
    </row>
    <row r="220" spans="2:38" ht="12.75" customHeight="1">
      <c r="B220" s="43">
        <v>158</v>
      </c>
      <c r="C220" s="186"/>
      <c r="D220" s="187"/>
      <c r="S220" s="141"/>
      <c r="U220" s="43">
        <v>158</v>
      </c>
      <c r="V220" s="186"/>
      <c r="W220" s="187"/>
      <c r="AL220" s="141"/>
    </row>
    <row r="221" spans="2:38" ht="12.75" customHeight="1">
      <c r="B221" s="43">
        <v>159</v>
      </c>
      <c r="C221" s="186"/>
      <c r="D221" s="187"/>
      <c r="S221" s="141"/>
      <c r="U221" s="43">
        <v>159</v>
      </c>
      <c r="V221" s="186"/>
      <c r="W221" s="187"/>
      <c r="AL221" s="141"/>
    </row>
    <row r="222" spans="2:38" ht="12.75" customHeight="1">
      <c r="B222" s="43">
        <v>160</v>
      </c>
      <c r="C222" s="186"/>
      <c r="D222" s="187"/>
      <c r="S222" s="141"/>
      <c r="U222" s="43">
        <v>160</v>
      </c>
      <c r="V222" s="186"/>
      <c r="W222" s="187"/>
      <c r="AL222" s="141"/>
    </row>
    <row r="223" spans="2:38" ht="12.75" customHeight="1">
      <c r="B223" s="43">
        <v>161</v>
      </c>
      <c r="C223" s="186"/>
      <c r="D223" s="187"/>
      <c r="S223" s="141"/>
      <c r="U223" s="43">
        <v>161</v>
      </c>
      <c r="V223" s="186"/>
      <c r="W223" s="187"/>
      <c r="AL223" s="141"/>
    </row>
    <row r="224" spans="2:38" ht="12.75" customHeight="1">
      <c r="B224" s="43">
        <v>162</v>
      </c>
      <c r="C224" s="186"/>
      <c r="D224" s="187"/>
      <c r="S224" s="141"/>
      <c r="U224" s="43">
        <v>162</v>
      </c>
      <c r="V224" s="186"/>
      <c r="W224" s="187"/>
      <c r="AL224" s="141"/>
    </row>
    <row r="225" spans="2:38" ht="12.75" customHeight="1">
      <c r="B225" s="43">
        <v>163</v>
      </c>
      <c r="C225" s="186"/>
      <c r="D225" s="187"/>
      <c r="S225" s="141"/>
      <c r="U225" s="43">
        <v>163</v>
      </c>
      <c r="V225" s="186"/>
      <c r="W225" s="187"/>
      <c r="AL225" s="141"/>
    </row>
    <row r="226" spans="2:38" ht="12.75" customHeight="1">
      <c r="B226" s="43">
        <v>164</v>
      </c>
      <c r="C226" s="186"/>
      <c r="D226" s="187"/>
      <c r="S226" s="141"/>
      <c r="U226" s="43">
        <v>164</v>
      </c>
      <c r="V226" s="186"/>
      <c r="W226" s="187"/>
      <c r="AL226" s="141"/>
    </row>
    <row r="227" spans="2:38" ht="12.75" customHeight="1">
      <c r="B227" s="43">
        <v>165</v>
      </c>
      <c r="C227" s="186"/>
      <c r="D227" s="187"/>
      <c r="S227" s="141"/>
      <c r="U227" s="43">
        <v>165</v>
      </c>
      <c r="V227" s="186"/>
      <c r="W227" s="187"/>
      <c r="AL227" s="141"/>
    </row>
    <row r="228" spans="2:38" ht="12.75" customHeight="1">
      <c r="B228" s="43">
        <v>166</v>
      </c>
      <c r="C228" s="186"/>
      <c r="D228" s="187"/>
      <c r="S228" s="141"/>
      <c r="U228" s="43">
        <v>166</v>
      </c>
      <c r="V228" s="186"/>
      <c r="W228" s="187"/>
      <c r="AL228" s="141"/>
    </row>
    <row r="229" spans="2:38" ht="12.75" customHeight="1">
      <c r="B229" s="43">
        <v>167</v>
      </c>
      <c r="C229" s="186"/>
      <c r="D229" s="187"/>
      <c r="S229" s="141"/>
      <c r="U229" s="43">
        <v>167</v>
      </c>
      <c r="V229" s="186"/>
      <c r="W229" s="187"/>
      <c r="AL229" s="141"/>
    </row>
    <row r="230" spans="2:38" ht="12.75" customHeight="1">
      <c r="B230" s="43">
        <v>168</v>
      </c>
      <c r="C230" s="186"/>
      <c r="D230" s="187"/>
      <c r="S230" s="141"/>
      <c r="U230" s="43">
        <v>168</v>
      </c>
      <c r="V230" s="186"/>
      <c r="W230" s="187"/>
      <c r="AL230" s="141"/>
    </row>
    <row r="231" spans="2:38" ht="12.75" customHeight="1">
      <c r="B231" s="43">
        <v>169</v>
      </c>
      <c r="C231" s="186"/>
      <c r="D231" s="187"/>
      <c r="S231" s="141"/>
      <c r="U231" s="43">
        <v>169</v>
      </c>
      <c r="V231" s="186"/>
      <c r="W231" s="187"/>
      <c r="AL231" s="141"/>
    </row>
    <row r="232" spans="2:38" ht="12.75" customHeight="1">
      <c r="B232" s="43">
        <v>170</v>
      </c>
      <c r="C232" s="186"/>
      <c r="D232" s="187"/>
      <c r="S232" s="141"/>
      <c r="U232" s="43">
        <v>170</v>
      </c>
      <c r="V232" s="186"/>
      <c r="W232" s="187"/>
      <c r="AL232" s="141"/>
    </row>
    <row r="233" spans="2:38" ht="12.75" customHeight="1">
      <c r="B233" s="43">
        <v>171</v>
      </c>
      <c r="C233" s="186"/>
      <c r="D233" s="187"/>
      <c r="S233" s="141"/>
      <c r="U233" s="43">
        <v>171</v>
      </c>
      <c r="V233" s="186"/>
      <c r="W233" s="187"/>
      <c r="AL233" s="141"/>
    </row>
    <row r="234" spans="2:38" ht="12.75" customHeight="1">
      <c r="B234" s="43">
        <v>172</v>
      </c>
      <c r="C234" s="186"/>
      <c r="D234" s="187"/>
      <c r="S234" s="141"/>
      <c r="U234" s="43">
        <v>172</v>
      </c>
      <c r="V234" s="186"/>
      <c r="W234" s="187"/>
      <c r="AL234" s="141"/>
    </row>
    <row r="235" spans="2:38" ht="12.75" customHeight="1">
      <c r="B235" s="43">
        <v>173</v>
      </c>
      <c r="C235" s="186"/>
      <c r="D235" s="187"/>
      <c r="S235" s="141"/>
      <c r="U235" s="43">
        <v>173</v>
      </c>
      <c r="V235" s="186"/>
      <c r="W235" s="187"/>
      <c r="AL235" s="141"/>
    </row>
    <row r="236" spans="2:38" ht="12.75" customHeight="1">
      <c r="B236" s="43">
        <v>174</v>
      </c>
      <c r="C236" s="186"/>
      <c r="D236" s="187"/>
      <c r="S236" s="141"/>
      <c r="U236" s="43">
        <v>174</v>
      </c>
      <c r="V236" s="186"/>
      <c r="W236" s="187"/>
      <c r="AL236" s="141"/>
    </row>
    <row r="237" spans="2:38" ht="12.75" customHeight="1">
      <c r="B237" s="43">
        <v>175</v>
      </c>
      <c r="C237" s="186"/>
      <c r="D237" s="187"/>
      <c r="S237" s="141"/>
      <c r="U237" s="43">
        <v>175</v>
      </c>
      <c r="V237" s="186"/>
      <c r="W237" s="187"/>
      <c r="AL237" s="141"/>
    </row>
    <row r="238" spans="2:38" ht="12.75" customHeight="1">
      <c r="B238" s="43">
        <v>176</v>
      </c>
      <c r="C238" s="186"/>
      <c r="D238" s="187"/>
      <c r="S238" s="141"/>
      <c r="U238" s="43">
        <v>176</v>
      </c>
      <c r="V238" s="186"/>
      <c r="W238" s="187"/>
      <c r="AL238" s="141"/>
    </row>
    <row r="239" spans="2:38" ht="12.75" customHeight="1">
      <c r="B239" s="43">
        <v>177</v>
      </c>
      <c r="C239" s="186"/>
      <c r="D239" s="187"/>
      <c r="S239" s="141"/>
      <c r="U239" s="43">
        <v>177</v>
      </c>
      <c r="V239" s="186"/>
      <c r="W239" s="187"/>
      <c r="AL239" s="141"/>
    </row>
    <row r="240" spans="2:38" ht="12.75" customHeight="1">
      <c r="B240" s="43">
        <v>178</v>
      </c>
      <c r="C240" s="186"/>
      <c r="D240" s="187"/>
      <c r="S240" s="141"/>
      <c r="U240" s="43">
        <v>178</v>
      </c>
      <c r="V240" s="186"/>
      <c r="W240" s="187"/>
      <c r="AL240" s="141"/>
    </row>
    <row r="241" spans="2:38" ht="12.75" customHeight="1">
      <c r="B241" s="43">
        <v>179</v>
      </c>
      <c r="C241" s="186"/>
      <c r="D241" s="187"/>
      <c r="S241" s="141"/>
      <c r="U241" s="43">
        <v>179</v>
      </c>
      <c r="V241" s="186"/>
      <c r="W241" s="187"/>
      <c r="AL241" s="141"/>
    </row>
    <row r="242" spans="2:38" ht="12.75" customHeight="1">
      <c r="B242" s="43">
        <v>180</v>
      </c>
      <c r="C242" s="186"/>
      <c r="D242" s="187"/>
      <c r="S242" s="141"/>
      <c r="U242" s="43">
        <v>180</v>
      </c>
      <c r="V242" s="186"/>
      <c r="W242" s="187"/>
      <c r="AL242" s="141"/>
    </row>
    <row r="243" spans="2:38" ht="12.75" customHeight="1">
      <c r="B243" s="43">
        <v>181</v>
      </c>
      <c r="C243" s="186"/>
      <c r="D243" s="187"/>
      <c r="S243" s="141"/>
      <c r="U243" s="43">
        <v>181</v>
      </c>
      <c r="V243" s="186"/>
      <c r="W243" s="187"/>
      <c r="AL243" s="141"/>
    </row>
    <row r="244" spans="2:38" ht="12.75" customHeight="1">
      <c r="B244" s="43">
        <v>182</v>
      </c>
      <c r="C244" s="186"/>
      <c r="D244" s="187"/>
      <c r="S244" s="141"/>
      <c r="U244" s="43">
        <v>182</v>
      </c>
      <c r="V244" s="186"/>
      <c r="W244" s="187"/>
      <c r="AL244" s="141"/>
    </row>
    <row r="245" spans="2:38" ht="12.75" customHeight="1">
      <c r="B245" s="43">
        <v>183</v>
      </c>
      <c r="C245" s="186"/>
      <c r="D245" s="187"/>
      <c r="S245" s="141"/>
      <c r="U245" s="43">
        <v>183</v>
      </c>
      <c r="V245" s="186"/>
      <c r="W245" s="187"/>
      <c r="AL245" s="141"/>
    </row>
    <row r="246" spans="2:38" ht="12.75" customHeight="1">
      <c r="B246" s="43">
        <v>184</v>
      </c>
      <c r="C246" s="186"/>
      <c r="D246" s="187"/>
      <c r="S246" s="141"/>
      <c r="U246" s="43">
        <v>184</v>
      </c>
      <c r="V246" s="186"/>
      <c r="W246" s="187"/>
      <c r="AL246" s="141"/>
    </row>
    <row r="247" spans="2:38" ht="12.75" customHeight="1">
      <c r="B247" s="43">
        <v>185</v>
      </c>
      <c r="C247" s="186"/>
      <c r="D247" s="187"/>
      <c r="S247" s="141"/>
      <c r="U247" s="43">
        <v>185</v>
      </c>
      <c r="V247" s="186"/>
      <c r="W247" s="187"/>
      <c r="AL247" s="141"/>
    </row>
    <row r="248" spans="2:38" ht="12.75" customHeight="1">
      <c r="B248" s="43">
        <v>186</v>
      </c>
      <c r="C248" s="186"/>
      <c r="D248" s="187"/>
      <c r="S248" s="141"/>
      <c r="U248" s="43">
        <v>186</v>
      </c>
      <c r="V248" s="186"/>
      <c r="W248" s="187"/>
      <c r="AL248" s="141"/>
    </row>
    <row r="249" spans="2:38" ht="12.75" customHeight="1">
      <c r="B249" s="43">
        <v>187</v>
      </c>
      <c r="C249" s="186"/>
      <c r="D249" s="187"/>
      <c r="S249" s="141"/>
      <c r="U249" s="43">
        <v>187</v>
      </c>
      <c r="V249" s="186"/>
      <c r="W249" s="187"/>
      <c r="AL249" s="141"/>
    </row>
    <row r="250" spans="2:38" ht="12.75" customHeight="1">
      <c r="B250" s="43">
        <v>188</v>
      </c>
      <c r="C250" s="186"/>
      <c r="D250" s="187"/>
      <c r="S250" s="141"/>
      <c r="U250" s="43">
        <v>188</v>
      </c>
      <c r="V250" s="186"/>
      <c r="W250" s="187"/>
      <c r="AL250" s="141"/>
    </row>
    <row r="251" spans="2:38" ht="12.75" customHeight="1">
      <c r="B251" s="43">
        <v>189</v>
      </c>
      <c r="C251" s="186"/>
      <c r="D251" s="187"/>
      <c r="S251" s="141"/>
      <c r="U251" s="43">
        <v>189</v>
      </c>
      <c r="V251" s="186"/>
      <c r="W251" s="187"/>
      <c r="AL251" s="141"/>
    </row>
    <row r="252" spans="2:38" ht="12.75" customHeight="1">
      <c r="B252" s="43">
        <v>190</v>
      </c>
      <c r="C252" s="186"/>
      <c r="D252" s="187"/>
      <c r="S252" s="141"/>
      <c r="U252" s="43">
        <v>190</v>
      </c>
      <c r="V252" s="186"/>
      <c r="W252" s="187"/>
      <c r="AL252" s="141"/>
    </row>
    <row r="253" spans="2:38" ht="12.75" customHeight="1">
      <c r="B253" s="43">
        <v>191</v>
      </c>
      <c r="C253" s="186"/>
      <c r="D253" s="187"/>
      <c r="S253" s="141"/>
      <c r="U253" s="43">
        <v>191</v>
      </c>
      <c r="V253" s="186"/>
      <c r="W253" s="187"/>
      <c r="AL253" s="141"/>
    </row>
    <row r="254" spans="2:38" ht="12.75" customHeight="1">
      <c r="B254" s="43">
        <v>192</v>
      </c>
      <c r="C254" s="186"/>
      <c r="D254" s="187"/>
      <c r="S254" s="141"/>
      <c r="U254" s="43">
        <v>192</v>
      </c>
      <c r="V254" s="186"/>
      <c r="W254" s="187"/>
      <c r="AL254" s="141"/>
    </row>
    <row r="255" spans="2:38" ht="12.75" customHeight="1">
      <c r="B255" s="43">
        <v>193</v>
      </c>
      <c r="C255" s="186"/>
      <c r="D255" s="187"/>
      <c r="S255" s="141"/>
      <c r="U255" s="43">
        <v>193</v>
      </c>
      <c r="V255" s="186"/>
      <c r="W255" s="187"/>
      <c r="AL255" s="141"/>
    </row>
    <row r="256" spans="2:38" ht="12.75" customHeight="1">
      <c r="B256" s="43">
        <v>194</v>
      </c>
      <c r="C256" s="186"/>
      <c r="D256" s="187"/>
      <c r="S256" s="141"/>
      <c r="U256" s="43">
        <v>194</v>
      </c>
      <c r="V256" s="186"/>
      <c r="W256" s="187"/>
      <c r="AL256" s="141"/>
    </row>
    <row r="257" spans="2:38" ht="12.75" customHeight="1">
      <c r="B257" s="43">
        <v>195</v>
      </c>
      <c r="C257" s="186"/>
      <c r="D257" s="187"/>
      <c r="S257" s="141"/>
      <c r="U257" s="43">
        <v>195</v>
      </c>
      <c r="V257" s="186"/>
      <c r="W257" s="187"/>
      <c r="AL257" s="141"/>
    </row>
    <row r="258" spans="2:38" ht="12.75" customHeight="1">
      <c r="B258" s="43">
        <v>196</v>
      </c>
      <c r="C258" s="186"/>
      <c r="D258" s="187"/>
      <c r="S258" s="141"/>
      <c r="U258" s="43">
        <v>196</v>
      </c>
      <c r="V258" s="186"/>
      <c r="W258" s="187"/>
      <c r="AL258" s="141"/>
    </row>
    <row r="259" spans="2:38" ht="12.75" customHeight="1">
      <c r="B259" s="43">
        <v>197</v>
      </c>
      <c r="C259" s="186"/>
      <c r="D259" s="187"/>
      <c r="S259" s="141"/>
      <c r="U259" s="43">
        <v>197</v>
      </c>
      <c r="V259" s="186"/>
      <c r="W259" s="187"/>
      <c r="AL259" s="141"/>
    </row>
    <row r="260" spans="2:38" ht="12.75" customHeight="1">
      <c r="B260" s="43">
        <v>198</v>
      </c>
      <c r="C260" s="186"/>
      <c r="D260" s="187"/>
      <c r="S260" s="141"/>
      <c r="U260" s="43">
        <v>198</v>
      </c>
      <c r="V260" s="186"/>
      <c r="W260" s="187"/>
      <c r="AL260" s="141"/>
    </row>
    <row r="261" spans="2:38" ht="12.75" customHeight="1">
      <c r="B261" s="43">
        <v>199</v>
      </c>
      <c r="C261" s="186"/>
      <c r="D261" s="187"/>
      <c r="S261" s="141"/>
      <c r="U261" s="43">
        <v>199</v>
      </c>
      <c r="V261" s="186"/>
      <c r="W261" s="187"/>
      <c r="AL261" s="141"/>
    </row>
    <row r="262" spans="2:38" ht="12.75" customHeight="1">
      <c r="B262" s="43">
        <v>200</v>
      </c>
      <c r="C262" s="186"/>
      <c r="D262" s="187"/>
      <c r="S262" s="141"/>
      <c r="U262" s="43">
        <v>200</v>
      </c>
      <c r="V262" s="186"/>
      <c r="W262" s="187"/>
      <c r="AL262" s="141"/>
    </row>
    <row r="263" spans="2:38" ht="12.75" customHeight="1">
      <c r="B263" s="43">
        <v>201</v>
      </c>
      <c r="C263" s="186"/>
      <c r="D263" s="187"/>
      <c r="S263" s="141"/>
      <c r="U263" s="43">
        <v>201</v>
      </c>
      <c r="V263" s="186"/>
      <c r="W263" s="187"/>
      <c r="AL263" s="141"/>
    </row>
    <row r="264" spans="2:38" ht="12.75" customHeight="1">
      <c r="B264" s="43">
        <v>202</v>
      </c>
      <c r="C264" s="186"/>
      <c r="D264" s="187"/>
      <c r="S264" s="141"/>
      <c r="U264" s="43">
        <v>202</v>
      </c>
      <c r="V264" s="186"/>
      <c r="W264" s="187"/>
      <c r="AL264" s="141"/>
    </row>
    <row r="265" spans="2:38" ht="12.75" customHeight="1">
      <c r="B265" s="43">
        <v>203</v>
      </c>
      <c r="C265" s="186"/>
      <c r="D265" s="187"/>
      <c r="S265" s="141"/>
      <c r="U265" s="43">
        <v>203</v>
      </c>
      <c r="V265" s="186"/>
      <c r="W265" s="187"/>
      <c r="AL265" s="141"/>
    </row>
    <row r="266" spans="2:38" ht="12.75" customHeight="1">
      <c r="B266" s="43">
        <v>204</v>
      </c>
      <c r="C266" s="186"/>
      <c r="D266" s="187"/>
      <c r="S266" s="141"/>
      <c r="U266" s="43">
        <v>204</v>
      </c>
      <c r="V266" s="186"/>
      <c r="W266" s="187"/>
      <c r="AL266" s="141"/>
    </row>
    <row r="267" spans="2:38" ht="12.75" customHeight="1">
      <c r="B267" s="43">
        <v>205</v>
      </c>
      <c r="C267" s="186"/>
      <c r="D267" s="187"/>
      <c r="S267" s="141"/>
      <c r="U267" s="43">
        <v>205</v>
      </c>
      <c r="V267" s="186"/>
      <c r="W267" s="187"/>
      <c r="AL267" s="141"/>
    </row>
    <row r="268" spans="2:38" ht="12.75" customHeight="1">
      <c r="B268" s="43">
        <v>206</v>
      </c>
      <c r="C268" s="186"/>
      <c r="D268" s="187"/>
      <c r="S268" s="141"/>
      <c r="U268" s="43">
        <v>206</v>
      </c>
      <c r="V268" s="186"/>
      <c r="W268" s="187"/>
      <c r="AL268" s="141"/>
    </row>
    <row r="269" spans="2:38" ht="12.75" customHeight="1">
      <c r="B269" s="43">
        <v>207</v>
      </c>
      <c r="C269" s="186"/>
      <c r="D269" s="187"/>
      <c r="S269" s="141"/>
      <c r="U269" s="43">
        <v>207</v>
      </c>
      <c r="V269" s="186"/>
      <c r="W269" s="187"/>
      <c r="AL269" s="141"/>
    </row>
    <row r="270" spans="2:38" ht="12.75" customHeight="1">
      <c r="B270" s="43">
        <v>208</v>
      </c>
      <c r="C270" s="186"/>
      <c r="D270" s="187"/>
      <c r="S270" s="141"/>
      <c r="U270" s="43">
        <v>208</v>
      </c>
      <c r="V270" s="186"/>
      <c r="W270" s="187"/>
      <c r="AL270" s="141"/>
    </row>
    <row r="271" spans="2:38" ht="12.75" customHeight="1">
      <c r="B271" s="43">
        <v>209</v>
      </c>
      <c r="C271" s="186"/>
      <c r="D271" s="187"/>
      <c r="S271" s="141"/>
      <c r="U271" s="43">
        <v>209</v>
      </c>
      <c r="V271" s="186"/>
      <c r="W271" s="187"/>
      <c r="AL271" s="141"/>
    </row>
    <row r="272" spans="2:38" ht="12.75" customHeight="1">
      <c r="B272" s="43">
        <v>210</v>
      </c>
      <c r="C272" s="186"/>
      <c r="D272" s="187"/>
      <c r="S272" s="141"/>
      <c r="U272" s="43">
        <v>210</v>
      </c>
      <c r="V272" s="186"/>
      <c r="W272" s="187"/>
      <c r="AL272" s="141"/>
    </row>
    <row r="273" spans="2:38" ht="12.75" customHeight="1">
      <c r="B273" s="43">
        <v>211</v>
      </c>
      <c r="C273" s="186"/>
      <c r="D273" s="187"/>
      <c r="S273" s="141"/>
      <c r="U273" s="43">
        <v>211</v>
      </c>
      <c r="V273" s="186"/>
      <c r="W273" s="187"/>
      <c r="AL273" s="141"/>
    </row>
    <row r="274" spans="2:38" ht="12.75" customHeight="1">
      <c r="B274" s="43">
        <v>212</v>
      </c>
      <c r="C274" s="186"/>
      <c r="D274" s="187"/>
      <c r="S274" s="141"/>
      <c r="U274" s="43">
        <v>212</v>
      </c>
      <c r="V274" s="186"/>
      <c r="W274" s="187"/>
      <c r="AL274" s="141"/>
    </row>
    <row r="275" spans="2:38" ht="12.75" customHeight="1">
      <c r="B275" s="43">
        <v>213</v>
      </c>
      <c r="C275" s="186"/>
      <c r="D275" s="187"/>
      <c r="S275" s="141"/>
      <c r="U275" s="43">
        <v>213</v>
      </c>
      <c r="V275" s="186"/>
      <c r="W275" s="187"/>
      <c r="AL275" s="141"/>
    </row>
    <row r="276" spans="2:38" ht="12.75" customHeight="1">
      <c r="B276" s="43">
        <v>214</v>
      </c>
      <c r="C276" s="186"/>
      <c r="D276" s="187"/>
      <c r="S276" s="141"/>
      <c r="U276" s="43">
        <v>214</v>
      </c>
      <c r="V276" s="186"/>
      <c r="W276" s="187"/>
      <c r="AL276" s="141"/>
    </row>
    <row r="277" spans="2:38" ht="12.75" customHeight="1">
      <c r="B277" s="43">
        <v>215</v>
      </c>
      <c r="C277" s="186"/>
      <c r="D277" s="187"/>
      <c r="S277" s="141"/>
      <c r="U277" s="43">
        <v>215</v>
      </c>
      <c r="V277" s="186"/>
      <c r="W277" s="187"/>
      <c r="AL277" s="141"/>
    </row>
    <row r="278" spans="2:38" ht="12.75" customHeight="1">
      <c r="B278" s="43">
        <v>216</v>
      </c>
      <c r="C278" s="186"/>
      <c r="D278" s="187"/>
      <c r="S278" s="141"/>
      <c r="U278" s="43">
        <v>216</v>
      </c>
      <c r="V278" s="186"/>
      <c r="W278" s="187"/>
      <c r="AL278" s="141"/>
    </row>
    <row r="279" spans="2:38" ht="12.75" customHeight="1">
      <c r="B279" s="43">
        <v>217</v>
      </c>
      <c r="C279" s="186"/>
      <c r="D279" s="187"/>
      <c r="S279" s="141"/>
      <c r="U279" s="43">
        <v>217</v>
      </c>
      <c r="V279" s="186"/>
      <c r="W279" s="187"/>
      <c r="AL279" s="141"/>
    </row>
    <row r="280" spans="2:38" ht="12.75" customHeight="1">
      <c r="B280" s="43">
        <v>218</v>
      </c>
      <c r="C280" s="186"/>
      <c r="D280" s="187"/>
      <c r="S280" s="141"/>
      <c r="U280" s="43">
        <v>218</v>
      </c>
      <c r="V280" s="186"/>
      <c r="W280" s="187"/>
      <c r="AL280" s="141"/>
    </row>
    <row r="281" spans="2:38" ht="12.75" customHeight="1">
      <c r="B281" s="43">
        <v>219</v>
      </c>
      <c r="C281" s="186"/>
      <c r="D281" s="187"/>
      <c r="S281" s="141"/>
      <c r="U281" s="43">
        <v>219</v>
      </c>
      <c r="V281" s="186"/>
      <c r="W281" s="187"/>
      <c r="AL281" s="141"/>
    </row>
    <row r="282" spans="2:38" ht="12.75" customHeight="1">
      <c r="B282" s="43">
        <v>220</v>
      </c>
      <c r="C282" s="186"/>
      <c r="D282" s="187"/>
      <c r="S282" s="141"/>
      <c r="U282" s="43">
        <v>220</v>
      </c>
      <c r="V282" s="186"/>
      <c r="W282" s="187"/>
      <c r="AL282" s="141"/>
    </row>
    <row r="283" spans="2:38" ht="12.75" customHeight="1">
      <c r="B283" s="43">
        <v>221</v>
      </c>
      <c r="C283" s="186"/>
      <c r="D283" s="187"/>
      <c r="S283" s="141"/>
      <c r="U283" s="43">
        <v>221</v>
      </c>
      <c r="V283" s="186"/>
      <c r="W283" s="187"/>
      <c r="AL283" s="141"/>
    </row>
    <row r="284" spans="2:38" ht="12.75" customHeight="1">
      <c r="B284" s="43">
        <v>222</v>
      </c>
      <c r="C284" s="186"/>
      <c r="D284" s="187"/>
      <c r="S284" s="141"/>
      <c r="U284" s="43">
        <v>222</v>
      </c>
      <c r="V284" s="186"/>
      <c r="W284" s="187"/>
      <c r="AL284" s="141"/>
    </row>
    <row r="285" spans="2:38" ht="12.75" customHeight="1">
      <c r="B285" s="43">
        <v>223</v>
      </c>
      <c r="C285" s="186"/>
      <c r="D285" s="187"/>
      <c r="S285" s="141"/>
      <c r="U285" s="43">
        <v>223</v>
      </c>
      <c r="V285" s="186"/>
      <c r="W285" s="187"/>
      <c r="AL285" s="141"/>
    </row>
    <row r="286" spans="2:38" ht="12.75" customHeight="1">
      <c r="B286" s="43">
        <v>224</v>
      </c>
      <c r="C286" s="186"/>
      <c r="D286" s="187"/>
      <c r="S286" s="141"/>
      <c r="U286" s="43">
        <v>224</v>
      </c>
      <c r="V286" s="186"/>
      <c r="W286" s="187"/>
      <c r="AL286" s="141"/>
    </row>
    <row r="287" spans="2:38" ht="12.75" customHeight="1">
      <c r="B287" s="43">
        <v>225</v>
      </c>
      <c r="C287" s="186"/>
      <c r="D287" s="187"/>
      <c r="S287" s="141"/>
      <c r="U287" s="43">
        <v>225</v>
      </c>
      <c r="V287" s="186"/>
      <c r="W287" s="187"/>
      <c r="AL287" s="141"/>
    </row>
    <row r="288" spans="2:38" ht="12.75" customHeight="1">
      <c r="B288" s="43">
        <v>226</v>
      </c>
      <c r="C288" s="186"/>
      <c r="D288" s="187"/>
      <c r="S288" s="141"/>
      <c r="U288" s="43">
        <v>226</v>
      </c>
      <c r="V288" s="186"/>
      <c r="W288" s="187"/>
      <c r="AL288" s="141"/>
    </row>
    <row r="289" spans="2:38" ht="12.75" customHeight="1">
      <c r="B289" s="43">
        <v>227</v>
      </c>
      <c r="C289" s="186"/>
      <c r="D289" s="187"/>
      <c r="S289" s="141"/>
      <c r="U289" s="43">
        <v>227</v>
      </c>
      <c r="V289" s="186"/>
      <c r="W289" s="187"/>
      <c r="AL289" s="141"/>
    </row>
    <row r="290" spans="2:38" ht="12.75" customHeight="1">
      <c r="B290" s="43">
        <v>228</v>
      </c>
      <c r="C290" s="186"/>
      <c r="D290" s="187"/>
      <c r="S290" s="141"/>
      <c r="U290" s="43">
        <v>228</v>
      </c>
      <c r="V290" s="186"/>
      <c r="W290" s="187"/>
      <c r="AL290" s="141"/>
    </row>
    <row r="291" spans="2:38" ht="12.75" customHeight="1">
      <c r="B291" s="43">
        <v>229</v>
      </c>
      <c r="C291" s="186"/>
      <c r="D291" s="187"/>
      <c r="S291" s="141"/>
      <c r="U291" s="43">
        <v>229</v>
      </c>
      <c r="V291" s="186"/>
      <c r="W291" s="187"/>
      <c r="AL291" s="141"/>
    </row>
    <row r="292" spans="2:38" ht="12.75" customHeight="1">
      <c r="B292" s="43">
        <v>230</v>
      </c>
      <c r="C292" s="186"/>
      <c r="D292" s="187"/>
      <c r="S292" s="141"/>
      <c r="U292" s="43">
        <v>230</v>
      </c>
      <c r="V292" s="186"/>
      <c r="W292" s="187"/>
      <c r="AL292" s="141"/>
    </row>
    <row r="293" spans="2:38" ht="12.75" customHeight="1">
      <c r="B293" s="43">
        <v>231</v>
      </c>
      <c r="C293" s="186"/>
      <c r="D293" s="187"/>
      <c r="S293" s="141"/>
      <c r="U293" s="43">
        <v>231</v>
      </c>
      <c r="V293" s="186"/>
      <c r="W293" s="187"/>
      <c r="AL293" s="141"/>
    </row>
    <row r="294" spans="2:38" ht="12.75" customHeight="1">
      <c r="B294" s="43">
        <v>232</v>
      </c>
      <c r="C294" s="186"/>
      <c r="D294" s="187"/>
      <c r="S294" s="141"/>
      <c r="U294" s="43">
        <v>232</v>
      </c>
      <c r="V294" s="186"/>
      <c r="W294" s="187"/>
      <c r="AL294" s="141"/>
    </row>
    <row r="295" spans="2:38" ht="12.75" customHeight="1">
      <c r="B295" s="43">
        <v>233</v>
      </c>
      <c r="C295" s="186"/>
      <c r="D295" s="187"/>
      <c r="S295" s="141"/>
      <c r="U295" s="43">
        <v>233</v>
      </c>
      <c r="V295" s="186"/>
      <c r="W295" s="187"/>
      <c r="AL295" s="141"/>
    </row>
    <row r="296" spans="2:38" ht="12.75" customHeight="1">
      <c r="B296" s="43">
        <v>234</v>
      </c>
      <c r="C296" s="186"/>
      <c r="D296" s="187"/>
      <c r="S296" s="141"/>
      <c r="U296" s="43">
        <v>234</v>
      </c>
      <c r="V296" s="186"/>
      <c r="W296" s="187"/>
      <c r="AL296" s="141"/>
    </row>
    <row r="297" spans="2:38" ht="12.75" customHeight="1">
      <c r="B297" s="43">
        <v>235</v>
      </c>
      <c r="C297" s="186"/>
      <c r="D297" s="187"/>
      <c r="S297" s="141"/>
      <c r="U297" s="43">
        <v>235</v>
      </c>
      <c r="V297" s="186"/>
      <c r="W297" s="187"/>
      <c r="AL297" s="141"/>
    </row>
    <row r="298" spans="2:38" ht="12.75" customHeight="1">
      <c r="B298" s="43">
        <v>236</v>
      </c>
      <c r="C298" s="186"/>
      <c r="D298" s="187"/>
      <c r="S298" s="141"/>
      <c r="U298" s="43">
        <v>236</v>
      </c>
      <c r="V298" s="186"/>
      <c r="W298" s="187"/>
      <c r="AL298" s="141"/>
    </row>
    <row r="299" spans="2:38" ht="12.75" customHeight="1">
      <c r="B299" s="43">
        <v>237</v>
      </c>
      <c r="C299" s="186"/>
      <c r="D299" s="187"/>
      <c r="S299" s="141"/>
      <c r="U299" s="43">
        <v>237</v>
      </c>
      <c r="V299" s="186"/>
      <c r="W299" s="187"/>
      <c r="AL299" s="141"/>
    </row>
    <row r="300" spans="2:38" ht="12.75" customHeight="1">
      <c r="B300" s="43">
        <v>238</v>
      </c>
      <c r="C300" s="186"/>
      <c r="D300" s="187"/>
      <c r="S300" s="141"/>
      <c r="U300" s="43">
        <v>238</v>
      </c>
      <c r="V300" s="186"/>
      <c r="W300" s="187"/>
      <c r="AL300" s="141"/>
    </row>
    <row r="301" spans="2:38" ht="12.75" customHeight="1">
      <c r="B301" s="43">
        <v>239</v>
      </c>
      <c r="C301" s="186"/>
      <c r="D301" s="187"/>
      <c r="S301" s="141"/>
      <c r="U301" s="43">
        <v>239</v>
      </c>
      <c r="V301" s="186"/>
      <c r="W301" s="187"/>
      <c r="AL301" s="141"/>
    </row>
    <row r="302" spans="2:38" ht="12.75" customHeight="1">
      <c r="B302" s="43">
        <v>240</v>
      </c>
      <c r="C302" s="186"/>
      <c r="D302" s="187"/>
      <c r="S302" s="141"/>
      <c r="U302" s="43">
        <v>240</v>
      </c>
      <c r="V302" s="186"/>
      <c r="W302" s="187"/>
      <c r="AL302" s="141"/>
    </row>
    <row r="303" spans="2:38" ht="12.75" customHeight="1">
      <c r="B303" s="43">
        <v>241</v>
      </c>
      <c r="C303" s="186"/>
      <c r="D303" s="187"/>
      <c r="S303" s="141"/>
      <c r="U303" s="43">
        <v>241</v>
      </c>
      <c r="V303" s="186"/>
      <c r="W303" s="187"/>
      <c r="AL303" s="141"/>
    </row>
    <row r="304" spans="2:38" ht="12.75" customHeight="1">
      <c r="B304" s="43">
        <v>242</v>
      </c>
      <c r="C304" s="186"/>
      <c r="D304" s="187"/>
      <c r="S304" s="141"/>
      <c r="U304" s="43">
        <v>242</v>
      </c>
      <c r="V304" s="186"/>
      <c r="W304" s="187"/>
      <c r="AL304" s="141"/>
    </row>
    <row r="305" spans="2:38" ht="12.75" customHeight="1">
      <c r="B305" s="43">
        <v>243</v>
      </c>
      <c r="C305" s="186"/>
      <c r="D305" s="187"/>
      <c r="S305" s="141"/>
      <c r="U305" s="43">
        <v>243</v>
      </c>
      <c r="V305" s="186"/>
      <c r="W305" s="187"/>
      <c r="AL305" s="141"/>
    </row>
    <row r="306" spans="2:38" ht="12.75" customHeight="1">
      <c r="B306" s="43">
        <v>244</v>
      </c>
      <c r="C306" s="186"/>
      <c r="D306" s="187"/>
      <c r="S306" s="141"/>
      <c r="U306" s="43">
        <v>244</v>
      </c>
      <c r="V306" s="186"/>
      <c r="W306" s="187"/>
      <c r="AL306" s="141"/>
    </row>
    <row r="307" spans="2:38" ht="12.75" customHeight="1">
      <c r="B307" s="43">
        <v>245</v>
      </c>
      <c r="C307" s="186"/>
      <c r="D307" s="187"/>
      <c r="S307" s="141"/>
      <c r="U307" s="43">
        <v>245</v>
      </c>
      <c r="V307" s="186"/>
      <c r="W307" s="187"/>
      <c r="AL307" s="141"/>
    </row>
    <row r="308" spans="2:38" ht="12.75" customHeight="1">
      <c r="B308" s="43">
        <v>246</v>
      </c>
      <c r="C308" s="186"/>
      <c r="D308" s="187"/>
      <c r="S308" s="141"/>
      <c r="U308" s="43">
        <v>246</v>
      </c>
      <c r="V308" s="186"/>
      <c r="W308" s="187"/>
      <c r="AL308" s="141"/>
    </row>
    <row r="309" spans="2:38" ht="12.75" customHeight="1">
      <c r="B309" s="43">
        <v>247</v>
      </c>
      <c r="C309" s="186"/>
      <c r="D309" s="187"/>
      <c r="S309" s="141"/>
      <c r="U309" s="43">
        <v>247</v>
      </c>
      <c r="V309" s="186"/>
      <c r="W309" s="187"/>
      <c r="AL309" s="141"/>
    </row>
    <row r="310" spans="2:38" ht="12.75" customHeight="1">
      <c r="B310" s="43">
        <v>248</v>
      </c>
      <c r="C310" s="186"/>
      <c r="D310" s="187"/>
      <c r="S310" s="141"/>
      <c r="U310" s="43">
        <v>248</v>
      </c>
      <c r="V310" s="186"/>
      <c r="W310" s="187"/>
      <c r="AL310" s="141"/>
    </row>
    <row r="311" spans="2:38" ht="12.75" customHeight="1">
      <c r="B311" s="43">
        <v>249</v>
      </c>
      <c r="C311" s="186"/>
      <c r="D311" s="187"/>
      <c r="S311" s="141"/>
      <c r="U311" s="43">
        <v>249</v>
      </c>
      <c r="V311" s="186"/>
      <c r="W311" s="187"/>
      <c r="AL311" s="141"/>
    </row>
    <row r="312" spans="2:38" ht="12.75" customHeight="1">
      <c r="B312" s="43">
        <v>250</v>
      </c>
      <c r="C312" s="186"/>
      <c r="D312" s="187"/>
      <c r="S312" s="141"/>
      <c r="U312" s="43">
        <v>250</v>
      </c>
      <c r="V312" s="186"/>
      <c r="W312" s="187"/>
      <c r="AL312" s="141"/>
    </row>
    <row r="313" spans="2:38" ht="12.75" customHeight="1">
      <c r="B313" s="43">
        <v>251</v>
      </c>
      <c r="C313" s="186"/>
      <c r="D313" s="187"/>
      <c r="S313" s="141"/>
      <c r="U313" s="43">
        <v>251</v>
      </c>
      <c r="V313" s="186"/>
      <c r="W313" s="187"/>
      <c r="AL313" s="141"/>
    </row>
    <row r="314" spans="2:38" ht="12.75" customHeight="1">
      <c r="B314" s="43">
        <v>252</v>
      </c>
      <c r="C314" s="186"/>
      <c r="D314" s="187"/>
      <c r="S314" s="141"/>
      <c r="U314" s="43">
        <v>252</v>
      </c>
      <c r="V314" s="186"/>
      <c r="W314" s="187"/>
      <c r="AL314" s="141"/>
    </row>
    <row r="315" spans="2:38" ht="12.75" customHeight="1">
      <c r="B315" s="43">
        <v>253</v>
      </c>
      <c r="C315" s="186"/>
      <c r="D315" s="187"/>
      <c r="S315" s="141"/>
      <c r="U315" s="43">
        <v>253</v>
      </c>
      <c r="V315" s="186"/>
      <c r="W315" s="187"/>
      <c r="AL315" s="141"/>
    </row>
    <row r="316" spans="2:38" ht="12.75" customHeight="1">
      <c r="B316" s="43">
        <v>254</v>
      </c>
      <c r="C316" s="186"/>
      <c r="D316" s="187"/>
      <c r="S316" s="141"/>
      <c r="U316" s="43">
        <v>254</v>
      </c>
      <c r="V316" s="186"/>
      <c r="W316" s="187"/>
      <c r="AL316" s="141"/>
    </row>
    <row r="317" spans="2:38" ht="12.75" customHeight="1">
      <c r="B317" s="43">
        <v>255</v>
      </c>
      <c r="C317" s="186"/>
      <c r="D317" s="187"/>
      <c r="S317" s="141"/>
      <c r="U317" s="43">
        <v>255</v>
      </c>
      <c r="V317" s="186"/>
      <c r="W317" s="187"/>
      <c r="AL317" s="141"/>
    </row>
    <row r="318" spans="2:38" ht="12.75" customHeight="1">
      <c r="B318" s="43">
        <v>256</v>
      </c>
      <c r="C318" s="186"/>
      <c r="D318" s="187"/>
      <c r="S318" s="141"/>
      <c r="U318" s="43">
        <v>256</v>
      </c>
      <c r="V318" s="186"/>
      <c r="W318" s="187"/>
      <c r="AL318" s="141"/>
    </row>
    <row r="319" spans="2:38" ht="12.75" customHeight="1">
      <c r="B319" s="43">
        <v>257</v>
      </c>
      <c r="C319" s="186"/>
      <c r="D319" s="187"/>
      <c r="S319" s="141"/>
      <c r="U319" s="43">
        <v>257</v>
      </c>
      <c r="V319" s="186"/>
      <c r="W319" s="187"/>
      <c r="AL319" s="141"/>
    </row>
    <row r="320" spans="2:38" ht="12.75" customHeight="1">
      <c r="B320" s="43">
        <v>258</v>
      </c>
      <c r="C320" s="186"/>
      <c r="D320" s="187"/>
      <c r="S320" s="141"/>
      <c r="U320" s="43">
        <v>258</v>
      </c>
      <c r="V320" s="186"/>
      <c r="W320" s="187"/>
      <c r="AL320" s="141"/>
    </row>
    <row r="321" spans="2:38" ht="12.75" customHeight="1">
      <c r="B321" s="43">
        <v>259</v>
      </c>
      <c r="C321" s="186"/>
      <c r="D321" s="187"/>
      <c r="S321" s="141"/>
      <c r="U321" s="43">
        <v>259</v>
      </c>
      <c r="V321" s="186"/>
      <c r="W321" s="187"/>
      <c r="AL321" s="141"/>
    </row>
    <row r="322" spans="2:38" ht="12.75" customHeight="1">
      <c r="B322" s="43">
        <v>260</v>
      </c>
      <c r="C322" s="186"/>
      <c r="D322" s="187"/>
      <c r="S322" s="141"/>
      <c r="U322" s="43">
        <v>260</v>
      </c>
      <c r="V322" s="186"/>
      <c r="W322" s="187"/>
      <c r="AL322" s="141"/>
    </row>
    <row r="323" spans="2:38" ht="12.75" customHeight="1">
      <c r="B323" s="43">
        <v>261</v>
      </c>
      <c r="C323" s="186"/>
      <c r="D323" s="187"/>
      <c r="S323" s="141"/>
      <c r="U323" s="43">
        <v>261</v>
      </c>
      <c r="V323" s="186"/>
      <c r="W323" s="187"/>
      <c r="AL323" s="141"/>
    </row>
    <row r="324" spans="2:38" ht="12.75" customHeight="1">
      <c r="B324" s="43">
        <v>262</v>
      </c>
      <c r="C324" s="186"/>
      <c r="D324" s="187"/>
      <c r="S324" s="141"/>
      <c r="U324" s="43">
        <v>262</v>
      </c>
      <c r="V324" s="186"/>
      <c r="W324" s="187"/>
      <c r="AL324" s="141"/>
    </row>
    <row r="325" spans="2:38" ht="12.75" customHeight="1">
      <c r="B325" s="43">
        <v>263</v>
      </c>
      <c r="C325" s="186"/>
      <c r="D325" s="187"/>
      <c r="S325" s="141"/>
      <c r="U325" s="43">
        <v>263</v>
      </c>
      <c r="V325" s="186"/>
      <c r="W325" s="187"/>
      <c r="AL325" s="141"/>
    </row>
    <row r="326" spans="2:38" ht="12.75" customHeight="1">
      <c r="B326" s="43">
        <v>264</v>
      </c>
      <c r="C326" s="186"/>
      <c r="D326" s="187"/>
      <c r="S326" s="141"/>
      <c r="U326" s="43">
        <v>264</v>
      </c>
      <c r="V326" s="186"/>
      <c r="W326" s="187"/>
      <c r="AL326" s="141"/>
    </row>
    <row r="327" spans="2:38" ht="12.75" customHeight="1">
      <c r="B327" s="43">
        <v>265</v>
      </c>
      <c r="C327" s="186"/>
      <c r="D327" s="187"/>
      <c r="S327" s="141"/>
      <c r="U327" s="43">
        <v>265</v>
      </c>
      <c r="V327" s="186"/>
      <c r="W327" s="187"/>
      <c r="AL327" s="141"/>
    </row>
    <row r="328" spans="2:38" ht="12.75" customHeight="1">
      <c r="B328" s="43">
        <v>266</v>
      </c>
      <c r="C328" s="186"/>
      <c r="D328" s="187"/>
      <c r="S328" s="141"/>
      <c r="U328" s="43">
        <v>266</v>
      </c>
      <c r="V328" s="186"/>
      <c r="W328" s="187"/>
      <c r="AL328" s="141"/>
    </row>
    <row r="329" spans="2:38" ht="12.75" customHeight="1">
      <c r="B329" s="43">
        <v>267</v>
      </c>
      <c r="C329" s="186"/>
      <c r="D329" s="187"/>
      <c r="S329" s="141"/>
      <c r="U329" s="43">
        <v>267</v>
      </c>
      <c r="V329" s="186"/>
      <c r="W329" s="187"/>
      <c r="AL329" s="141"/>
    </row>
    <row r="330" spans="2:38" ht="12.75" customHeight="1">
      <c r="B330" s="43">
        <v>268</v>
      </c>
      <c r="C330" s="186"/>
      <c r="D330" s="187"/>
      <c r="S330" s="141"/>
      <c r="U330" s="43">
        <v>268</v>
      </c>
      <c r="V330" s="186"/>
      <c r="W330" s="187"/>
      <c r="AL330" s="141"/>
    </row>
    <row r="331" spans="2:38" ht="12.75" customHeight="1">
      <c r="B331" s="43">
        <v>269</v>
      </c>
      <c r="C331" s="186"/>
      <c r="D331" s="187"/>
      <c r="S331" s="141"/>
      <c r="U331" s="43">
        <v>269</v>
      </c>
      <c r="V331" s="186"/>
      <c r="W331" s="187"/>
      <c r="AL331" s="141"/>
    </row>
    <row r="332" spans="2:38" ht="12.75" customHeight="1">
      <c r="B332" s="43">
        <v>270</v>
      </c>
      <c r="C332" s="186"/>
      <c r="D332" s="187"/>
      <c r="S332" s="141"/>
      <c r="U332" s="43">
        <v>270</v>
      </c>
      <c r="V332" s="186"/>
      <c r="W332" s="187"/>
      <c r="AL332" s="141"/>
    </row>
    <row r="333" spans="2:38" ht="12.75" customHeight="1">
      <c r="B333" s="43">
        <v>271</v>
      </c>
      <c r="C333" s="186"/>
      <c r="D333" s="187"/>
      <c r="S333" s="141"/>
      <c r="U333" s="43">
        <v>271</v>
      </c>
      <c r="V333" s="186"/>
      <c r="W333" s="187"/>
      <c r="AL333" s="141"/>
    </row>
    <row r="334" spans="2:38" ht="12.75" customHeight="1">
      <c r="B334" s="43">
        <v>272</v>
      </c>
      <c r="C334" s="186"/>
      <c r="D334" s="187"/>
      <c r="S334" s="141"/>
      <c r="U334" s="43">
        <v>272</v>
      </c>
      <c r="V334" s="186"/>
      <c r="W334" s="187"/>
      <c r="AL334" s="141"/>
    </row>
    <row r="335" spans="2:38" ht="12.75" customHeight="1">
      <c r="B335" s="43">
        <v>273</v>
      </c>
      <c r="C335" s="186"/>
      <c r="D335" s="187"/>
      <c r="S335" s="141"/>
      <c r="U335" s="43">
        <v>273</v>
      </c>
      <c r="V335" s="186"/>
      <c r="W335" s="187"/>
      <c r="AL335" s="141"/>
    </row>
    <row r="336" spans="2:38" ht="12.75" customHeight="1">
      <c r="B336" s="43">
        <v>274</v>
      </c>
      <c r="C336" s="186"/>
      <c r="D336" s="187"/>
      <c r="S336" s="141"/>
      <c r="U336" s="43">
        <v>274</v>
      </c>
      <c r="V336" s="186"/>
      <c r="W336" s="187"/>
      <c r="AL336" s="141"/>
    </row>
    <row r="337" spans="2:38" ht="12.75" customHeight="1">
      <c r="B337" s="43">
        <v>275</v>
      </c>
      <c r="C337" s="186"/>
      <c r="D337" s="187"/>
      <c r="S337" s="141"/>
      <c r="U337" s="43">
        <v>275</v>
      </c>
      <c r="V337" s="186"/>
      <c r="W337" s="187"/>
      <c r="AL337" s="141"/>
    </row>
    <row r="338" spans="2:38" ht="12.75" customHeight="1">
      <c r="B338" s="43">
        <v>276</v>
      </c>
      <c r="C338" s="186"/>
      <c r="D338" s="187"/>
      <c r="S338" s="141"/>
      <c r="U338" s="43">
        <v>276</v>
      </c>
      <c r="V338" s="186"/>
      <c r="W338" s="187"/>
      <c r="AL338" s="141"/>
    </row>
    <row r="339" spans="2:38" ht="12.75" customHeight="1">
      <c r="B339" s="43">
        <v>277</v>
      </c>
      <c r="C339" s="186"/>
      <c r="D339" s="187"/>
      <c r="S339" s="141"/>
      <c r="U339" s="43">
        <v>277</v>
      </c>
      <c r="V339" s="186"/>
      <c r="W339" s="187"/>
      <c r="AL339" s="141"/>
    </row>
    <row r="340" spans="2:38" ht="12.75" customHeight="1">
      <c r="B340" s="43">
        <v>278</v>
      </c>
      <c r="C340" s="186"/>
      <c r="D340" s="187"/>
      <c r="S340" s="141"/>
      <c r="U340" s="43">
        <v>278</v>
      </c>
      <c r="V340" s="186"/>
      <c r="W340" s="187"/>
      <c r="AL340" s="141"/>
    </row>
    <row r="341" spans="2:38" ht="12.75" customHeight="1">
      <c r="B341" s="43">
        <v>279</v>
      </c>
      <c r="C341" s="186"/>
      <c r="D341" s="187"/>
      <c r="S341" s="141"/>
      <c r="U341" s="43">
        <v>279</v>
      </c>
      <c r="V341" s="186"/>
      <c r="W341" s="187"/>
      <c r="AL341" s="141"/>
    </row>
    <row r="342" spans="2:38" ht="12.75" customHeight="1">
      <c r="B342" s="43">
        <v>280</v>
      </c>
      <c r="C342" s="186"/>
      <c r="D342" s="187"/>
      <c r="S342" s="141"/>
      <c r="U342" s="43">
        <v>280</v>
      </c>
      <c r="V342" s="186"/>
      <c r="W342" s="187"/>
      <c r="AL342" s="141"/>
    </row>
    <row r="343" spans="2:38" ht="12.75" customHeight="1">
      <c r="B343" s="43">
        <v>281</v>
      </c>
      <c r="C343" s="186"/>
      <c r="D343" s="187"/>
      <c r="S343" s="141"/>
      <c r="U343" s="43">
        <v>281</v>
      </c>
      <c r="V343" s="186"/>
      <c r="W343" s="187"/>
      <c r="AL343" s="141"/>
    </row>
    <row r="344" spans="2:38" ht="12.75" customHeight="1">
      <c r="B344" s="43">
        <v>282</v>
      </c>
      <c r="C344" s="186"/>
      <c r="D344" s="187"/>
      <c r="S344" s="141"/>
      <c r="U344" s="43">
        <v>282</v>
      </c>
      <c r="V344" s="186"/>
      <c r="W344" s="187"/>
      <c r="AL344" s="141"/>
    </row>
    <row r="345" spans="2:38" ht="12.75" customHeight="1">
      <c r="B345" s="43">
        <v>283</v>
      </c>
      <c r="C345" s="186"/>
      <c r="D345" s="187"/>
      <c r="S345" s="141"/>
      <c r="U345" s="43">
        <v>283</v>
      </c>
      <c r="V345" s="186"/>
      <c r="W345" s="187"/>
      <c r="AL345" s="141"/>
    </row>
    <row r="346" spans="2:38" ht="12.75" customHeight="1">
      <c r="B346" s="43">
        <v>284</v>
      </c>
      <c r="C346" s="186"/>
      <c r="D346" s="187"/>
      <c r="S346" s="141"/>
      <c r="U346" s="43">
        <v>284</v>
      </c>
      <c r="V346" s="186"/>
      <c r="W346" s="187"/>
      <c r="AL346" s="141"/>
    </row>
    <row r="347" spans="2:38" ht="12.75" customHeight="1">
      <c r="B347" s="43">
        <v>285</v>
      </c>
      <c r="C347" s="186"/>
      <c r="D347" s="187"/>
      <c r="S347" s="141"/>
      <c r="U347" s="43">
        <v>285</v>
      </c>
      <c r="V347" s="186"/>
      <c r="W347" s="187"/>
      <c r="AL347" s="141"/>
    </row>
    <row r="348" spans="2:38" ht="12.75" customHeight="1">
      <c r="B348" s="43">
        <v>286</v>
      </c>
      <c r="C348" s="186"/>
      <c r="D348" s="187"/>
      <c r="S348" s="141"/>
      <c r="U348" s="43">
        <v>286</v>
      </c>
      <c r="V348" s="186"/>
      <c r="W348" s="187"/>
      <c r="AL348" s="141"/>
    </row>
    <row r="349" spans="2:38" ht="12.75" customHeight="1">
      <c r="B349" s="43">
        <v>287</v>
      </c>
      <c r="C349" s="186"/>
      <c r="D349" s="187"/>
      <c r="S349" s="141"/>
      <c r="U349" s="43">
        <v>287</v>
      </c>
      <c r="V349" s="186"/>
      <c r="W349" s="187"/>
      <c r="AL349" s="141"/>
    </row>
    <row r="350" spans="2:38" ht="12.75" customHeight="1">
      <c r="B350" s="43">
        <v>288</v>
      </c>
      <c r="C350" s="186"/>
      <c r="D350" s="187"/>
      <c r="S350" s="141"/>
      <c r="U350" s="43">
        <v>288</v>
      </c>
      <c r="V350" s="186"/>
      <c r="W350" s="187"/>
      <c r="AL350" s="141"/>
    </row>
    <row r="351" spans="2:38" ht="12.75" customHeight="1">
      <c r="B351" s="43">
        <v>289</v>
      </c>
      <c r="C351" s="186"/>
      <c r="D351" s="187"/>
      <c r="S351" s="141"/>
      <c r="U351" s="43">
        <v>289</v>
      </c>
      <c r="V351" s="186"/>
      <c r="W351" s="187"/>
      <c r="AL351" s="141"/>
    </row>
    <row r="352" spans="2:38" ht="12.75" customHeight="1">
      <c r="B352" s="43">
        <v>290</v>
      </c>
      <c r="C352" s="186"/>
      <c r="D352" s="187"/>
      <c r="S352" s="141"/>
      <c r="U352" s="43">
        <v>290</v>
      </c>
      <c r="V352" s="186"/>
      <c r="W352" s="187"/>
      <c r="AL352" s="141"/>
    </row>
    <row r="353" spans="1:38" ht="12.75" customHeight="1">
      <c r="B353" s="43">
        <v>291</v>
      </c>
      <c r="C353" s="186"/>
      <c r="D353" s="187"/>
      <c r="S353" s="141"/>
      <c r="U353" s="43">
        <v>291</v>
      </c>
      <c r="V353" s="186"/>
      <c r="W353" s="187"/>
      <c r="AL353" s="141"/>
    </row>
    <row r="354" spans="1:38" ht="12.75" customHeight="1">
      <c r="B354" s="43">
        <v>292</v>
      </c>
      <c r="C354" s="186"/>
      <c r="D354" s="187"/>
      <c r="S354" s="141"/>
      <c r="U354" s="43">
        <v>292</v>
      </c>
      <c r="V354" s="186"/>
      <c r="W354" s="187"/>
      <c r="AL354" s="141"/>
    </row>
    <row r="355" spans="1:38" ht="12.75" customHeight="1">
      <c r="B355" s="43">
        <v>293</v>
      </c>
      <c r="C355" s="186"/>
      <c r="D355" s="187"/>
      <c r="S355" s="141"/>
      <c r="U355" s="43">
        <v>293</v>
      </c>
      <c r="V355" s="186"/>
      <c r="W355" s="187"/>
      <c r="AL355" s="141"/>
    </row>
    <row r="356" spans="1:38" ht="12.75" customHeight="1">
      <c r="B356" s="43">
        <v>294</v>
      </c>
      <c r="C356" s="186"/>
      <c r="D356" s="187"/>
      <c r="S356" s="141"/>
      <c r="U356" s="43">
        <v>294</v>
      </c>
      <c r="V356" s="186"/>
      <c r="W356" s="187"/>
      <c r="AL356" s="141"/>
    </row>
    <row r="357" spans="1:38" ht="12.75" customHeight="1">
      <c r="B357" s="43">
        <v>295</v>
      </c>
      <c r="C357" s="186"/>
      <c r="D357" s="187"/>
      <c r="S357" s="141"/>
      <c r="U357" s="43">
        <v>295</v>
      </c>
      <c r="V357" s="186"/>
      <c r="W357" s="187"/>
      <c r="AL357" s="141"/>
    </row>
    <row r="358" spans="1:38" ht="12.75" customHeight="1">
      <c r="B358" s="43">
        <v>296</v>
      </c>
      <c r="C358" s="186"/>
      <c r="D358" s="187"/>
      <c r="S358" s="141"/>
      <c r="U358" s="43">
        <v>296</v>
      </c>
      <c r="V358" s="186"/>
      <c r="W358" s="187"/>
      <c r="AL358" s="141"/>
    </row>
    <row r="359" spans="1:38" ht="12.75" customHeight="1">
      <c r="B359" s="43">
        <v>297</v>
      </c>
      <c r="C359" s="186"/>
      <c r="D359" s="187"/>
      <c r="S359" s="141"/>
      <c r="U359" s="43">
        <v>297</v>
      </c>
      <c r="V359" s="186"/>
      <c r="W359" s="187"/>
      <c r="AL359" s="141"/>
    </row>
    <row r="360" spans="1:38" ht="12.75" customHeight="1">
      <c r="B360" s="43">
        <v>298</v>
      </c>
      <c r="C360" s="186"/>
      <c r="D360" s="187"/>
      <c r="S360" s="141"/>
      <c r="U360" s="43">
        <v>298</v>
      </c>
      <c r="V360" s="186"/>
      <c r="W360" s="187"/>
      <c r="AL360" s="141"/>
    </row>
    <row r="361" spans="1:38" ht="12.75" customHeight="1">
      <c r="B361" s="43">
        <v>299</v>
      </c>
      <c r="C361" s="186"/>
      <c r="D361" s="187"/>
      <c r="S361" s="141"/>
      <c r="U361" s="43">
        <v>299</v>
      </c>
      <c r="V361" s="186"/>
      <c r="W361" s="187"/>
      <c r="AL361" s="141"/>
    </row>
    <row r="362" spans="1:38" ht="12.75" customHeight="1">
      <c r="B362" s="43">
        <v>300</v>
      </c>
      <c r="C362" s="186"/>
      <c r="D362" s="187"/>
      <c r="S362" s="141"/>
      <c r="U362" s="43">
        <v>300</v>
      </c>
      <c r="V362" s="186"/>
      <c r="W362" s="187"/>
      <c r="AL362" s="141"/>
    </row>
    <row r="363" spans="1:38" ht="12.75" customHeight="1">
      <c r="A363" s="25"/>
      <c r="B363" s="25"/>
      <c r="C363" s="25"/>
      <c r="D363" s="25"/>
      <c r="E363" s="25"/>
      <c r="F363" s="25"/>
      <c r="G363" s="25"/>
      <c r="H363" s="25"/>
      <c r="I363" s="25"/>
      <c r="J363" s="25"/>
      <c r="K363" s="25"/>
      <c r="L363" s="25"/>
      <c r="M363" s="25"/>
      <c r="N363" s="25"/>
      <c r="O363" s="25"/>
      <c r="P363" s="25"/>
      <c r="Q363" s="25"/>
      <c r="R363" s="25"/>
      <c r="S363" s="197"/>
      <c r="T363" s="25"/>
      <c r="U363" s="25"/>
      <c r="V363" s="25"/>
      <c r="W363" s="25"/>
      <c r="X363" s="25"/>
      <c r="Y363" s="25"/>
      <c r="Z363" s="25"/>
      <c r="AA363" s="25"/>
      <c r="AB363" s="25"/>
      <c r="AC363" s="25"/>
      <c r="AD363" s="25"/>
      <c r="AE363" s="25"/>
      <c r="AF363" s="25"/>
      <c r="AG363" s="25"/>
      <c r="AH363" s="25"/>
      <c r="AI363" s="25"/>
      <c r="AJ363" s="25"/>
      <c r="AK363" s="25"/>
      <c r="AL363" s="197"/>
    </row>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4">
    <mergeCell ref="H62:I62"/>
    <mergeCell ref="A49:C49"/>
    <mergeCell ref="B52:C52"/>
    <mergeCell ref="D52:E52"/>
    <mergeCell ref="B53:C53"/>
    <mergeCell ref="D53:E53"/>
    <mergeCell ref="D55:E55"/>
    <mergeCell ref="A56:C56"/>
    <mergeCell ref="D49:E49"/>
    <mergeCell ref="F49:G49"/>
    <mergeCell ref="D56:E56"/>
    <mergeCell ref="AA62:AB62"/>
    <mergeCell ref="T48:V48"/>
    <mergeCell ref="T49:V49"/>
    <mergeCell ref="Y49:Z49"/>
    <mergeCell ref="U52:V52"/>
    <mergeCell ref="W52:X52"/>
    <mergeCell ref="U53:V53"/>
    <mergeCell ref="W53:X53"/>
    <mergeCell ref="W49:X49"/>
    <mergeCell ref="W55:X55"/>
    <mergeCell ref="T56:V56"/>
    <mergeCell ref="W56:X56"/>
    <mergeCell ref="A5:S5"/>
    <mergeCell ref="T5:AL5"/>
    <mergeCell ref="D3:J3"/>
    <mergeCell ref="A48:C48"/>
    <mergeCell ref="D48:E48"/>
    <mergeCell ref="W48:X48"/>
    <mergeCell ref="A1:S1"/>
    <mergeCell ref="T1:AL1"/>
    <mergeCell ref="O3:S3"/>
    <mergeCell ref="W3:AC3"/>
    <mergeCell ref="AH3:AL3"/>
  </mergeCells>
  <conditionalFormatting sqref="F49:G49">
    <cfRule type="expression" dxfId="308" priority="1" stopIfTrue="1">
      <formula>$D$49&lt;4000</formula>
    </cfRule>
    <cfRule type="expression" dxfId="307" priority="2" stopIfTrue="1">
      <formula>$D$49&gt;=4000</formula>
    </cfRule>
  </conditionalFormatting>
  <conditionalFormatting sqref="Y49:Z49">
    <cfRule type="expression" dxfId="306" priority="3" stopIfTrue="1">
      <formula>$W$49&lt;7500</formula>
    </cfRule>
    <cfRule type="expression" dxfId="305" priority="4" stopIfTrue="1">
      <formula>$W$49&gt;=7500</formula>
    </cfRule>
  </conditionalFormatting>
  <dataValidations count="1">
    <dataValidation type="list" allowBlank="1" showInputMessage="1" showErrorMessage="1" prompt="Select Material" sqref="D55 W55" xr:uid="{00000000-0002-0000-0B00-000000000000}">
      <formula1>"t_1,t_2"</formula1>
    </dataValidation>
  </dataValidations>
  <hyperlinks>
    <hyperlink ref="AM2" location="'Cover Sheet'!A1" display="BACK to COVER SHEET" xr:uid="{00000000-0004-0000-0B00-000000000000}"/>
    <hyperlink ref="AM47" location="'T3.5.9 Guidance Notes'!A1" display="Link to GUIDANCE NOTES for laminated structures" xr:uid="{00000000-0004-0000-0B00-000001000000}"/>
  </hyperlinks>
  <pageMargins left="0.39370078740157483" right="0.39370078740157483" top="0.39370078740157483" bottom="0.39370078740157483"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999FF"/>
  </sheetPr>
  <dimension ref="A1:Z1000"/>
  <sheetViews>
    <sheetView showGridLines="0" workbookViewId="0"/>
  </sheetViews>
  <sheetFormatPr baseColWidth="10" defaultColWidth="12.5703125" defaultRowHeight="15" customHeight="1"/>
  <cols>
    <col min="1" max="19" width="5" customWidth="1"/>
    <col min="20" max="26" width="11.42578125" customWidth="1"/>
  </cols>
  <sheetData>
    <row r="1" spans="1:26" ht="12.75" customHeight="1">
      <c r="A1" s="617" t="s">
        <v>426</v>
      </c>
      <c r="B1" s="598"/>
      <c r="C1" s="598"/>
      <c r="D1" s="598"/>
      <c r="E1" s="598"/>
      <c r="F1" s="598"/>
      <c r="G1" s="598"/>
      <c r="H1" s="598"/>
      <c r="I1" s="598"/>
      <c r="J1" s="598"/>
      <c r="K1" s="598"/>
      <c r="L1" s="598"/>
      <c r="M1" s="598"/>
      <c r="N1" s="598"/>
      <c r="O1" s="598"/>
      <c r="P1" s="598"/>
      <c r="Q1" s="598"/>
      <c r="R1" s="598"/>
      <c r="S1" s="598"/>
      <c r="T1" s="34"/>
      <c r="U1" s="34"/>
      <c r="V1" s="34"/>
      <c r="W1" s="34"/>
      <c r="X1" s="34"/>
      <c r="Y1" s="34"/>
      <c r="Z1" s="34"/>
    </row>
    <row r="2" spans="1:26" ht="12.75" customHeight="1">
      <c r="A2" s="34"/>
      <c r="B2" s="34"/>
      <c r="C2" s="34"/>
      <c r="D2" s="34"/>
      <c r="E2" s="34"/>
      <c r="F2" s="34"/>
      <c r="G2" s="34"/>
      <c r="H2" s="34"/>
      <c r="I2" s="34"/>
      <c r="J2" s="34"/>
      <c r="K2" s="34"/>
      <c r="L2" s="34"/>
      <c r="M2" s="34"/>
      <c r="N2" s="34"/>
      <c r="O2" s="34"/>
      <c r="P2" s="34"/>
      <c r="Q2" s="34"/>
      <c r="R2" s="34"/>
      <c r="S2" s="34"/>
      <c r="T2" s="39" t="s">
        <v>252</v>
      </c>
      <c r="U2" s="39"/>
      <c r="V2" s="39"/>
      <c r="W2" s="34"/>
      <c r="X2" s="34"/>
      <c r="Y2" s="34"/>
      <c r="Z2" s="34"/>
    </row>
    <row r="3" spans="1:26" ht="12.75" customHeight="1">
      <c r="A3" s="67" t="s">
        <v>45</v>
      </c>
      <c r="D3" s="635" t="str">
        <f>IF('Cover Sheet'!$D$14&gt;0,'Cover Sheet'!$D$14,"")</f>
        <v>Ecole Centrale Lyon</v>
      </c>
      <c r="E3" s="601"/>
      <c r="F3" s="601"/>
      <c r="G3" s="601"/>
      <c r="H3" s="601"/>
      <c r="I3" s="601"/>
      <c r="J3" s="601"/>
      <c r="K3" s="67" t="s">
        <v>47</v>
      </c>
      <c r="O3" s="635" t="str">
        <f>IF('Cover Sheet'!$O$14&gt;0,'Cover Sheet'!$O$14,"")</f>
        <v>81 FSCH/FSS/FSF</v>
      </c>
      <c r="P3" s="601"/>
      <c r="Q3" s="601"/>
      <c r="R3" s="601"/>
      <c r="S3" s="601"/>
      <c r="T3" s="34"/>
      <c r="U3" s="34"/>
      <c r="V3" s="34"/>
      <c r="W3" s="34"/>
      <c r="X3" s="34"/>
      <c r="Y3" s="34"/>
      <c r="Z3" s="34"/>
    </row>
    <row r="4" spans="1:26" ht="12.75" customHeight="1">
      <c r="A4" s="34"/>
      <c r="B4" s="34"/>
      <c r="C4" s="34"/>
      <c r="D4" s="34"/>
      <c r="E4" s="34"/>
      <c r="F4" s="34"/>
      <c r="G4" s="34"/>
      <c r="H4" s="34"/>
      <c r="I4" s="34"/>
      <c r="J4" s="34"/>
      <c r="K4" s="34"/>
      <c r="L4" s="34"/>
      <c r="M4" s="34"/>
      <c r="N4" s="34"/>
      <c r="O4" s="34"/>
      <c r="P4" s="34"/>
      <c r="Q4" s="34"/>
      <c r="R4" s="34"/>
      <c r="S4" s="34"/>
      <c r="T4" s="34"/>
      <c r="U4" s="34"/>
      <c r="V4" s="34"/>
      <c r="W4" s="34"/>
      <c r="X4" s="34"/>
      <c r="Y4" s="34"/>
      <c r="Z4" s="34"/>
    </row>
    <row r="5" spans="1:26" ht="12.75" customHeight="1">
      <c r="A5" s="685"/>
      <c r="B5" s="677"/>
      <c r="C5" s="677"/>
      <c r="D5" s="677"/>
      <c r="E5" s="677"/>
      <c r="F5" s="677"/>
      <c r="G5" s="677"/>
      <c r="H5" s="677"/>
      <c r="I5" s="677"/>
      <c r="J5" s="677"/>
      <c r="K5" s="677"/>
      <c r="L5" s="677"/>
      <c r="M5" s="677"/>
      <c r="N5" s="677"/>
      <c r="O5" s="677"/>
      <c r="P5" s="677"/>
      <c r="Q5" s="677"/>
      <c r="R5" s="677"/>
      <c r="S5" s="667"/>
      <c r="T5" s="34"/>
      <c r="U5" s="34"/>
      <c r="V5" s="34"/>
      <c r="W5" s="34"/>
      <c r="X5" s="34"/>
      <c r="Y5" s="34"/>
      <c r="Z5" s="34"/>
    </row>
    <row r="6" spans="1:26" ht="12.75" customHeight="1">
      <c r="A6" s="147"/>
      <c r="B6" s="147"/>
      <c r="C6" s="64"/>
      <c r="D6" s="147"/>
      <c r="E6" s="64"/>
      <c r="F6" s="64"/>
      <c r="G6" s="64"/>
      <c r="H6" s="64"/>
      <c r="I6" s="64"/>
      <c r="J6" s="64"/>
      <c r="K6" s="64"/>
      <c r="L6" s="64"/>
      <c r="M6" s="64"/>
      <c r="N6" s="64"/>
      <c r="O6" s="64"/>
      <c r="P6" s="64"/>
      <c r="Q6" s="64"/>
      <c r="R6" s="64"/>
      <c r="S6" s="96"/>
      <c r="T6" s="34"/>
      <c r="U6" s="34"/>
      <c r="V6" s="34"/>
      <c r="W6" s="34"/>
      <c r="X6" s="34"/>
      <c r="Y6" s="34"/>
      <c r="Z6" s="34"/>
    </row>
    <row r="7" spans="1:26" ht="12.75" customHeight="1">
      <c r="A7" s="147"/>
      <c r="B7" s="147" t="s">
        <v>253</v>
      </c>
      <c r="C7" s="64"/>
      <c r="D7" s="147"/>
      <c r="E7" s="64"/>
      <c r="F7" s="64"/>
      <c r="G7" s="64"/>
      <c r="H7" s="64"/>
      <c r="I7" s="64"/>
      <c r="J7" s="64"/>
      <c r="K7" s="64"/>
      <c r="L7" s="64"/>
      <c r="M7" s="64"/>
      <c r="N7" s="64"/>
      <c r="O7" s="64"/>
      <c r="P7" s="64"/>
      <c r="Q7" s="64"/>
      <c r="R7" s="64"/>
      <c r="S7" s="96"/>
      <c r="T7" s="34"/>
      <c r="U7" s="34"/>
      <c r="V7" s="34"/>
      <c r="W7" s="34"/>
      <c r="X7" s="34"/>
      <c r="Y7" s="34"/>
      <c r="Z7" s="34"/>
    </row>
    <row r="8" spans="1:26" ht="12.75" customHeight="1">
      <c r="A8" s="147"/>
      <c r="B8" s="65"/>
      <c r="C8" s="64"/>
      <c r="D8" s="147"/>
      <c r="E8" s="64"/>
      <c r="F8" s="64"/>
      <c r="G8" s="64"/>
      <c r="H8" s="64"/>
      <c r="I8" s="64"/>
      <c r="J8" s="64"/>
      <c r="K8" s="64"/>
      <c r="L8" s="64"/>
      <c r="M8" s="64"/>
      <c r="N8" s="64"/>
      <c r="O8" s="64"/>
      <c r="P8" s="64"/>
      <c r="Q8" s="64"/>
      <c r="R8" s="64"/>
      <c r="S8" s="96"/>
      <c r="T8" s="34"/>
      <c r="U8" s="34"/>
      <c r="V8" s="34"/>
      <c r="W8" s="34"/>
      <c r="X8" s="34"/>
      <c r="Y8" s="34"/>
      <c r="Z8" s="34"/>
    </row>
    <row r="9" spans="1:26" ht="12.75" customHeight="1">
      <c r="A9" s="147"/>
      <c r="B9" s="147" t="s">
        <v>254</v>
      </c>
      <c r="C9" s="64"/>
      <c r="D9" s="147"/>
      <c r="E9" s="64"/>
      <c r="F9" s="64"/>
      <c r="G9" s="64"/>
      <c r="H9" s="64"/>
      <c r="I9" s="64"/>
      <c r="J9" s="64"/>
      <c r="K9" s="64"/>
      <c r="L9" s="64"/>
      <c r="M9" s="64"/>
      <c r="N9" s="64"/>
      <c r="O9" s="64"/>
      <c r="P9" s="64"/>
      <c r="Q9" s="64"/>
      <c r="R9" s="64"/>
      <c r="S9" s="96"/>
      <c r="T9" s="34"/>
      <c r="U9" s="34"/>
      <c r="V9" s="34"/>
      <c r="W9" s="34"/>
      <c r="X9" s="34"/>
      <c r="Y9" s="34"/>
      <c r="Z9" s="34"/>
    </row>
    <row r="10" spans="1:26" ht="12.75" customHeight="1">
      <c r="A10" s="147"/>
      <c r="B10" s="65"/>
      <c r="C10" s="64"/>
      <c r="D10" s="64"/>
      <c r="E10" s="64"/>
      <c r="F10" s="64"/>
      <c r="G10" s="64"/>
      <c r="H10" s="64"/>
      <c r="I10" s="64"/>
      <c r="J10" s="64"/>
      <c r="K10" s="64"/>
      <c r="L10" s="64"/>
      <c r="M10" s="64"/>
      <c r="N10" s="64"/>
      <c r="O10" s="64"/>
      <c r="P10" s="64"/>
      <c r="Q10" s="64"/>
      <c r="R10" s="64"/>
      <c r="S10" s="96"/>
      <c r="T10" s="34"/>
      <c r="U10" s="34"/>
      <c r="V10" s="34"/>
      <c r="W10" s="34"/>
      <c r="X10" s="34"/>
      <c r="Y10" s="34"/>
      <c r="Z10" s="34"/>
    </row>
    <row r="11" spans="1:26" ht="12.75" customHeight="1">
      <c r="A11" s="95"/>
      <c r="B11" s="147" t="s">
        <v>255</v>
      </c>
      <c r="C11" s="64"/>
      <c r="D11" s="64"/>
      <c r="E11" s="64"/>
      <c r="F11" s="64"/>
      <c r="G11" s="64"/>
      <c r="H11" s="64"/>
      <c r="I11" s="64"/>
      <c r="J11" s="64"/>
      <c r="K11" s="64"/>
      <c r="L11" s="64"/>
      <c r="M11" s="64"/>
      <c r="N11" s="64"/>
      <c r="O11" s="64"/>
      <c r="P11" s="64"/>
      <c r="Q11" s="64"/>
      <c r="R11" s="64"/>
      <c r="S11" s="96"/>
      <c r="T11" s="34"/>
      <c r="U11" s="34"/>
      <c r="V11" s="34"/>
      <c r="W11" s="34"/>
      <c r="X11" s="34"/>
      <c r="Y11" s="34"/>
      <c r="Z11" s="34"/>
    </row>
    <row r="12" spans="1:26" ht="12.75" customHeight="1">
      <c r="A12" s="145"/>
      <c r="B12" s="65"/>
      <c r="C12" s="65"/>
      <c r="D12" s="65"/>
      <c r="E12" s="65"/>
      <c r="F12" s="65"/>
      <c r="G12" s="65"/>
      <c r="H12" s="65"/>
      <c r="I12" s="65"/>
      <c r="J12" s="65"/>
      <c r="K12" s="65"/>
      <c r="L12" s="65"/>
      <c r="M12" s="65"/>
      <c r="N12" s="65"/>
      <c r="O12" s="65"/>
      <c r="P12" s="65"/>
      <c r="Q12" s="65"/>
      <c r="R12" s="65"/>
      <c r="S12" s="146"/>
      <c r="T12" s="34"/>
      <c r="U12" s="34"/>
      <c r="V12" s="34"/>
      <c r="W12" s="34"/>
      <c r="X12" s="34"/>
      <c r="Y12" s="34"/>
      <c r="Z12" s="34"/>
    </row>
    <row r="13" spans="1:26" ht="12.75" customHeight="1">
      <c r="A13" s="145"/>
      <c r="B13" s="203" t="s">
        <v>427</v>
      </c>
      <c r="C13" s="65"/>
      <c r="D13" s="65"/>
      <c r="E13" s="65"/>
      <c r="F13" s="65"/>
      <c r="G13" s="147"/>
      <c r="H13" s="65"/>
      <c r="I13" s="65"/>
      <c r="J13" s="65"/>
      <c r="K13" s="65"/>
      <c r="L13" s="65"/>
      <c r="M13" s="65"/>
      <c r="N13" s="65"/>
      <c r="O13" s="65"/>
      <c r="P13" s="65"/>
      <c r="Q13" s="65"/>
      <c r="R13" s="65"/>
      <c r="S13" s="146"/>
      <c r="T13" s="34"/>
      <c r="U13" s="34"/>
      <c r="V13" s="34"/>
      <c r="W13" s="34"/>
      <c r="X13" s="34"/>
      <c r="Y13" s="34"/>
      <c r="Z13" s="34"/>
    </row>
    <row r="14" spans="1:26" ht="12.75" customHeight="1">
      <c r="A14" s="145"/>
      <c r="B14" s="65"/>
      <c r="C14" s="65"/>
      <c r="D14" s="65"/>
      <c r="E14" s="65"/>
      <c r="F14" s="65"/>
      <c r="G14" s="65"/>
      <c r="H14" s="65"/>
      <c r="I14" s="65"/>
      <c r="J14" s="65"/>
      <c r="K14" s="65"/>
      <c r="L14" s="65"/>
      <c r="M14" s="65"/>
      <c r="N14" s="65"/>
      <c r="O14" s="65"/>
      <c r="P14" s="65"/>
      <c r="Q14" s="65"/>
      <c r="R14" s="65"/>
      <c r="S14" s="146"/>
      <c r="T14" s="34"/>
      <c r="U14" s="34"/>
      <c r="V14" s="34"/>
      <c r="W14" s="34"/>
      <c r="X14" s="34"/>
      <c r="Y14" s="34"/>
      <c r="Z14" s="34"/>
    </row>
    <row r="15" spans="1:26" ht="12.75" customHeight="1">
      <c r="A15" s="145"/>
      <c r="B15" s="65"/>
      <c r="C15" s="65"/>
      <c r="D15" s="65"/>
      <c r="E15" s="65"/>
      <c r="F15" s="65"/>
      <c r="G15" s="65"/>
      <c r="H15" s="65"/>
      <c r="I15" s="65"/>
      <c r="J15" s="65"/>
      <c r="K15" s="65"/>
      <c r="L15" s="65"/>
      <c r="M15" s="65"/>
      <c r="N15" s="65"/>
      <c r="O15" s="65"/>
      <c r="P15" s="65"/>
      <c r="Q15" s="65"/>
      <c r="R15" s="65"/>
      <c r="S15" s="146"/>
      <c r="T15" s="34"/>
      <c r="U15" s="34"/>
      <c r="V15" s="34"/>
      <c r="W15" s="34"/>
      <c r="X15" s="34"/>
      <c r="Y15" s="34"/>
      <c r="Z15" s="34"/>
    </row>
    <row r="16" spans="1:26" ht="12.75" customHeight="1">
      <c r="A16" s="145"/>
      <c r="B16" s="65"/>
      <c r="C16" s="65"/>
      <c r="D16" s="65"/>
      <c r="E16" s="65"/>
      <c r="F16" s="65"/>
      <c r="G16" s="65"/>
      <c r="H16" s="65"/>
      <c r="I16" s="65"/>
      <c r="J16" s="65"/>
      <c r="K16" s="65"/>
      <c r="L16" s="65"/>
      <c r="M16" s="65"/>
      <c r="N16" s="65"/>
      <c r="O16" s="65"/>
      <c r="P16" s="65"/>
      <c r="Q16" s="65"/>
      <c r="R16" s="65"/>
      <c r="S16" s="146"/>
      <c r="T16" s="34"/>
      <c r="U16" s="34"/>
      <c r="V16" s="34"/>
      <c r="W16" s="34"/>
      <c r="X16" s="34"/>
      <c r="Y16" s="34"/>
      <c r="Z16" s="34"/>
    </row>
    <row r="17" spans="1:26" ht="12.75" customHeight="1">
      <c r="A17" s="145"/>
      <c r="B17" s="65"/>
      <c r="C17" s="65"/>
      <c r="D17" s="65"/>
      <c r="E17" s="65"/>
      <c r="F17" s="65"/>
      <c r="G17" s="65"/>
      <c r="H17" s="65"/>
      <c r="I17" s="65"/>
      <c r="J17" s="65"/>
      <c r="K17" s="65"/>
      <c r="L17" s="65"/>
      <c r="M17" s="65"/>
      <c r="N17" s="65"/>
      <c r="O17" s="65"/>
      <c r="P17" s="65"/>
      <c r="Q17" s="65"/>
      <c r="R17" s="65"/>
      <c r="S17" s="146"/>
      <c r="T17" s="34"/>
      <c r="U17" s="34"/>
      <c r="V17" s="34"/>
      <c r="W17" s="34"/>
      <c r="X17" s="34"/>
      <c r="Y17" s="34"/>
      <c r="Z17" s="34"/>
    </row>
    <row r="18" spans="1:26" ht="12.75" customHeight="1">
      <c r="A18" s="148"/>
      <c r="B18" s="102"/>
      <c r="C18" s="102"/>
      <c r="D18" s="102"/>
      <c r="E18" s="101"/>
      <c r="F18" s="101"/>
      <c r="G18" s="102"/>
      <c r="H18" s="101"/>
      <c r="I18" s="102"/>
      <c r="J18" s="102"/>
      <c r="K18" s="102"/>
      <c r="L18" s="102"/>
      <c r="M18" s="102"/>
      <c r="N18" s="102"/>
      <c r="O18" s="102"/>
      <c r="P18" s="102"/>
      <c r="Q18" s="102"/>
      <c r="R18" s="102"/>
      <c r="S18" s="149"/>
      <c r="T18" s="34"/>
      <c r="U18" s="34"/>
      <c r="V18" s="34"/>
      <c r="W18" s="34"/>
      <c r="X18" s="34"/>
      <c r="Y18" s="34"/>
      <c r="Z18" s="34"/>
    </row>
    <row r="19" spans="1:26" ht="12.75" customHeight="1">
      <c r="A19" s="151" t="s">
        <v>428</v>
      </c>
      <c r="B19" s="77"/>
      <c r="C19" s="77"/>
      <c r="D19" s="77"/>
      <c r="E19" s="77"/>
      <c r="F19" s="77"/>
      <c r="G19" s="77"/>
      <c r="H19" s="77"/>
      <c r="I19" s="77"/>
      <c r="J19" s="77"/>
      <c r="K19" s="77"/>
      <c r="L19" s="77"/>
      <c r="M19" s="77"/>
      <c r="N19" s="77"/>
      <c r="O19" s="77"/>
      <c r="P19" s="77"/>
      <c r="Q19" s="77"/>
      <c r="R19" s="77"/>
      <c r="S19" s="152"/>
      <c r="T19" s="34"/>
      <c r="U19" s="34"/>
      <c r="V19" s="34"/>
      <c r="W19" s="34"/>
      <c r="X19" s="34"/>
      <c r="Y19" s="34"/>
      <c r="Z19" s="34"/>
    </row>
    <row r="20" spans="1:26" ht="12.75" customHeight="1">
      <c r="A20" s="153"/>
      <c r="B20" s="77"/>
      <c r="C20" s="77"/>
      <c r="D20" s="77"/>
      <c r="E20" s="77"/>
      <c r="F20" s="77"/>
      <c r="G20" s="77"/>
      <c r="H20" s="77"/>
      <c r="I20" s="77"/>
      <c r="J20" s="77"/>
      <c r="K20" s="77"/>
      <c r="L20" s="77"/>
      <c r="M20" s="77"/>
      <c r="N20" s="77"/>
      <c r="O20" s="77"/>
      <c r="P20" s="77"/>
      <c r="Q20" s="77"/>
      <c r="R20" s="77"/>
      <c r="S20" s="152"/>
      <c r="T20" s="34"/>
      <c r="U20" s="34"/>
      <c r="V20" s="34"/>
      <c r="W20" s="34"/>
      <c r="X20" s="34"/>
      <c r="Y20" s="34"/>
      <c r="Z20" s="34"/>
    </row>
    <row r="21" spans="1:26" ht="12.75" customHeight="1">
      <c r="A21" s="142"/>
      <c r="B21" s="143"/>
      <c r="C21" s="143"/>
      <c r="D21" s="143"/>
      <c r="E21" s="143"/>
      <c r="F21" s="143"/>
      <c r="G21" s="143"/>
      <c r="H21" s="143"/>
      <c r="I21" s="143"/>
      <c r="J21" s="143"/>
      <c r="K21" s="143"/>
      <c r="L21" s="143"/>
      <c r="M21" s="143"/>
      <c r="N21" s="143"/>
      <c r="O21" s="143"/>
      <c r="P21" s="143"/>
      <c r="Q21" s="143"/>
      <c r="R21" s="143"/>
      <c r="S21" s="144"/>
      <c r="T21" s="34"/>
      <c r="U21" s="34"/>
      <c r="V21" s="34"/>
      <c r="W21" s="34"/>
      <c r="X21" s="34"/>
      <c r="Y21" s="34"/>
      <c r="Z21" s="34"/>
    </row>
    <row r="22" spans="1:26" ht="12.75" customHeight="1">
      <c r="A22" s="95"/>
      <c r="B22" s="64"/>
      <c r="C22" s="64"/>
      <c r="D22" s="64"/>
      <c r="E22" s="64"/>
      <c r="F22" s="64"/>
      <c r="G22" s="64"/>
      <c r="H22" s="64"/>
      <c r="I22" s="64"/>
      <c r="J22" s="64"/>
      <c r="K22" s="64"/>
      <c r="L22" s="64"/>
      <c r="M22" s="64"/>
      <c r="N22" s="64"/>
      <c r="O22" s="64"/>
      <c r="P22" s="64"/>
      <c r="Q22" s="64"/>
      <c r="R22" s="64"/>
      <c r="S22" s="96"/>
      <c r="T22" s="34"/>
      <c r="U22" s="34"/>
      <c r="V22" s="34"/>
      <c r="W22" s="34"/>
      <c r="X22" s="34"/>
      <c r="Y22" s="34"/>
      <c r="Z22" s="34"/>
    </row>
    <row r="23" spans="1:26" ht="12.75" customHeight="1">
      <c r="A23" s="95"/>
      <c r="B23" s="147" t="s">
        <v>258</v>
      </c>
      <c r="C23" s="64"/>
      <c r="D23" s="64"/>
      <c r="E23" s="64"/>
      <c r="F23" s="64"/>
      <c r="G23" s="64"/>
      <c r="H23" s="64"/>
      <c r="I23" s="64"/>
      <c r="J23" s="64"/>
      <c r="K23" s="64"/>
      <c r="L23" s="64"/>
      <c r="M23" s="64"/>
      <c r="N23" s="64"/>
      <c r="O23" s="64"/>
      <c r="P23" s="64"/>
      <c r="Q23" s="64"/>
      <c r="R23" s="64"/>
      <c r="S23" s="96"/>
      <c r="T23" s="34"/>
      <c r="U23" s="34"/>
      <c r="V23" s="34"/>
      <c r="W23" s="34"/>
      <c r="X23" s="34"/>
      <c r="Y23" s="34"/>
      <c r="Z23" s="34"/>
    </row>
    <row r="24" spans="1:26" ht="12.75" customHeight="1">
      <c r="A24" s="95"/>
      <c r="B24" s="64"/>
      <c r="C24" s="64"/>
      <c r="D24" s="64"/>
      <c r="E24" s="64"/>
      <c r="F24" s="64"/>
      <c r="G24" s="64"/>
      <c r="H24" s="64"/>
      <c r="I24" s="64"/>
      <c r="J24" s="64"/>
      <c r="K24" s="64"/>
      <c r="L24" s="64"/>
      <c r="M24" s="64"/>
      <c r="N24" s="64"/>
      <c r="O24" s="64"/>
      <c r="P24" s="64"/>
      <c r="Q24" s="64"/>
      <c r="R24" s="64"/>
      <c r="S24" s="96"/>
      <c r="T24" s="34"/>
      <c r="U24" s="34"/>
      <c r="V24" s="34"/>
      <c r="W24" s="34"/>
      <c r="X24" s="34"/>
      <c r="Y24" s="34"/>
      <c r="Z24" s="34"/>
    </row>
    <row r="25" spans="1:26" ht="12.75" customHeight="1">
      <c r="A25" s="95"/>
      <c r="B25" s="147" t="s">
        <v>259</v>
      </c>
      <c r="C25" s="64"/>
      <c r="D25" s="64"/>
      <c r="E25" s="64"/>
      <c r="F25" s="64"/>
      <c r="G25" s="64"/>
      <c r="H25" s="64"/>
      <c r="I25" s="64"/>
      <c r="J25" s="64"/>
      <c r="K25" s="64"/>
      <c r="L25" s="64"/>
      <c r="M25" s="64"/>
      <c r="N25" s="64"/>
      <c r="O25" s="64"/>
      <c r="P25" s="64"/>
      <c r="Q25" s="64"/>
      <c r="R25" s="64"/>
      <c r="S25" s="96"/>
      <c r="T25" s="34"/>
      <c r="U25" s="34"/>
      <c r="V25" s="34"/>
      <c r="W25" s="34"/>
      <c r="X25" s="34"/>
      <c r="Y25" s="34"/>
      <c r="Z25" s="34"/>
    </row>
    <row r="26" spans="1:26" ht="12.75" customHeight="1">
      <c r="A26" s="95"/>
      <c r="B26" s="64"/>
      <c r="C26" s="64"/>
      <c r="D26" s="64"/>
      <c r="E26" s="64"/>
      <c r="F26" s="64"/>
      <c r="G26" s="64"/>
      <c r="H26" s="64"/>
      <c r="I26" s="64"/>
      <c r="J26" s="64"/>
      <c r="K26" s="64"/>
      <c r="L26" s="64"/>
      <c r="M26" s="64"/>
      <c r="N26" s="64"/>
      <c r="O26" s="64"/>
      <c r="P26" s="64"/>
      <c r="Q26" s="64"/>
      <c r="R26" s="64"/>
      <c r="S26" s="96"/>
      <c r="T26" s="34"/>
      <c r="U26" s="34"/>
      <c r="V26" s="34"/>
      <c r="W26" s="34"/>
      <c r="X26" s="34"/>
      <c r="Y26" s="34"/>
      <c r="Z26" s="34"/>
    </row>
    <row r="27" spans="1:26" ht="12.75" customHeight="1">
      <c r="A27" s="95"/>
      <c r="B27" s="147" t="s">
        <v>260</v>
      </c>
      <c r="C27" s="64"/>
      <c r="D27" s="64"/>
      <c r="E27" s="64"/>
      <c r="F27" s="64"/>
      <c r="G27" s="64"/>
      <c r="H27" s="64"/>
      <c r="I27" s="64"/>
      <c r="J27" s="64"/>
      <c r="K27" s="64"/>
      <c r="L27" s="64"/>
      <c r="M27" s="64"/>
      <c r="N27" s="64"/>
      <c r="O27" s="64"/>
      <c r="P27" s="64"/>
      <c r="Q27" s="64"/>
      <c r="R27" s="64"/>
      <c r="S27" s="96"/>
      <c r="T27" s="34"/>
      <c r="U27" s="34"/>
      <c r="V27" s="34"/>
      <c r="W27" s="34"/>
      <c r="X27" s="34"/>
      <c r="Y27" s="34"/>
      <c r="Z27" s="34"/>
    </row>
    <row r="28" spans="1:26" ht="12.75" customHeight="1">
      <c r="A28" s="145"/>
      <c r="B28" s="65"/>
      <c r="C28" s="65"/>
      <c r="D28" s="65"/>
      <c r="E28" s="65"/>
      <c r="F28" s="65"/>
      <c r="G28" s="65"/>
      <c r="H28" s="65"/>
      <c r="I28" s="65"/>
      <c r="J28" s="65"/>
      <c r="K28" s="65"/>
      <c r="L28" s="65"/>
      <c r="M28" s="65"/>
      <c r="N28" s="65"/>
      <c r="O28" s="65"/>
      <c r="P28" s="65"/>
      <c r="Q28" s="65"/>
      <c r="R28" s="65"/>
      <c r="S28" s="146"/>
      <c r="T28" s="34"/>
      <c r="U28" s="34"/>
      <c r="V28" s="34"/>
      <c r="W28" s="34"/>
      <c r="X28" s="34"/>
      <c r="Y28" s="34"/>
      <c r="Z28" s="34"/>
    </row>
    <row r="29" spans="1:26" ht="12.75" customHeight="1">
      <c r="A29" s="145"/>
      <c r="B29" s="147" t="s">
        <v>261</v>
      </c>
      <c r="C29" s="65"/>
      <c r="D29" s="65"/>
      <c r="E29" s="65"/>
      <c r="F29" s="65"/>
      <c r="G29" s="65"/>
      <c r="H29" s="65"/>
      <c r="I29" s="65"/>
      <c r="J29" s="65"/>
      <c r="K29" s="65"/>
      <c r="L29" s="65"/>
      <c r="M29" s="65"/>
      <c r="N29" s="65"/>
      <c r="O29" s="65"/>
      <c r="P29" s="65"/>
      <c r="Q29" s="65"/>
      <c r="R29" s="65"/>
      <c r="S29" s="146"/>
      <c r="T29" s="34"/>
      <c r="U29" s="34"/>
      <c r="V29" s="34"/>
      <c r="W29" s="34"/>
      <c r="X29" s="34"/>
      <c r="Y29" s="34"/>
      <c r="Z29" s="34"/>
    </row>
    <row r="30" spans="1:26" ht="12.75" customHeight="1">
      <c r="A30" s="145"/>
      <c r="B30" s="147" t="s">
        <v>262</v>
      </c>
      <c r="C30" s="65"/>
      <c r="D30" s="65"/>
      <c r="E30" s="65"/>
      <c r="F30" s="65"/>
      <c r="G30" s="65"/>
      <c r="H30" s="65"/>
      <c r="I30" s="65"/>
      <c r="J30" s="65"/>
      <c r="K30" s="65"/>
      <c r="L30" s="65"/>
      <c r="M30" s="65"/>
      <c r="N30" s="65"/>
      <c r="O30" s="65"/>
      <c r="P30" s="65"/>
      <c r="Q30" s="65"/>
      <c r="R30" s="65"/>
      <c r="S30" s="146"/>
      <c r="T30" s="34"/>
      <c r="U30" s="34"/>
      <c r="V30" s="34"/>
      <c r="W30" s="34"/>
      <c r="X30" s="34"/>
      <c r="Y30" s="34"/>
      <c r="Z30" s="34"/>
    </row>
    <row r="31" spans="1:26" ht="12.75" customHeight="1">
      <c r="A31" s="145"/>
      <c r="B31" s="64"/>
      <c r="C31" s="65"/>
      <c r="D31" s="65"/>
      <c r="E31" s="65"/>
      <c r="F31" s="65"/>
      <c r="G31" s="65"/>
      <c r="H31" s="65"/>
      <c r="I31" s="65"/>
      <c r="J31" s="65"/>
      <c r="K31" s="65"/>
      <c r="L31" s="65"/>
      <c r="M31" s="65"/>
      <c r="N31" s="65"/>
      <c r="O31" s="65"/>
      <c r="P31" s="65"/>
      <c r="Q31" s="65"/>
      <c r="R31" s="65"/>
      <c r="S31" s="146"/>
      <c r="T31" s="34"/>
      <c r="U31" s="34"/>
      <c r="V31" s="34"/>
      <c r="W31" s="34"/>
      <c r="X31" s="34"/>
      <c r="Y31" s="34"/>
      <c r="Z31" s="34"/>
    </row>
    <row r="32" spans="1:26" ht="12.75" customHeight="1">
      <c r="A32" s="145"/>
      <c r="B32" s="65"/>
      <c r="C32" s="65"/>
      <c r="D32" s="65"/>
      <c r="E32" s="64"/>
      <c r="F32" s="64"/>
      <c r="G32" s="147"/>
      <c r="H32" s="65"/>
      <c r="I32" s="65"/>
      <c r="J32" s="65"/>
      <c r="K32" s="65"/>
      <c r="L32" s="65"/>
      <c r="M32" s="65"/>
      <c r="N32" s="65"/>
      <c r="O32" s="65"/>
      <c r="P32" s="65"/>
      <c r="Q32" s="65"/>
      <c r="R32" s="65"/>
      <c r="S32" s="146"/>
      <c r="T32" s="34"/>
      <c r="U32" s="34"/>
      <c r="V32" s="34"/>
      <c r="W32" s="34"/>
      <c r="X32" s="34"/>
      <c r="Y32" s="34"/>
      <c r="Z32" s="34"/>
    </row>
    <row r="33" spans="1:26" ht="12.75" customHeight="1">
      <c r="A33" s="145"/>
      <c r="B33" s="65"/>
      <c r="C33" s="65"/>
      <c r="D33" s="147"/>
      <c r="E33" s="64"/>
      <c r="F33" s="65"/>
      <c r="G33" s="64"/>
      <c r="H33" s="65"/>
      <c r="I33" s="65"/>
      <c r="J33" s="65"/>
      <c r="K33" s="65"/>
      <c r="L33" s="65"/>
      <c r="M33" s="65"/>
      <c r="N33" s="65"/>
      <c r="O33" s="65"/>
      <c r="P33" s="65"/>
      <c r="Q33" s="65"/>
      <c r="R33" s="65"/>
      <c r="S33" s="146"/>
      <c r="T33" s="34"/>
      <c r="U33" s="34"/>
      <c r="V33" s="34"/>
      <c r="W33" s="34"/>
      <c r="X33" s="34"/>
      <c r="Y33" s="34"/>
      <c r="Z33" s="34"/>
    </row>
    <row r="34" spans="1:26" ht="12.75" customHeight="1">
      <c r="A34" s="145"/>
      <c r="B34" s="65"/>
      <c r="C34" s="65"/>
      <c r="D34" s="65"/>
      <c r="E34" s="65"/>
      <c r="F34" s="65"/>
      <c r="G34" s="147"/>
      <c r="H34" s="65"/>
      <c r="I34" s="65"/>
      <c r="J34" s="65"/>
      <c r="K34" s="65"/>
      <c r="L34" s="65"/>
      <c r="M34" s="65"/>
      <c r="N34" s="65"/>
      <c r="O34" s="65"/>
      <c r="P34" s="65"/>
      <c r="Q34" s="65"/>
      <c r="R34" s="65"/>
      <c r="S34" s="146"/>
      <c r="T34" s="34"/>
      <c r="U34" s="34"/>
      <c r="V34" s="34"/>
      <c r="W34" s="34"/>
      <c r="X34" s="34"/>
      <c r="Y34" s="34"/>
      <c r="Z34" s="34"/>
    </row>
    <row r="35" spans="1:26" ht="12.75" customHeight="1">
      <c r="A35" s="95"/>
      <c r="B35" s="65"/>
      <c r="C35" s="65"/>
      <c r="D35" s="65"/>
      <c r="E35" s="65"/>
      <c r="F35" s="65"/>
      <c r="G35" s="65"/>
      <c r="H35" s="65"/>
      <c r="I35" s="65"/>
      <c r="J35" s="65"/>
      <c r="K35" s="65"/>
      <c r="L35" s="65"/>
      <c r="M35" s="65"/>
      <c r="N35" s="65"/>
      <c r="O35" s="65"/>
      <c r="P35" s="65"/>
      <c r="Q35" s="65"/>
      <c r="R35" s="65"/>
      <c r="S35" s="146"/>
      <c r="T35" s="34"/>
      <c r="U35" s="34"/>
      <c r="V35" s="34"/>
      <c r="W35" s="34"/>
      <c r="X35" s="34"/>
      <c r="Y35" s="34"/>
      <c r="Z35" s="34"/>
    </row>
    <row r="36" spans="1:26" ht="12.75" customHeight="1">
      <c r="A36" s="95"/>
      <c r="B36" s="65"/>
      <c r="C36" s="65"/>
      <c r="D36" s="65"/>
      <c r="E36" s="65"/>
      <c r="F36" s="65"/>
      <c r="G36" s="65"/>
      <c r="H36" s="65"/>
      <c r="I36" s="65"/>
      <c r="J36" s="65"/>
      <c r="K36" s="65"/>
      <c r="L36" s="65"/>
      <c r="M36" s="65"/>
      <c r="N36" s="65"/>
      <c r="O36" s="65"/>
      <c r="P36" s="65"/>
      <c r="Q36" s="65"/>
      <c r="R36" s="65"/>
      <c r="S36" s="146"/>
      <c r="T36" s="34"/>
      <c r="U36" s="34"/>
      <c r="V36" s="34"/>
      <c r="W36" s="34"/>
      <c r="X36" s="34"/>
      <c r="Y36" s="34"/>
      <c r="Z36" s="34"/>
    </row>
    <row r="37" spans="1:26" ht="12.75" customHeight="1">
      <c r="A37" s="95"/>
      <c r="B37" s="65"/>
      <c r="C37" s="65"/>
      <c r="D37" s="65"/>
      <c r="E37" s="65"/>
      <c r="F37" s="65"/>
      <c r="G37" s="65"/>
      <c r="H37" s="65"/>
      <c r="I37" s="65"/>
      <c r="J37" s="65"/>
      <c r="K37" s="65"/>
      <c r="L37" s="65"/>
      <c r="M37" s="65"/>
      <c r="N37" s="65"/>
      <c r="O37" s="65"/>
      <c r="P37" s="65"/>
      <c r="Q37" s="65"/>
      <c r="R37" s="65"/>
      <c r="S37" s="146"/>
      <c r="T37" s="34"/>
      <c r="U37" s="34"/>
      <c r="V37" s="34"/>
      <c r="W37" s="34"/>
      <c r="X37" s="34"/>
      <c r="Y37" s="34"/>
      <c r="Z37" s="34"/>
    </row>
    <row r="38" spans="1:26" ht="12.75" customHeight="1">
      <c r="A38" s="95"/>
      <c r="B38" s="65"/>
      <c r="C38" s="65"/>
      <c r="D38" s="65"/>
      <c r="E38" s="65"/>
      <c r="F38" s="65"/>
      <c r="G38" s="65"/>
      <c r="H38" s="65"/>
      <c r="I38" s="65"/>
      <c r="J38" s="65"/>
      <c r="K38" s="65"/>
      <c r="L38" s="65"/>
      <c r="M38" s="65"/>
      <c r="N38" s="65"/>
      <c r="O38" s="65"/>
      <c r="P38" s="65"/>
      <c r="Q38" s="65"/>
      <c r="R38" s="65"/>
      <c r="S38" s="146"/>
      <c r="T38" s="34"/>
      <c r="U38" s="34"/>
      <c r="V38" s="34"/>
      <c r="W38" s="34"/>
      <c r="X38" s="34"/>
      <c r="Y38" s="34"/>
      <c r="Z38" s="34"/>
    </row>
    <row r="39" spans="1:26" ht="12.75" customHeight="1">
      <c r="A39" s="95"/>
      <c r="B39" s="65"/>
      <c r="C39" s="65"/>
      <c r="D39" s="65"/>
      <c r="E39" s="65"/>
      <c r="F39" s="65"/>
      <c r="G39" s="65"/>
      <c r="H39" s="65"/>
      <c r="I39" s="65"/>
      <c r="J39" s="65"/>
      <c r="K39" s="65"/>
      <c r="L39" s="65"/>
      <c r="M39" s="65"/>
      <c r="N39" s="65"/>
      <c r="O39" s="65"/>
      <c r="P39" s="65"/>
      <c r="Q39" s="65"/>
      <c r="R39" s="65"/>
      <c r="S39" s="146"/>
      <c r="T39" s="34"/>
      <c r="U39" s="34"/>
      <c r="V39" s="34"/>
      <c r="W39" s="34"/>
      <c r="X39" s="34"/>
      <c r="Y39" s="34"/>
      <c r="Z39" s="34"/>
    </row>
    <row r="40" spans="1:26" ht="12.75" customHeight="1">
      <c r="A40" s="95"/>
      <c r="B40" s="65"/>
      <c r="C40" s="65"/>
      <c r="D40" s="65"/>
      <c r="E40" s="65"/>
      <c r="F40" s="65"/>
      <c r="G40" s="65"/>
      <c r="H40" s="65"/>
      <c r="I40" s="65"/>
      <c r="J40" s="65"/>
      <c r="K40" s="65"/>
      <c r="L40" s="65"/>
      <c r="M40" s="65"/>
      <c r="N40" s="65"/>
      <c r="O40" s="65"/>
      <c r="P40" s="65"/>
      <c r="Q40" s="65"/>
      <c r="R40" s="65"/>
      <c r="S40" s="146"/>
      <c r="T40" s="34"/>
      <c r="U40" s="34"/>
      <c r="V40" s="34"/>
      <c r="W40" s="34"/>
      <c r="X40" s="34"/>
      <c r="Y40" s="34"/>
      <c r="Z40" s="34"/>
    </row>
    <row r="41" spans="1:26" ht="12.75" customHeight="1">
      <c r="A41" s="95"/>
      <c r="B41" s="65"/>
      <c r="C41" s="65"/>
      <c r="D41" s="65"/>
      <c r="E41" s="65"/>
      <c r="F41" s="65"/>
      <c r="G41" s="65"/>
      <c r="H41" s="65"/>
      <c r="I41" s="65"/>
      <c r="J41" s="65"/>
      <c r="K41" s="65"/>
      <c r="L41" s="65"/>
      <c r="M41" s="65"/>
      <c r="N41" s="65"/>
      <c r="O41" s="65"/>
      <c r="P41" s="65"/>
      <c r="Q41" s="65"/>
      <c r="R41" s="65"/>
      <c r="S41" s="146"/>
      <c r="T41" s="34"/>
      <c r="U41" s="34"/>
      <c r="V41" s="34"/>
      <c r="W41" s="34"/>
      <c r="X41" s="34"/>
      <c r="Y41" s="34"/>
      <c r="Z41" s="34"/>
    </row>
    <row r="42" spans="1:26" ht="12.75" customHeight="1">
      <c r="A42" s="95"/>
      <c r="B42" s="65"/>
      <c r="C42" s="65"/>
      <c r="D42" s="65"/>
      <c r="E42" s="65"/>
      <c r="F42" s="65"/>
      <c r="G42" s="65"/>
      <c r="H42" s="65"/>
      <c r="I42" s="65"/>
      <c r="J42" s="65"/>
      <c r="K42" s="65"/>
      <c r="L42" s="65"/>
      <c r="M42" s="65"/>
      <c r="N42" s="65"/>
      <c r="O42" s="65"/>
      <c r="P42" s="65"/>
      <c r="Q42" s="65"/>
      <c r="R42" s="65"/>
      <c r="S42" s="146"/>
      <c r="T42" s="34"/>
      <c r="U42" s="34"/>
      <c r="V42" s="34"/>
      <c r="W42" s="34"/>
      <c r="X42" s="34"/>
      <c r="Y42" s="34"/>
      <c r="Z42" s="34"/>
    </row>
    <row r="43" spans="1:26" ht="12.75" customHeight="1">
      <c r="A43" s="95"/>
      <c r="B43" s="65"/>
      <c r="C43" s="65"/>
      <c r="D43" s="65"/>
      <c r="E43" s="65"/>
      <c r="F43" s="65"/>
      <c r="G43" s="65"/>
      <c r="H43" s="65"/>
      <c r="I43" s="65"/>
      <c r="J43" s="65"/>
      <c r="K43" s="65"/>
      <c r="L43" s="65"/>
      <c r="M43" s="65"/>
      <c r="N43" s="65"/>
      <c r="O43" s="65"/>
      <c r="P43" s="65"/>
      <c r="Q43" s="65"/>
      <c r="R43" s="65"/>
      <c r="S43" s="146"/>
      <c r="T43" s="34"/>
      <c r="U43" s="34"/>
      <c r="V43" s="34"/>
      <c r="W43" s="34"/>
      <c r="X43" s="34"/>
      <c r="Y43" s="34"/>
      <c r="Z43" s="34"/>
    </row>
    <row r="44" spans="1:26" ht="12.75" customHeight="1">
      <c r="A44" s="100"/>
      <c r="B44" s="102"/>
      <c r="C44" s="102"/>
      <c r="D44" s="102"/>
      <c r="E44" s="102"/>
      <c r="F44" s="102"/>
      <c r="G44" s="102"/>
      <c r="H44" s="102"/>
      <c r="I44" s="102"/>
      <c r="J44" s="102"/>
      <c r="K44" s="102"/>
      <c r="L44" s="102"/>
      <c r="M44" s="102"/>
      <c r="N44" s="102"/>
      <c r="O44" s="102"/>
      <c r="P44" s="102"/>
      <c r="Q44" s="102"/>
      <c r="R44" s="102"/>
      <c r="S44" s="149"/>
      <c r="T44" s="34"/>
      <c r="U44" s="34"/>
      <c r="V44" s="34"/>
      <c r="W44" s="34"/>
      <c r="X44" s="34"/>
      <c r="Y44" s="34"/>
      <c r="Z44" s="34"/>
    </row>
    <row r="45" spans="1:26" ht="12.75" customHeight="1">
      <c r="A45" s="151" t="s">
        <v>429</v>
      </c>
      <c r="B45" s="77"/>
      <c r="C45" s="77"/>
      <c r="D45" s="77"/>
      <c r="E45" s="77"/>
      <c r="F45" s="77"/>
      <c r="G45" s="77"/>
      <c r="H45" s="77"/>
      <c r="I45" s="77"/>
      <c r="J45" s="77"/>
      <c r="K45" s="77"/>
      <c r="L45" s="77"/>
      <c r="M45" s="77"/>
      <c r="N45" s="77"/>
      <c r="O45" s="77"/>
      <c r="P45" s="77"/>
      <c r="Q45" s="77"/>
      <c r="R45" s="77"/>
      <c r="S45" s="152"/>
      <c r="T45" s="34"/>
      <c r="U45" s="34"/>
      <c r="V45" s="34"/>
      <c r="W45" s="34"/>
      <c r="X45" s="34"/>
      <c r="Y45" s="34"/>
      <c r="Z45" s="34"/>
    </row>
    <row r="46" spans="1:26" ht="12.75" customHeight="1">
      <c r="A46" s="153"/>
      <c r="B46" s="77"/>
      <c r="C46" s="77"/>
      <c r="D46" s="77"/>
      <c r="E46" s="77"/>
      <c r="F46" s="77"/>
      <c r="G46" s="77"/>
      <c r="H46" s="77"/>
      <c r="I46" s="77"/>
      <c r="J46" s="77"/>
      <c r="K46" s="77"/>
      <c r="L46" s="77"/>
      <c r="M46" s="77"/>
      <c r="N46" s="77"/>
      <c r="O46" s="77"/>
      <c r="P46" s="77"/>
      <c r="Q46" s="77"/>
      <c r="R46" s="77"/>
      <c r="S46" s="152"/>
      <c r="T46" s="34"/>
      <c r="U46" s="34"/>
      <c r="V46" s="34"/>
      <c r="W46" s="34"/>
      <c r="X46" s="34"/>
      <c r="Y46" s="34"/>
      <c r="Z46" s="34"/>
    </row>
    <row r="47" spans="1:26" ht="12.75" customHeight="1">
      <c r="A47" s="208" t="s">
        <v>430</v>
      </c>
      <c r="B47" s="158"/>
      <c r="C47" s="158"/>
      <c r="D47" s="158"/>
      <c r="E47" s="158"/>
      <c r="F47" s="158"/>
      <c r="G47" s="158"/>
      <c r="H47" s="158"/>
      <c r="I47" s="158"/>
      <c r="J47" s="158"/>
      <c r="K47" s="158"/>
      <c r="L47" s="158"/>
      <c r="M47" s="158"/>
      <c r="N47" s="158"/>
      <c r="O47" s="158"/>
      <c r="P47" s="158"/>
      <c r="Q47" s="158"/>
      <c r="R47" s="158"/>
      <c r="S47" s="159"/>
      <c r="T47" s="209" t="s">
        <v>407</v>
      </c>
      <c r="U47" s="34"/>
      <c r="V47" s="34"/>
      <c r="W47" s="34"/>
      <c r="X47" s="34"/>
      <c r="Y47" s="34"/>
      <c r="Z47" s="34"/>
    </row>
    <row r="48" spans="1:26" ht="12.75" customHeight="1">
      <c r="A48" s="664" t="s">
        <v>431</v>
      </c>
      <c r="B48" s="598"/>
      <c r="C48" s="599"/>
      <c r="D48" s="665"/>
      <c r="E48" s="588"/>
      <c r="F48" s="151"/>
      <c r="G48" s="34"/>
      <c r="H48" s="155"/>
      <c r="I48" s="158"/>
      <c r="J48" s="158"/>
      <c r="K48" s="158"/>
      <c r="L48" s="158"/>
      <c r="M48" s="158"/>
      <c r="N48" s="158"/>
      <c r="O48" s="158"/>
      <c r="P48" s="158"/>
      <c r="Q48" s="158"/>
      <c r="R48" s="158"/>
      <c r="S48" s="159"/>
      <c r="T48" s="34"/>
      <c r="U48" s="34"/>
      <c r="V48" s="34"/>
      <c r="W48" s="34"/>
      <c r="X48" s="34"/>
      <c r="Y48" s="34"/>
      <c r="Z48" s="34"/>
    </row>
    <row r="49" spans="1:26" ht="12.75" customHeight="1">
      <c r="A49" s="165"/>
      <c r="B49" s="158"/>
      <c r="C49" s="158"/>
      <c r="D49" s="158"/>
      <c r="E49" s="158"/>
      <c r="F49" s="158"/>
      <c r="G49" s="158"/>
      <c r="H49" s="158"/>
      <c r="I49" s="158"/>
      <c r="J49" s="158"/>
      <c r="K49" s="158"/>
      <c r="L49" s="158"/>
      <c r="M49" s="158"/>
      <c r="N49" s="158"/>
      <c r="O49" s="158"/>
      <c r="P49" s="158"/>
      <c r="Q49" s="158"/>
      <c r="R49" s="158"/>
      <c r="S49" s="159"/>
      <c r="T49" s="34"/>
      <c r="U49" s="34"/>
      <c r="V49" s="34"/>
      <c r="W49" s="34"/>
      <c r="X49" s="34"/>
      <c r="Y49" s="34"/>
      <c r="Z49" s="34"/>
    </row>
    <row r="50" spans="1:26" ht="12.75" customHeight="1">
      <c r="A50" s="157" t="s">
        <v>412</v>
      </c>
      <c r="B50" s="158"/>
      <c r="C50" s="158"/>
      <c r="D50" s="158"/>
      <c r="E50" s="158"/>
      <c r="F50" s="158"/>
      <c r="G50" s="158"/>
      <c r="H50" s="158"/>
      <c r="I50" s="158"/>
      <c r="J50" s="158"/>
      <c r="K50" s="158"/>
      <c r="L50" s="158"/>
      <c r="M50" s="158"/>
      <c r="N50" s="158"/>
      <c r="O50" s="158"/>
      <c r="P50" s="158"/>
      <c r="Q50" s="158"/>
      <c r="R50" s="158"/>
      <c r="S50" s="159"/>
      <c r="T50" s="34"/>
      <c r="U50" s="34"/>
      <c r="V50" s="34"/>
      <c r="W50" s="34"/>
      <c r="X50" s="34"/>
      <c r="Y50" s="34"/>
      <c r="Z50" s="34"/>
    </row>
    <row r="51" spans="1:26" ht="15.75" customHeight="1">
      <c r="A51" s="34"/>
      <c r="B51" s="691" t="s">
        <v>432</v>
      </c>
      <c r="C51" s="599"/>
      <c r="D51" s="660"/>
      <c r="E51" s="588"/>
      <c r="F51" s="155"/>
      <c r="G51" s="155"/>
      <c r="H51" s="155"/>
      <c r="I51" s="155"/>
      <c r="J51" s="155"/>
      <c r="K51" s="155"/>
      <c r="L51" s="155"/>
      <c r="M51" s="155"/>
      <c r="N51" s="155"/>
      <c r="O51" s="158"/>
      <c r="P51" s="158"/>
      <c r="Q51" s="158"/>
      <c r="R51" s="158"/>
      <c r="S51" s="159"/>
      <c r="T51" s="34"/>
      <c r="U51" s="34"/>
      <c r="V51" s="34"/>
      <c r="W51" s="34"/>
      <c r="X51" s="34"/>
      <c r="Y51" s="34"/>
      <c r="Z51" s="34"/>
    </row>
    <row r="52" spans="1:26" ht="15.75" customHeight="1">
      <c r="A52" s="169"/>
      <c r="B52" s="162"/>
      <c r="C52" s="171"/>
      <c r="D52" s="211"/>
      <c r="E52" s="155"/>
      <c r="F52" s="155"/>
      <c r="G52" s="155"/>
      <c r="H52" s="155"/>
      <c r="I52" s="155"/>
      <c r="J52" s="155"/>
      <c r="K52" s="155"/>
      <c r="L52" s="155"/>
      <c r="M52" s="155"/>
      <c r="N52" s="155"/>
      <c r="O52" s="158"/>
      <c r="P52" s="158"/>
      <c r="Q52" s="158"/>
      <c r="R52" s="158"/>
      <c r="S52" s="159"/>
      <c r="T52" s="34"/>
      <c r="U52" s="34"/>
      <c r="V52" s="34"/>
      <c r="W52" s="34"/>
      <c r="X52" s="34"/>
      <c r="Y52" s="34"/>
      <c r="Z52" s="34"/>
    </row>
    <row r="53" spans="1:26" ht="15.75" customHeight="1">
      <c r="A53" s="694" t="s">
        <v>433</v>
      </c>
      <c r="B53" s="598"/>
      <c r="C53" s="599"/>
      <c r="D53" s="696">
        <f>IF(D51&gt;0,D48/(PI()*25*D51),0)</f>
        <v>0</v>
      </c>
      <c r="E53" s="588"/>
      <c r="F53" s="155" t="s">
        <v>422</v>
      </c>
      <c r="G53" s="155"/>
      <c r="H53" s="155"/>
      <c r="I53" s="155"/>
      <c r="J53" s="155"/>
      <c r="K53" s="155"/>
      <c r="L53" s="155"/>
      <c r="M53" s="155"/>
      <c r="N53" s="155"/>
      <c r="O53" s="155"/>
      <c r="P53" s="158"/>
      <c r="Q53" s="158"/>
      <c r="R53" s="158"/>
      <c r="S53" s="159"/>
      <c r="T53" s="34"/>
      <c r="U53" s="34"/>
      <c r="V53" s="34"/>
      <c r="W53" s="34"/>
      <c r="X53" s="34"/>
      <c r="Y53" s="34"/>
      <c r="Z53" s="34"/>
    </row>
    <row r="54" spans="1:26" ht="12.75" customHeight="1">
      <c r="A54" s="172"/>
      <c r="B54" s="175"/>
      <c r="C54" s="175"/>
      <c r="D54" s="175"/>
      <c r="E54" s="175"/>
      <c r="F54" s="175"/>
      <c r="G54" s="175"/>
      <c r="H54" s="175"/>
      <c r="I54" s="175"/>
      <c r="J54" s="175"/>
      <c r="K54" s="175"/>
      <c r="L54" s="175"/>
      <c r="M54" s="175"/>
      <c r="N54" s="175"/>
      <c r="O54" s="175"/>
      <c r="P54" s="175"/>
      <c r="Q54" s="175"/>
      <c r="R54" s="175"/>
      <c r="S54" s="176"/>
      <c r="T54" s="34"/>
      <c r="U54" s="34"/>
      <c r="V54" s="34"/>
      <c r="W54" s="34"/>
      <c r="X54" s="34"/>
      <c r="Y54" s="34"/>
      <c r="Z54" s="34"/>
    </row>
    <row r="55" spans="1:26" ht="12.75" customHeight="1">
      <c r="A55" s="179" t="s">
        <v>312</v>
      </c>
      <c r="S55" s="141"/>
      <c r="T55" s="34"/>
      <c r="U55" s="34"/>
      <c r="V55" s="34"/>
      <c r="W55" s="34"/>
      <c r="X55" s="34"/>
      <c r="Y55" s="34"/>
      <c r="Z55" s="34"/>
    </row>
    <row r="56" spans="1:26" ht="12.75" customHeight="1">
      <c r="A56" s="155" t="s">
        <v>434</v>
      </c>
      <c r="S56" s="141"/>
      <c r="T56" s="34"/>
      <c r="U56" s="34"/>
      <c r="V56" s="34"/>
      <c r="W56" s="34"/>
      <c r="X56" s="34"/>
      <c r="Y56" s="34"/>
      <c r="Z56" s="34"/>
    </row>
    <row r="57" spans="1:26" ht="12.75" customHeight="1">
      <c r="A57" s="155" t="s">
        <v>315</v>
      </c>
      <c r="B57" s="34"/>
      <c r="C57" s="34"/>
      <c r="D57" s="34"/>
      <c r="E57" s="34"/>
      <c r="F57" s="34"/>
      <c r="G57" s="34"/>
      <c r="H57" s="34"/>
      <c r="I57" s="34"/>
      <c r="J57" s="34"/>
      <c r="K57" s="34"/>
      <c r="L57" s="34"/>
      <c r="M57" s="34"/>
      <c r="N57" s="34"/>
      <c r="O57" s="34"/>
      <c r="P57" s="34"/>
      <c r="Q57" s="34"/>
      <c r="R57" s="34"/>
      <c r="S57" s="141"/>
      <c r="T57" s="34"/>
      <c r="U57" s="34"/>
      <c r="V57" s="34"/>
      <c r="W57" s="34"/>
      <c r="X57" s="34"/>
      <c r="Y57" s="34"/>
      <c r="Z57" s="34"/>
    </row>
    <row r="58" spans="1:26" ht="12.75" customHeight="1">
      <c r="A58" s="80"/>
      <c r="B58" s="34"/>
      <c r="C58" s="34"/>
      <c r="D58" s="34"/>
      <c r="E58" s="34"/>
      <c r="F58" s="34"/>
      <c r="G58" s="34"/>
      <c r="H58" s="34"/>
      <c r="I58" s="34"/>
      <c r="J58" s="34"/>
      <c r="K58" s="34"/>
      <c r="L58" s="34"/>
      <c r="M58" s="34"/>
      <c r="N58" s="34"/>
      <c r="O58" s="34"/>
      <c r="P58" s="34"/>
      <c r="Q58" s="34"/>
      <c r="R58" s="34"/>
      <c r="S58" s="141"/>
      <c r="T58" s="34"/>
      <c r="U58" s="34"/>
      <c r="V58" s="34"/>
      <c r="W58" s="34"/>
      <c r="X58" s="34"/>
      <c r="Y58" s="34"/>
      <c r="Z58" s="34"/>
    </row>
    <row r="59" spans="1:26" ht="12.75" customHeight="1">
      <c r="A59" s="80"/>
      <c r="B59" s="180"/>
      <c r="C59" s="181" t="s">
        <v>316</v>
      </c>
      <c r="D59" s="182" t="s">
        <v>317</v>
      </c>
      <c r="H59" s="686"/>
      <c r="I59" s="598"/>
      <c r="S59" s="141"/>
      <c r="T59" s="34"/>
      <c r="U59" s="34"/>
      <c r="V59" s="34"/>
      <c r="W59" s="34"/>
      <c r="X59" s="34"/>
      <c r="Y59" s="34"/>
      <c r="Z59" s="34"/>
    </row>
    <row r="60" spans="1:26" ht="12.75" customHeight="1">
      <c r="A60" s="80"/>
      <c r="B60" s="43">
        <v>1</v>
      </c>
      <c r="C60" s="186"/>
      <c r="D60" s="187"/>
      <c r="G60" s="34"/>
      <c r="H60" s="201"/>
      <c r="I60" s="201"/>
      <c r="S60" s="141"/>
      <c r="T60" s="34"/>
      <c r="U60" s="34"/>
      <c r="V60" s="34"/>
      <c r="W60" s="34"/>
      <c r="X60" s="34"/>
      <c r="Y60" s="34"/>
      <c r="Z60" s="34"/>
    </row>
    <row r="61" spans="1:26" ht="12.75" customHeight="1">
      <c r="A61" s="80"/>
      <c r="B61" s="43">
        <v>2</v>
      </c>
      <c r="C61" s="191"/>
      <c r="D61" s="192"/>
      <c r="G61" s="34"/>
      <c r="S61" s="141"/>
      <c r="T61" s="34"/>
      <c r="U61" s="34"/>
      <c r="V61" s="34"/>
      <c r="W61" s="34"/>
      <c r="X61" s="34"/>
      <c r="Y61" s="34"/>
      <c r="Z61" s="34"/>
    </row>
    <row r="62" spans="1:26" ht="12.75" customHeight="1">
      <c r="A62" s="80"/>
      <c r="B62" s="43">
        <v>3</v>
      </c>
      <c r="C62" s="191"/>
      <c r="D62" s="192"/>
      <c r="G62" s="34"/>
      <c r="S62" s="141"/>
      <c r="T62" s="34"/>
      <c r="U62" s="34"/>
      <c r="V62" s="34"/>
      <c r="W62" s="34"/>
      <c r="X62" s="34"/>
      <c r="Y62" s="34"/>
      <c r="Z62" s="34"/>
    </row>
    <row r="63" spans="1:26" ht="12.75" customHeight="1">
      <c r="A63" s="80"/>
      <c r="B63" s="43">
        <v>4</v>
      </c>
      <c r="C63" s="191"/>
      <c r="D63" s="192"/>
      <c r="S63" s="141"/>
      <c r="T63" s="34"/>
      <c r="U63" s="34"/>
      <c r="V63" s="34"/>
      <c r="W63" s="34"/>
      <c r="X63" s="34"/>
      <c r="Y63" s="34"/>
      <c r="Z63" s="34"/>
    </row>
    <row r="64" spans="1:26" ht="12.75" customHeight="1">
      <c r="A64" s="80"/>
      <c r="B64" s="43">
        <v>5</v>
      </c>
      <c r="C64" s="191"/>
      <c r="D64" s="192"/>
      <c r="S64" s="141"/>
      <c r="T64" s="34"/>
      <c r="U64" s="34"/>
      <c r="V64" s="34"/>
      <c r="W64" s="34"/>
      <c r="X64" s="34"/>
      <c r="Y64" s="34"/>
      <c r="Z64" s="34"/>
    </row>
    <row r="65" spans="1:26" ht="12.75" customHeight="1">
      <c r="A65" s="80"/>
      <c r="B65" s="43">
        <v>6</v>
      </c>
      <c r="C65" s="191"/>
      <c r="D65" s="192"/>
      <c r="S65" s="141"/>
      <c r="T65" s="34"/>
      <c r="U65" s="34"/>
      <c r="V65" s="34"/>
      <c r="W65" s="34"/>
      <c r="X65" s="34"/>
      <c r="Y65" s="34"/>
      <c r="Z65" s="34"/>
    </row>
    <row r="66" spans="1:26" ht="12.75" customHeight="1">
      <c r="A66" s="80"/>
      <c r="B66" s="43">
        <v>7</v>
      </c>
      <c r="C66" s="191"/>
      <c r="D66" s="192"/>
      <c r="S66" s="141"/>
      <c r="T66" s="34"/>
      <c r="U66" s="34"/>
      <c r="V66" s="34"/>
      <c r="W66" s="34"/>
      <c r="X66" s="34"/>
      <c r="Y66" s="34"/>
      <c r="Z66" s="34"/>
    </row>
    <row r="67" spans="1:26" ht="12.75" customHeight="1">
      <c r="A67" s="80"/>
      <c r="B67" s="43">
        <v>8</v>
      </c>
      <c r="C67" s="191"/>
      <c r="D67" s="192"/>
      <c r="S67" s="141"/>
      <c r="T67" s="34"/>
      <c r="U67" s="34"/>
      <c r="V67" s="34"/>
      <c r="W67" s="34"/>
      <c r="X67" s="34"/>
      <c r="Y67" s="34"/>
      <c r="Z67" s="34"/>
    </row>
    <row r="68" spans="1:26" ht="12.75" customHeight="1">
      <c r="A68" s="80"/>
      <c r="B68" s="43">
        <v>9</v>
      </c>
      <c r="C68" s="191"/>
      <c r="D68" s="192"/>
      <c r="S68" s="141"/>
      <c r="T68" s="34"/>
      <c r="U68" s="34"/>
      <c r="V68" s="34"/>
      <c r="W68" s="34"/>
      <c r="X68" s="34"/>
      <c r="Y68" s="34"/>
      <c r="Z68" s="34"/>
    </row>
    <row r="69" spans="1:26" ht="12.75" customHeight="1">
      <c r="A69" s="80"/>
      <c r="B69" s="43">
        <v>10</v>
      </c>
      <c r="C69" s="191"/>
      <c r="D69" s="192"/>
      <c r="S69" s="141"/>
      <c r="T69" s="34"/>
      <c r="U69" s="34"/>
      <c r="V69" s="34"/>
      <c r="W69" s="34"/>
      <c r="X69" s="34"/>
      <c r="Y69" s="34"/>
      <c r="Z69" s="34"/>
    </row>
    <row r="70" spans="1:26" ht="12.75" customHeight="1">
      <c r="A70" s="80"/>
      <c r="B70" s="43">
        <v>11</v>
      </c>
      <c r="C70" s="191"/>
      <c r="D70" s="192"/>
      <c r="S70" s="141"/>
      <c r="T70" s="34"/>
      <c r="U70" s="34"/>
      <c r="V70" s="34"/>
      <c r="W70" s="34"/>
      <c r="X70" s="34"/>
      <c r="Y70" s="34"/>
      <c r="Z70" s="34"/>
    </row>
    <row r="71" spans="1:26" ht="12.75" customHeight="1">
      <c r="A71" s="80"/>
      <c r="B71" s="43">
        <v>12</v>
      </c>
      <c r="C71" s="191"/>
      <c r="D71" s="192"/>
      <c r="S71" s="141"/>
      <c r="T71" s="34"/>
      <c r="U71" s="34"/>
      <c r="V71" s="34"/>
      <c r="W71" s="34"/>
      <c r="X71" s="34"/>
      <c r="Y71" s="34"/>
      <c r="Z71" s="34"/>
    </row>
    <row r="72" spans="1:26" ht="12.75" customHeight="1">
      <c r="A72" s="80"/>
      <c r="B72" s="43">
        <v>13</v>
      </c>
      <c r="C72" s="191"/>
      <c r="D72" s="192"/>
      <c r="S72" s="141"/>
      <c r="T72" s="34"/>
      <c r="U72" s="34"/>
      <c r="V72" s="34"/>
      <c r="W72" s="34"/>
      <c r="X72" s="34"/>
      <c r="Y72" s="34"/>
      <c r="Z72" s="34"/>
    </row>
    <row r="73" spans="1:26" ht="12.75" customHeight="1">
      <c r="A73" s="80"/>
      <c r="B73" s="43">
        <v>14</v>
      </c>
      <c r="C73" s="191"/>
      <c r="D73" s="192"/>
      <c r="S73" s="141"/>
      <c r="T73" s="34"/>
      <c r="U73" s="34"/>
      <c r="V73" s="34"/>
      <c r="W73" s="34"/>
      <c r="X73" s="34"/>
      <c r="Y73" s="34"/>
      <c r="Z73" s="34"/>
    </row>
    <row r="74" spans="1:26" ht="12.75" customHeight="1">
      <c r="A74" s="80"/>
      <c r="B74" s="43">
        <v>15</v>
      </c>
      <c r="C74" s="191"/>
      <c r="D74" s="192"/>
      <c r="S74" s="141"/>
      <c r="T74" s="34"/>
      <c r="U74" s="34"/>
      <c r="V74" s="34"/>
      <c r="W74" s="34"/>
      <c r="X74" s="34"/>
      <c r="Y74" s="34"/>
      <c r="Z74" s="34"/>
    </row>
    <row r="75" spans="1:26" ht="12.75" customHeight="1">
      <c r="A75" s="80"/>
      <c r="B75" s="43">
        <v>16</v>
      </c>
      <c r="C75" s="191"/>
      <c r="D75" s="192"/>
      <c r="S75" s="141"/>
      <c r="T75" s="34"/>
      <c r="U75" s="34"/>
      <c r="V75" s="34"/>
      <c r="W75" s="34"/>
      <c r="X75" s="34"/>
      <c r="Y75" s="34"/>
      <c r="Z75" s="34"/>
    </row>
    <row r="76" spans="1:26" ht="12.75" customHeight="1">
      <c r="A76" s="80"/>
      <c r="B76" s="43">
        <v>17</v>
      </c>
      <c r="C76" s="191"/>
      <c r="D76" s="192"/>
      <c r="S76" s="141"/>
      <c r="T76" s="34"/>
      <c r="U76" s="34"/>
      <c r="V76" s="34"/>
      <c r="W76" s="34"/>
      <c r="X76" s="34"/>
      <c r="Y76" s="34"/>
      <c r="Z76" s="34"/>
    </row>
    <row r="77" spans="1:26" ht="12.75" customHeight="1">
      <c r="A77" s="80"/>
      <c r="B77" s="43">
        <v>18</v>
      </c>
      <c r="C77" s="191"/>
      <c r="D77" s="192"/>
      <c r="S77" s="141"/>
      <c r="T77" s="34"/>
      <c r="U77" s="34"/>
      <c r="V77" s="34"/>
      <c r="W77" s="34"/>
      <c r="X77" s="34"/>
      <c r="Y77" s="34"/>
      <c r="Z77" s="34"/>
    </row>
    <row r="78" spans="1:26" ht="12.75" customHeight="1">
      <c r="A78" s="80"/>
      <c r="B78" s="43">
        <v>19</v>
      </c>
      <c r="C78" s="191"/>
      <c r="D78" s="192"/>
      <c r="S78" s="141"/>
      <c r="T78" s="34"/>
      <c r="U78" s="34"/>
      <c r="V78" s="34"/>
      <c r="W78" s="34"/>
      <c r="X78" s="34"/>
      <c r="Y78" s="34"/>
      <c r="Z78" s="34"/>
    </row>
    <row r="79" spans="1:26" ht="12.75" customHeight="1">
      <c r="A79" s="80"/>
      <c r="B79" s="43">
        <v>20</v>
      </c>
      <c r="C79" s="191"/>
      <c r="D79" s="192"/>
      <c r="S79" s="141"/>
      <c r="T79" s="34"/>
      <c r="U79" s="34"/>
      <c r="V79" s="34"/>
      <c r="W79" s="34"/>
      <c r="X79" s="34"/>
      <c r="Y79" s="34"/>
      <c r="Z79" s="34"/>
    </row>
    <row r="80" spans="1:26" ht="12.75" customHeight="1">
      <c r="A80" s="80"/>
      <c r="B80" s="43">
        <v>21</v>
      </c>
      <c r="C80" s="191"/>
      <c r="D80" s="192"/>
      <c r="S80" s="141"/>
      <c r="T80" s="34"/>
      <c r="U80" s="34"/>
      <c r="V80" s="34"/>
      <c r="W80" s="34"/>
      <c r="X80" s="34"/>
      <c r="Y80" s="34"/>
      <c r="Z80" s="34"/>
    </row>
    <row r="81" spans="1:26" ht="12.75" customHeight="1">
      <c r="A81" s="80"/>
      <c r="B81" s="43">
        <v>22</v>
      </c>
      <c r="C81" s="191"/>
      <c r="D81" s="192"/>
      <c r="S81" s="141"/>
      <c r="T81" s="34"/>
      <c r="U81" s="34"/>
      <c r="V81" s="34"/>
      <c r="W81" s="34"/>
      <c r="X81" s="34"/>
      <c r="Y81" s="34"/>
      <c r="Z81" s="34"/>
    </row>
    <row r="82" spans="1:26" ht="12.75" customHeight="1">
      <c r="A82" s="80"/>
      <c r="B82" s="43">
        <v>23</v>
      </c>
      <c r="C82" s="191"/>
      <c r="D82" s="192"/>
      <c r="S82" s="141"/>
      <c r="T82" s="34"/>
      <c r="U82" s="34"/>
      <c r="V82" s="34"/>
      <c r="W82" s="34"/>
      <c r="X82" s="34"/>
      <c r="Y82" s="34"/>
      <c r="Z82" s="34"/>
    </row>
    <row r="83" spans="1:26" ht="12.75" customHeight="1">
      <c r="A83" s="80"/>
      <c r="B83" s="43">
        <v>24</v>
      </c>
      <c r="C83" s="191"/>
      <c r="D83" s="192"/>
      <c r="S83" s="141"/>
      <c r="T83" s="34"/>
      <c r="U83" s="34"/>
      <c r="V83" s="34"/>
      <c r="W83" s="34"/>
      <c r="X83" s="34"/>
      <c r="Y83" s="34"/>
      <c r="Z83" s="34"/>
    </row>
    <row r="84" spans="1:26" ht="12.75" customHeight="1">
      <c r="A84" s="80"/>
      <c r="B84" s="43">
        <v>25</v>
      </c>
      <c r="C84" s="191"/>
      <c r="D84" s="192"/>
      <c r="S84" s="141"/>
      <c r="T84" s="34"/>
      <c r="U84" s="34"/>
      <c r="V84" s="34"/>
      <c r="W84" s="34"/>
      <c r="X84" s="34"/>
      <c r="Y84" s="34"/>
      <c r="Z84" s="34"/>
    </row>
    <row r="85" spans="1:26" ht="12.75" customHeight="1">
      <c r="A85" s="80"/>
      <c r="B85" s="43">
        <v>26</v>
      </c>
      <c r="C85" s="191"/>
      <c r="D85" s="192"/>
      <c r="S85" s="141"/>
      <c r="T85" s="34"/>
      <c r="U85" s="34"/>
      <c r="V85" s="34"/>
      <c r="W85" s="34"/>
      <c r="X85" s="34"/>
      <c r="Y85" s="34"/>
      <c r="Z85" s="34"/>
    </row>
    <row r="86" spans="1:26" ht="12.75" customHeight="1">
      <c r="A86" s="80"/>
      <c r="B86" s="43">
        <v>27</v>
      </c>
      <c r="C86" s="191"/>
      <c r="D86" s="192"/>
      <c r="S86" s="141"/>
      <c r="T86" s="34"/>
      <c r="U86" s="34"/>
      <c r="V86" s="34"/>
      <c r="W86" s="34"/>
      <c r="X86" s="34"/>
      <c r="Y86" s="34"/>
      <c r="Z86" s="34"/>
    </row>
    <row r="87" spans="1:26" ht="12.75" customHeight="1">
      <c r="A87" s="80"/>
      <c r="B87" s="43">
        <v>28</v>
      </c>
      <c r="C87" s="191"/>
      <c r="D87" s="192"/>
      <c r="S87" s="141"/>
      <c r="T87" s="34"/>
      <c r="U87" s="34"/>
      <c r="V87" s="34"/>
      <c r="W87" s="34"/>
      <c r="X87" s="34"/>
      <c r="Y87" s="34"/>
      <c r="Z87" s="34"/>
    </row>
    <row r="88" spans="1:26" ht="12.75" customHeight="1">
      <c r="A88" s="80"/>
      <c r="B88" s="43">
        <v>29</v>
      </c>
      <c r="C88" s="191"/>
      <c r="D88" s="192"/>
      <c r="S88" s="141"/>
      <c r="T88" s="34"/>
      <c r="U88" s="34"/>
      <c r="V88" s="34"/>
      <c r="W88" s="34"/>
      <c r="X88" s="34"/>
      <c r="Y88" s="34"/>
      <c r="Z88" s="34"/>
    </row>
    <row r="89" spans="1:26" ht="12.75" customHeight="1">
      <c r="A89" s="80"/>
      <c r="B89" s="43">
        <v>30</v>
      </c>
      <c r="C89" s="191"/>
      <c r="D89" s="192"/>
      <c r="S89" s="141"/>
      <c r="T89" s="34"/>
      <c r="U89" s="34"/>
      <c r="V89" s="34"/>
      <c r="W89" s="34"/>
      <c r="X89" s="34"/>
      <c r="Y89" s="34"/>
      <c r="Z89" s="34"/>
    </row>
    <row r="90" spans="1:26" ht="12.75" customHeight="1">
      <c r="A90" s="80"/>
      <c r="B90" s="43">
        <v>31</v>
      </c>
      <c r="C90" s="191"/>
      <c r="D90" s="192"/>
      <c r="S90" s="141"/>
      <c r="T90" s="34"/>
      <c r="U90" s="34"/>
      <c r="V90" s="34"/>
      <c r="W90" s="34"/>
      <c r="X90" s="34"/>
      <c r="Y90" s="34"/>
      <c r="Z90" s="34"/>
    </row>
    <row r="91" spans="1:26" ht="12.75" customHeight="1">
      <c r="A91" s="80"/>
      <c r="B91" s="43">
        <v>32</v>
      </c>
      <c r="C91" s="191"/>
      <c r="D91" s="192"/>
      <c r="S91" s="141"/>
      <c r="T91" s="34"/>
      <c r="U91" s="34"/>
      <c r="V91" s="34"/>
      <c r="W91" s="34"/>
      <c r="X91" s="34"/>
      <c r="Y91" s="34"/>
      <c r="Z91" s="34"/>
    </row>
    <row r="92" spans="1:26" ht="12.75" customHeight="1">
      <c r="A92" s="80"/>
      <c r="B92" s="43">
        <v>33</v>
      </c>
      <c r="C92" s="191"/>
      <c r="D92" s="192"/>
      <c r="S92" s="141"/>
      <c r="T92" s="34"/>
      <c r="U92" s="34"/>
      <c r="V92" s="34"/>
      <c r="W92" s="34"/>
      <c r="X92" s="34"/>
      <c r="Y92" s="34"/>
      <c r="Z92" s="34"/>
    </row>
    <row r="93" spans="1:26" ht="12.75" customHeight="1">
      <c r="A93" s="80"/>
      <c r="B93" s="43">
        <v>34</v>
      </c>
      <c r="C93" s="191"/>
      <c r="D93" s="192"/>
      <c r="S93" s="141"/>
      <c r="T93" s="34"/>
      <c r="U93" s="34"/>
      <c r="V93" s="34"/>
      <c r="W93" s="34"/>
      <c r="X93" s="34"/>
      <c r="Y93" s="34"/>
      <c r="Z93" s="34"/>
    </row>
    <row r="94" spans="1:26" ht="12.75" customHeight="1">
      <c r="A94" s="80"/>
      <c r="B94" s="43">
        <v>35</v>
      </c>
      <c r="C94" s="191"/>
      <c r="D94" s="192"/>
      <c r="S94" s="141"/>
      <c r="T94" s="34"/>
      <c r="U94" s="34"/>
      <c r="V94" s="34"/>
      <c r="W94" s="34"/>
      <c r="X94" s="34"/>
      <c r="Y94" s="34"/>
      <c r="Z94" s="34"/>
    </row>
    <row r="95" spans="1:26" ht="12.75" customHeight="1">
      <c r="A95" s="80"/>
      <c r="B95" s="43">
        <v>36</v>
      </c>
      <c r="C95" s="191"/>
      <c r="D95" s="192"/>
      <c r="S95" s="141"/>
      <c r="T95" s="34"/>
      <c r="U95" s="34"/>
      <c r="V95" s="34"/>
      <c r="W95" s="34"/>
      <c r="X95" s="34"/>
      <c r="Y95" s="34"/>
      <c r="Z95" s="34"/>
    </row>
    <row r="96" spans="1:26" ht="12.75" customHeight="1">
      <c r="A96" s="80"/>
      <c r="B96" s="43">
        <v>37</v>
      </c>
      <c r="C96" s="191"/>
      <c r="D96" s="192"/>
      <c r="S96" s="141"/>
      <c r="T96" s="34"/>
      <c r="U96" s="34"/>
      <c r="V96" s="34"/>
      <c r="W96" s="34"/>
      <c r="X96" s="34"/>
      <c r="Y96" s="34"/>
      <c r="Z96" s="34"/>
    </row>
    <row r="97" spans="1:26" ht="12.75" customHeight="1">
      <c r="A97" s="80"/>
      <c r="B97" s="43">
        <v>38</v>
      </c>
      <c r="C97" s="191"/>
      <c r="D97" s="192"/>
      <c r="S97" s="141"/>
      <c r="T97" s="34"/>
      <c r="U97" s="34"/>
      <c r="V97" s="34"/>
      <c r="W97" s="34"/>
      <c r="X97" s="34"/>
      <c r="Y97" s="34"/>
      <c r="Z97" s="34"/>
    </row>
    <row r="98" spans="1:26" ht="12.75" customHeight="1">
      <c r="A98" s="80"/>
      <c r="B98" s="43">
        <v>39</v>
      </c>
      <c r="C98" s="191"/>
      <c r="D98" s="192"/>
      <c r="S98" s="141"/>
      <c r="T98" s="34"/>
      <c r="U98" s="34"/>
      <c r="V98" s="34"/>
      <c r="W98" s="34"/>
      <c r="X98" s="34"/>
      <c r="Y98" s="34"/>
      <c r="Z98" s="34"/>
    </row>
    <row r="99" spans="1:26" ht="12.75" customHeight="1">
      <c r="A99" s="80"/>
      <c r="B99" s="43">
        <v>40</v>
      </c>
      <c r="C99" s="191"/>
      <c r="D99" s="192"/>
      <c r="S99" s="141"/>
      <c r="T99" s="34"/>
      <c r="U99" s="34"/>
      <c r="V99" s="34"/>
      <c r="W99" s="34"/>
      <c r="X99" s="34"/>
      <c r="Y99" s="34"/>
      <c r="Z99" s="34"/>
    </row>
    <row r="100" spans="1:26" ht="12.75" customHeight="1">
      <c r="A100" s="80"/>
      <c r="B100" s="43">
        <v>41</v>
      </c>
      <c r="C100" s="191"/>
      <c r="D100" s="192"/>
      <c r="S100" s="141"/>
      <c r="T100" s="34"/>
      <c r="U100" s="34"/>
      <c r="V100" s="34"/>
      <c r="W100" s="34"/>
      <c r="X100" s="34"/>
      <c r="Y100" s="34"/>
      <c r="Z100" s="34"/>
    </row>
    <row r="101" spans="1:26" ht="12.75" customHeight="1">
      <c r="A101" s="80"/>
      <c r="B101" s="43">
        <v>42</v>
      </c>
      <c r="C101" s="191"/>
      <c r="D101" s="192"/>
      <c r="S101" s="141"/>
      <c r="T101" s="34"/>
      <c r="U101" s="34"/>
      <c r="V101" s="34"/>
      <c r="W101" s="34"/>
      <c r="X101" s="34"/>
      <c r="Y101" s="34"/>
      <c r="Z101" s="34"/>
    </row>
    <row r="102" spans="1:26" ht="12.75" customHeight="1">
      <c r="A102" s="80"/>
      <c r="B102" s="43">
        <v>43</v>
      </c>
      <c r="C102" s="191"/>
      <c r="D102" s="192"/>
      <c r="S102" s="141"/>
      <c r="T102" s="34"/>
      <c r="U102" s="34"/>
      <c r="V102" s="34"/>
      <c r="W102" s="34"/>
      <c r="X102" s="34"/>
      <c r="Y102" s="34"/>
      <c r="Z102" s="34"/>
    </row>
    <row r="103" spans="1:26" ht="12.75" customHeight="1">
      <c r="A103" s="80"/>
      <c r="B103" s="43">
        <v>44</v>
      </c>
      <c r="C103" s="191"/>
      <c r="D103" s="192"/>
      <c r="S103" s="141"/>
      <c r="T103" s="34"/>
      <c r="U103" s="34"/>
      <c r="V103" s="34"/>
      <c r="W103" s="34"/>
      <c r="X103" s="34"/>
      <c r="Y103" s="34"/>
      <c r="Z103" s="34"/>
    </row>
    <row r="104" spans="1:26" ht="12.75" customHeight="1">
      <c r="A104" s="80"/>
      <c r="B104" s="43">
        <v>45</v>
      </c>
      <c r="C104" s="191"/>
      <c r="D104" s="192"/>
      <c r="S104" s="141"/>
      <c r="T104" s="34"/>
      <c r="U104" s="34"/>
      <c r="V104" s="34"/>
      <c r="W104" s="34"/>
      <c r="X104" s="34"/>
      <c r="Y104" s="34"/>
      <c r="Z104" s="34"/>
    </row>
    <row r="105" spans="1:26" ht="12.75" customHeight="1">
      <c r="A105" s="80"/>
      <c r="B105" s="43">
        <v>46</v>
      </c>
      <c r="C105" s="191"/>
      <c r="D105" s="192"/>
      <c r="S105" s="141"/>
      <c r="T105" s="34"/>
      <c r="U105" s="34"/>
      <c r="V105" s="34"/>
      <c r="W105" s="34"/>
      <c r="X105" s="34"/>
      <c r="Y105" s="34"/>
      <c r="Z105" s="34"/>
    </row>
    <row r="106" spans="1:26" ht="12.75" customHeight="1">
      <c r="A106" s="80"/>
      <c r="B106" s="43">
        <v>47</v>
      </c>
      <c r="C106" s="191"/>
      <c r="D106" s="192"/>
      <c r="S106" s="141"/>
      <c r="T106" s="34"/>
      <c r="U106" s="34"/>
      <c r="V106" s="34"/>
      <c r="W106" s="34"/>
      <c r="X106" s="34"/>
      <c r="Y106" s="34"/>
      <c r="Z106" s="34"/>
    </row>
    <row r="107" spans="1:26" ht="12.75" customHeight="1">
      <c r="A107" s="80"/>
      <c r="B107" s="43">
        <v>48</v>
      </c>
      <c r="C107" s="191"/>
      <c r="D107" s="192"/>
      <c r="S107" s="141"/>
      <c r="T107" s="34"/>
      <c r="U107" s="34"/>
      <c r="V107" s="34"/>
      <c r="W107" s="34"/>
      <c r="X107" s="34"/>
      <c r="Y107" s="34"/>
      <c r="Z107" s="34"/>
    </row>
    <row r="108" spans="1:26" ht="12.75" customHeight="1">
      <c r="A108" s="80"/>
      <c r="B108" s="43">
        <v>49</v>
      </c>
      <c r="C108" s="191"/>
      <c r="D108" s="192"/>
      <c r="S108" s="141"/>
      <c r="T108" s="34"/>
      <c r="U108" s="34"/>
      <c r="V108" s="34"/>
      <c r="W108" s="34"/>
      <c r="X108" s="34"/>
      <c r="Y108" s="34"/>
      <c r="Z108" s="34"/>
    </row>
    <row r="109" spans="1:26" ht="12.75" customHeight="1">
      <c r="A109" s="80"/>
      <c r="B109" s="43">
        <v>50</v>
      </c>
      <c r="C109" s="191"/>
      <c r="D109" s="192"/>
      <c r="S109" s="141"/>
      <c r="T109" s="34"/>
      <c r="U109" s="34"/>
      <c r="V109" s="34"/>
      <c r="W109" s="34"/>
      <c r="X109" s="34"/>
      <c r="Y109" s="34"/>
      <c r="Z109" s="34"/>
    </row>
    <row r="110" spans="1:26" ht="12.75" customHeight="1">
      <c r="A110" s="80"/>
      <c r="B110" s="43">
        <v>51</v>
      </c>
      <c r="C110" s="191"/>
      <c r="D110" s="192"/>
      <c r="S110" s="141"/>
      <c r="T110" s="34"/>
      <c r="U110" s="34"/>
      <c r="V110" s="34"/>
      <c r="W110" s="34"/>
      <c r="X110" s="34"/>
      <c r="Y110" s="34"/>
      <c r="Z110" s="34"/>
    </row>
    <row r="111" spans="1:26" ht="12.75" customHeight="1">
      <c r="A111" s="80"/>
      <c r="B111" s="43">
        <v>52</v>
      </c>
      <c r="C111" s="191"/>
      <c r="D111" s="192"/>
      <c r="S111" s="141"/>
      <c r="T111" s="34"/>
      <c r="U111" s="34"/>
      <c r="V111" s="34"/>
      <c r="W111" s="34"/>
      <c r="X111" s="34"/>
      <c r="Y111" s="34"/>
      <c r="Z111" s="34"/>
    </row>
    <row r="112" spans="1:26" ht="12.75" customHeight="1">
      <c r="A112" s="80"/>
      <c r="B112" s="43">
        <v>53</v>
      </c>
      <c r="C112" s="191"/>
      <c r="D112" s="192"/>
      <c r="S112" s="141"/>
      <c r="T112" s="34"/>
      <c r="U112" s="34"/>
      <c r="V112" s="34"/>
      <c r="W112" s="34"/>
      <c r="X112" s="34"/>
      <c r="Y112" s="34"/>
      <c r="Z112" s="34"/>
    </row>
    <row r="113" spans="1:26" ht="12.75" customHeight="1">
      <c r="A113" s="80"/>
      <c r="B113" s="43">
        <v>54</v>
      </c>
      <c r="C113" s="191"/>
      <c r="D113" s="192"/>
      <c r="S113" s="141"/>
      <c r="T113" s="34"/>
      <c r="U113" s="34"/>
      <c r="V113" s="34"/>
      <c r="W113" s="34"/>
      <c r="X113" s="34"/>
      <c r="Y113" s="34"/>
      <c r="Z113" s="34"/>
    </row>
    <row r="114" spans="1:26" ht="12.75" customHeight="1">
      <c r="A114" s="80"/>
      <c r="B114" s="43">
        <v>55</v>
      </c>
      <c r="C114" s="191"/>
      <c r="D114" s="192"/>
      <c r="S114" s="141"/>
      <c r="T114" s="34"/>
      <c r="U114" s="34"/>
      <c r="V114" s="34"/>
      <c r="W114" s="34"/>
      <c r="X114" s="34"/>
      <c r="Y114" s="34"/>
      <c r="Z114" s="34"/>
    </row>
    <row r="115" spans="1:26" ht="12.75" customHeight="1">
      <c r="A115" s="80"/>
      <c r="B115" s="43">
        <v>56</v>
      </c>
      <c r="C115" s="191"/>
      <c r="D115" s="192"/>
      <c r="S115" s="141"/>
      <c r="T115" s="34"/>
      <c r="U115" s="34"/>
      <c r="V115" s="34"/>
      <c r="W115" s="34"/>
      <c r="X115" s="34"/>
      <c r="Y115" s="34"/>
      <c r="Z115" s="34"/>
    </row>
    <row r="116" spans="1:26" ht="12.75" customHeight="1">
      <c r="A116" s="80"/>
      <c r="B116" s="43">
        <v>57</v>
      </c>
      <c r="C116" s="191"/>
      <c r="D116" s="192"/>
      <c r="S116" s="141"/>
      <c r="T116" s="34"/>
      <c r="U116" s="34"/>
      <c r="V116" s="34"/>
      <c r="W116" s="34"/>
      <c r="X116" s="34"/>
      <c r="Y116" s="34"/>
      <c r="Z116" s="34"/>
    </row>
    <row r="117" spans="1:26" ht="12.75" customHeight="1">
      <c r="A117" s="80"/>
      <c r="B117" s="43">
        <v>58</v>
      </c>
      <c r="C117" s="191"/>
      <c r="D117" s="192"/>
      <c r="S117" s="141"/>
      <c r="T117" s="34"/>
      <c r="U117" s="34"/>
      <c r="V117" s="34"/>
      <c r="W117" s="34"/>
      <c r="X117" s="34"/>
      <c r="Y117" s="34"/>
      <c r="Z117" s="34"/>
    </row>
    <row r="118" spans="1:26" ht="12.75" customHeight="1">
      <c r="A118" s="80"/>
      <c r="B118" s="43">
        <v>59</v>
      </c>
      <c r="C118" s="191"/>
      <c r="D118" s="192"/>
      <c r="S118" s="141"/>
      <c r="T118" s="34"/>
      <c r="U118" s="34"/>
      <c r="V118" s="34"/>
      <c r="W118" s="34"/>
      <c r="X118" s="34"/>
      <c r="Y118" s="34"/>
      <c r="Z118" s="34"/>
    </row>
    <row r="119" spans="1:26" ht="12.75" customHeight="1">
      <c r="A119" s="80"/>
      <c r="B119" s="43">
        <v>60</v>
      </c>
      <c r="C119" s="191"/>
      <c r="D119" s="192"/>
      <c r="S119" s="141"/>
      <c r="T119" s="34"/>
      <c r="U119" s="34"/>
      <c r="V119" s="34"/>
      <c r="W119" s="34"/>
      <c r="X119" s="34"/>
      <c r="Y119" s="34"/>
      <c r="Z119" s="34"/>
    </row>
    <row r="120" spans="1:26" ht="12.75" customHeight="1">
      <c r="A120" s="80"/>
      <c r="B120" s="43">
        <v>61</v>
      </c>
      <c r="C120" s="191"/>
      <c r="D120" s="192"/>
      <c r="S120" s="141"/>
      <c r="T120" s="34"/>
      <c r="U120" s="34"/>
      <c r="V120" s="34"/>
      <c r="W120" s="34"/>
      <c r="X120" s="34"/>
      <c r="Y120" s="34"/>
      <c r="Z120" s="34"/>
    </row>
    <row r="121" spans="1:26" ht="12.75" customHeight="1">
      <c r="A121" s="80"/>
      <c r="B121" s="43">
        <v>62</v>
      </c>
      <c r="C121" s="191"/>
      <c r="D121" s="192"/>
      <c r="S121" s="141"/>
      <c r="T121" s="34"/>
      <c r="U121" s="34"/>
      <c r="V121" s="34"/>
      <c r="W121" s="34"/>
      <c r="X121" s="34"/>
      <c r="Y121" s="34"/>
      <c r="Z121" s="34"/>
    </row>
    <row r="122" spans="1:26" ht="12.75" customHeight="1">
      <c r="A122" s="80"/>
      <c r="B122" s="43">
        <v>63</v>
      </c>
      <c r="C122" s="191"/>
      <c r="D122" s="192"/>
      <c r="S122" s="141"/>
      <c r="T122" s="34"/>
      <c r="U122" s="34"/>
      <c r="V122" s="34"/>
      <c r="W122" s="34"/>
      <c r="X122" s="34"/>
      <c r="Y122" s="34"/>
      <c r="Z122" s="34"/>
    </row>
    <row r="123" spans="1:26" ht="12.75" customHeight="1">
      <c r="A123" s="80"/>
      <c r="B123" s="43">
        <v>64</v>
      </c>
      <c r="C123" s="191"/>
      <c r="D123" s="192"/>
      <c r="S123" s="141"/>
      <c r="T123" s="34"/>
      <c r="U123" s="34"/>
      <c r="V123" s="34"/>
      <c r="W123" s="34"/>
      <c r="X123" s="34"/>
      <c r="Y123" s="34"/>
      <c r="Z123" s="34"/>
    </row>
    <row r="124" spans="1:26" ht="12.75" customHeight="1">
      <c r="A124" s="80"/>
      <c r="B124" s="43">
        <v>65</v>
      </c>
      <c r="C124" s="191"/>
      <c r="D124" s="192"/>
      <c r="S124" s="141"/>
      <c r="T124" s="34"/>
      <c r="U124" s="34"/>
      <c r="V124" s="34"/>
      <c r="W124" s="34"/>
      <c r="X124" s="34"/>
      <c r="Y124" s="34"/>
      <c r="Z124" s="34"/>
    </row>
    <row r="125" spans="1:26" ht="12.75" customHeight="1">
      <c r="A125" s="80"/>
      <c r="B125" s="43">
        <v>66</v>
      </c>
      <c r="C125" s="191"/>
      <c r="D125" s="192"/>
      <c r="S125" s="141"/>
      <c r="T125" s="34"/>
      <c r="U125" s="34"/>
      <c r="V125" s="34"/>
      <c r="W125" s="34"/>
      <c r="X125" s="34"/>
      <c r="Y125" s="34"/>
      <c r="Z125" s="34"/>
    </row>
    <row r="126" spans="1:26" ht="12.75" customHeight="1">
      <c r="A126" s="80"/>
      <c r="B126" s="43">
        <v>67</v>
      </c>
      <c r="C126" s="191"/>
      <c r="D126" s="192"/>
      <c r="S126" s="141"/>
      <c r="T126" s="34"/>
      <c r="U126" s="34"/>
      <c r="V126" s="34"/>
      <c r="W126" s="34"/>
      <c r="X126" s="34"/>
      <c r="Y126" s="34"/>
      <c r="Z126" s="34"/>
    </row>
    <row r="127" spans="1:26" ht="12.75" customHeight="1">
      <c r="A127" s="80"/>
      <c r="B127" s="43">
        <v>68</v>
      </c>
      <c r="C127" s="191"/>
      <c r="D127" s="192"/>
      <c r="S127" s="141"/>
      <c r="T127" s="34"/>
      <c r="U127" s="34"/>
      <c r="V127" s="34"/>
      <c r="W127" s="34"/>
      <c r="X127" s="34"/>
      <c r="Y127" s="34"/>
      <c r="Z127" s="34"/>
    </row>
    <row r="128" spans="1:26" ht="12.75" customHeight="1">
      <c r="A128" s="80"/>
      <c r="B128" s="43">
        <v>69</v>
      </c>
      <c r="C128" s="191"/>
      <c r="D128" s="192"/>
      <c r="S128" s="141"/>
      <c r="T128" s="34"/>
      <c r="U128" s="34"/>
      <c r="V128" s="34"/>
      <c r="W128" s="34"/>
      <c r="X128" s="34"/>
      <c r="Y128" s="34"/>
      <c r="Z128" s="34"/>
    </row>
    <row r="129" spans="1:26" ht="12.75" customHeight="1">
      <c r="A129" s="80"/>
      <c r="B129" s="43">
        <v>70</v>
      </c>
      <c r="C129" s="191"/>
      <c r="D129" s="192"/>
      <c r="S129" s="141"/>
      <c r="T129" s="34"/>
      <c r="U129" s="34"/>
      <c r="V129" s="34"/>
      <c r="W129" s="34"/>
      <c r="X129" s="34"/>
      <c r="Y129" s="34"/>
      <c r="Z129" s="34"/>
    </row>
    <row r="130" spans="1:26" ht="12.75" customHeight="1">
      <c r="A130" s="80"/>
      <c r="B130" s="43">
        <v>71</v>
      </c>
      <c r="C130" s="191"/>
      <c r="D130" s="192"/>
      <c r="S130" s="141"/>
      <c r="T130" s="34"/>
      <c r="U130" s="34"/>
      <c r="V130" s="34"/>
      <c r="W130" s="34"/>
      <c r="X130" s="34"/>
      <c r="Y130" s="34"/>
      <c r="Z130" s="34"/>
    </row>
    <row r="131" spans="1:26" ht="12.75" customHeight="1">
      <c r="A131" s="80"/>
      <c r="B131" s="43">
        <v>72</v>
      </c>
      <c r="C131" s="191"/>
      <c r="D131" s="192"/>
      <c r="S131" s="141"/>
      <c r="T131" s="34"/>
      <c r="U131" s="34"/>
      <c r="V131" s="34"/>
      <c r="W131" s="34"/>
      <c r="X131" s="34"/>
      <c r="Y131" s="34"/>
      <c r="Z131" s="34"/>
    </row>
    <row r="132" spans="1:26" ht="12.75" customHeight="1">
      <c r="A132" s="80"/>
      <c r="B132" s="43">
        <v>73</v>
      </c>
      <c r="C132" s="191"/>
      <c r="D132" s="192"/>
      <c r="S132" s="141"/>
      <c r="T132" s="34"/>
      <c r="U132" s="34"/>
      <c r="V132" s="34"/>
      <c r="W132" s="34"/>
      <c r="X132" s="34"/>
      <c r="Y132" s="34"/>
      <c r="Z132" s="34"/>
    </row>
    <row r="133" spans="1:26" ht="12.75" customHeight="1">
      <c r="A133" s="80"/>
      <c r="B133" s="43">
        <v>74</v>
      </c>
      <c r="C133" s="191"/>
      <c r="D133" s="192"/>
      <c r="S133" s="141"/>
      <c r="T133" s="34"/>
      <c r="U133" s="34"/>
      <c r="V133" s="34"/>
      <c r="W133" s="34"/>
      <c r="X133" s="34"/>
      <c r="Y133" s="34"/>
      <c r="Z133" s="34"/>
    </row>
    <row r="134" spans="1:26" ht="12.75" customHeight="1">
      <c r="A134" s="80"/>
      <c r="B134" s="43">
        <v>75</v>
      </c>
      <c r="C134" s="191"/>
      <c r="D134" s="192"/>
      <c r="S134" s="141"/>
      <c r="T134" s="34"/>
      <c r="U134" s="34"/>
      <c r="V134" s="34"/>
      <c r="W134" s="34"/>
      <c r="X134" s="34"/>
      <c r="Y134" s="34"/>
      <c r="Z134" s="34"/>
    </row>
    <row r="135" spans="1:26" ht="12.75" customHeight="1">
      <c r="A135" s="80"/>
      <c r="B135" s="43">
        <v>76</v>
      </c>
      <c r="C135" s="191"/>
      <c r="D135" s="192"/>
      <c r="S135" s="141"/>
      <c r="T135" s="34"/>
      <c r="U135" s="34"/>
      <c r="V135" s="34"/>
      <c r="W135" s="34"/>
      <c r="X135" s="34"/>
      <c r="Y135" s="34"/>
      <c r="Z135" s="34"/>
    </row>
    <row r="136" spans="1:26" ht="12.75" customHeight="1">
      <c r="A136" s="80"/>
      <c r="B136" s="43">
        <v>77</v>
      </c>
      <c r="C136" s="191"/>
      <c r="D136" s="192"/>
      <c r="S136" s="141"/>
      <c r="T136" s="34"/>
      <c r="U136" s="34"/>
      <c r="V136" s="34"/>
      <c r="W136" s="34"/>
      <c r="X136" s="34"/>
      <c r="Y136" s="34"/>
      <c r="Z136" s="34"/>
    </row>
    <row r="137" spans="1:26" ht="12.75" customHeight="1">
      <c r="A137" s="80"/>
      <c r="B137" s="43">
        <v>78</v>
      </c>
      <c r="C137" s="191"/>
      <c r="D137" s="192"/>
      <c r="S137" s="141"/>
      <c r="T137" s="34"/>
      <c r="U137" s="34"/>
      <c r="V137" s="34"/>
      <c r="W137" s="34"/>
      <c r="X137" s="34"/>
      <c r="Y137" s="34"/>
      <c r="Z137" s="34"/>
    </row>
    <row r="138" spans="1:26" ht="12.75" customHeight="1">
      <c r="A138" s="80"/>
      <c r="B138" s="43">
        <v>79</v>
      </c>
      <c r="C138" s="191"/>
      <c r="D138" s="192"/>
      <c r="S138" s="141"/>
      <c r="T138" s="34"/>
      <c r="U138" s="34"/>
      <c r="V138" s="34"/>
      <c r="W138" s="34"/>
      <c r="X138" s="34"/>
      <c r="Y138" s="34"/>
      <c r="Z138" s="34"/>
    </row>
    <row r="139" spans="1:26" ht="12.75" customHeight="1">
      <c r="A139" s="80"/>
      <c r="B139" s="43">
        <v>80</v>
      </c>
      <c r="C139" s="191"/>
      <c r="D139" s="192"/>
      <c r="S139" s="141"/>
      <c r="T139" s="34"/>
      <c r="U139" s="34"/>
      <c r="V139" s="34"/>
      <c r="W139" s="34"/>
      <c r="X139" s="34"/>
      <c r="Y139" s="34"/>
      <c r="Z139" s="34"/>
    </row>
    <row r="140" spans="1:26" ht="12.75" customHeight="1">
      <c r="A140" s="80"/>
      <c r="B140" s="43">
        <v>81</v>
      </c>
      <c r="C140" s="191"/>
      <c r="D140" s="192"/>
      <c r="S140" s="141"/>
      <c r="T140" s="34"/>
      <c r="U140" s="34"/>
      <c r="V140" s="34"/>
      <c r="W140" s="34"/>
      <c r="X140" s="34"/>
      <c r="Y140" s="34"/>
      <c r="Z140" s="34"/>
    </row>
    <row r="141" spans="1:26" ht="12.75" customHeight="1">
      <c r="A141" s="80"/>
      <c r="B141" s="43">
        <v>82</v>
      </c>
      <c r="C141" s="191"/>
      <c r="D141" s="192"/>
      <c r="S141" s="141"/>
      <c r="T141" s="34"/>
      <c r="U141" s="34"/>
      <c r="V141" s="34"/>
      <c r="W141" s="34"/>
      <c r="X141" s="34"/>
      <c r="Y141" s="34"/>
      <c r="Z141" s="34"/>
    </row>
    <row r="142" spans="1:26" ht="12.75" customHeight="1">
      <c r="A142" s="80"/>
      <c r="B142" s="43">
        <v>83</v>
      </c>
      <c r="C142" s="191"/>
      <c r="D142" s="192"/>
      <c r="S142" s="141"/>
      <c r="T142" s="34"/>
      <c r="U142" s="34"/>
      <c r="V142" s="34"/>
      <c r="W142" s="34"/>
      <c r="X142" s="34"/>
      <c r="Y142" s="34"/>
      <c r="Z142" s="34"/>
    </row>
    <row r="143" spans="1:26" ht="12.75" customHeight="1">
      <c r="A143" s="80"/>
      <c r="B143" s="43">
        <v>84</v>
      </c>
      <c r="C143" s="191"/>
      <c r="D143" s="192"/>
      <c r="S143" s="141"/>
      <c r="T143" s="34"/>
      <c r="U143" s="34"/>
      <c r="V143" s="34"/>
      <c r="W143" s="34"/>
      <c r="X143" s="34"/>
      <c r="Y143" s="34"/>
      <c r="Z143" s="34"/>
    </row>
    <row r="144" spans="1:26" ht="12.75" customHeight="1">
      <c r="A144" s="80"/>
      <c r="B144" s="43">
        <v>85</v>
      </c>
      <c r="C144" s="191"/>
      <c r="D144" s="192"/>
      <c r="S144" s="141"/>
      <c r="T144" s="34"/>
      <c r="U144" s="34"/>
      <c r="V144" s="34"/>
      <c r="W144" s="34"/>
      <c r="X144" s="34"/>
      <c r="Y144" s="34"/>
      <c r="Z144" s="34"/>
    </row>
    <row r="145" spans="1:26" ht="12.75" customHeight="1">
      <c r="A145" s="80"/>
      <c r="B145" s="43">
        <v>86</v>
      </c>
      <c r="C145" s="191"/>
      <c r="D145" s="192"/>
      <c r="S145" s="141"/>
      <c r="T145" s="34"/>
      <c r="U145" s="34"/>
      <c r="V145" s="34"/>
      <c r="W145" s="34"/>
      <c r="X145" s="34"/>
      <c r="Y145" s="34"/>
      <c r="Z145" s="34"/>
    </row>
    <row r="146" spans="1:26" ht="12.75" customHeight="1">
      <c r="A146" s="80"/>
      <c r="B146" s="43">
        <v>87</v>
      </c>
      <c r="C146" s="191"/>
      <c r="D146" s="192"/>
      <c r="S146" s="141"/>
      <c r="T146" s="34"/>
      <c r="U146" s="34"/>
      <c r="V146" s="34"/>
      <c r="W146" s="34"/>
      <c r="X146" s="34"/>
      <c r="Y146" s="34"/>
      <c r="Z146" s="34"/>
    </row>
    <row r="147" spans="1:26" ht="12.75" customHeight="1">
      <c r="A147" s="80"/>
      <c r="B147" s="43">
        <v>88</v>
      </c>
      <c r="C147" s="191"/>
      <c r="D147" s="192"/>
      <c r="S147" s="141"/>
      <c r="T147" s="34"/>
      <c r="U147" s="34"/>
      <c r="V147" s="34"/>
      <c r="W147" s="34"/>
      <c r="X147" s="34"/>
      <c r="Y147" s="34"/>
      <c r="Z147" s="34"/>
    </row>
    <row r="148" spans="1:26" ht="12.75" customHeight="1">
      <c r="A148" s="80"/>
      <c r="B148" s="43">
        <v>89</v>
      </c>
      <c r="C148" s="191"/>
      <c r="D148" s="192"/>
      <c r="S148" s="141"/>
      <c r="T148" s="34"/>
      <c r="U148" s="34"/>
      <c r="V148" s="34"/>
      <c r="W148" s="34"/>
      <c r="X148" s="34"/>
      <c r="Y148" s="34"/>
      <c r="Z148" s="34"/>
    </row>
    <row r="149" spans="1:26" ht="12.75" customHeight="1">
      <c r="A149" s="80"/>
      <c r="B149" s="43">
        <v>90</v>
      </c>
      <c r="C149" s="191"/>
      <c r="D149" s="192"/>
      <c r="S149" s="141"/>
      <c r="T149" s="34"/>
      <c r="U149" s="34"/>
      <c r="V149" s="34"/>
      <c r="W149" s="34"/>
      <c r="X149" s="34"/>
      <c r="Y149" s="34"/>
      <c r="Z149" s="34"/>
    </row>
    <row r="150" spans="1:26" ht="12.75" customHeight="1">
      <c r="A150" s="80"/>
      <c r="B150" s="43">
        <v>91</v>
      </c>
      <c r="C150" s="191"/>
      <c r="D150" s="192"/>
      <c r="S150" s="141"/>
      <c r="T150" s="34"/>
      <c r="U150" s="34"/>
      <c r="V150" s="34"/>
      <c r="W150" s="34"/>
      <c r="X150" s="34"/>
      <c r="Y150" s="34"/>
      <c r="Z150" s="34"/>
    </row>
    <row r="151" spans="1:26" ht="12.75" customHeight="1">
      <c r="A151" s="80"/>
      <c r="B151" s="43">
        <v>92</v>
      </c>
      <c r="C151" s="191"/>
      <c r="D151" s="192"/>
      <c r="S151" s="141"/>
      <c r="T151" s="34"/>
      <c r="U151" s="34"/>
      <c r="V151" s="34"/>
      <c r="W151" s="34"/>
      <c r="X151" s="34"/>
      <c r="Y151" s="34"/>
      <c r="Z151" s="34"/>
    </row>
    <row r="152" spans="1:26" ht="12.75" customHeight="1">
      <c r="A152" s="80"/>
      <c r="B152" s="43">
        <v>93</v>
      </c>
      <c r="C152" s="191"/>
      <c r="D152" s="192"/>
      <c r="S152" s="141"/>
      <c r="T152" s="34"/>
      <c r="U152" s="34"/>
      <c r="V152" s="34"/>
      <c r="W152" s="34"/>
      <c r="X152" s="34"/>
      <c r="Y152" s="34"/>
      <c r="Z152" s="34"/>
    </row>
    <row r="153" spans="1:26" ht="12.75" customHeight="1">
      <c r="A153" s="80"/>
      <c r="B153" s="43">
        <v>94</v>
      </c>
      <c r="C153" s="191"/>
      <c r="D153" s="192"/>
      <c r="S153" s="141"/>
      <c r="T153" s="34"/>
      <c r="U153" s="34"/>
      <c r="V153" s="34"/>
      <c r="W153" s="34"/>
      <c r="X153" s="34"/>
      <c r="Y153" s="34"/>
      <c r="Z153" s="34"/>
    </row>
    <row r="154" spans="1:26" ht="12.75" customHeight="1">
      <c r="A154" s="80"/>
      <c r="B154" s="43">
        <v>95</v>
      </c>
      <c r="C154" s="191"/>
      <c r="D154" s="192"/>
      <c r="S154" s="141"/>
      <c r="T154" s="34"/>
      <c r="U154" s="34"/>
      <c r="V154" s="34"/>
      <c r="W154" s="34"/>
      <c r="X154" s="34"/>
      <c r="Y154" s="34"/>
      <c r="Z154" s="34"/>
    </row>
    <row r="155" spans="1:26" ht="12.75" customHeight="1">
      <c r="A155" s="80"/>
      <c r="B155" s="43">
        <v>96</v>
      </c>
      <c r="C155" s="191"/>
      <c r="D155" s="192"/>
      <c r="S155" s="141"/>
      <c r="T155" s="34"/>
      <c r="U155" s="34"/>
      <c r="V155" s="34"/>
      <c r="W155" s="34"/>
      <c r="X155" s="34"/>
      <c r="Y155" s="34"/>
      <c r="Z155" s="34"/>
    </row>
    <row r="156" spans="1:26" ht="12.75" customHeight="1">
      <c r="A156" s="80"/>
      <c r="B156" s="43">
        <v>97</v>
      </c>
      <c r="C156" s="191"/>
      <c r="D156" s="192"/>
      <c r="S156" s="141"/>
      <c r="T156" s="34"/>
      <c r="U156" s="34"/>
      <c r="V156" s="34"/>
      <c r="W156" s="34"/>
      <c r="X156" s="34"/>
      <c r="Y156" s="34"/>
      <c r="Z156" s="34"/>
    </row>
    <row r="157" spans="1:26" ht="12.75" customHeight="1">
      <c r="A157" s="80"/>
      <c r="B157" s="43">
        <v>98</v>
      </c>
      <c r="C157" s="191"/>
      <c r="D157" s="192"/>
      <c r="S157" s="141"/>
      <c r="T157" s="34"/>
      <c r="U157" s="34"/>
      <c r="V157" s="34"/>
      <c r="W157" s="34"/>
      <c r="X157" s="34"/>
      <c r="Y157" s="34"/>
      <c r="Z157" s="34"/>
    </row>
    <row r="158" spans="1:26" ht="12.75" customHeight="1">
      <c r="A158" s="80"/>
      <c r="B158" s="43">
        <v>99</v>
      </c>
      <c r="C158" s="191"/>
      <c r="D158" s="192"/>
      <c r="S158" s="141"/>
      <c r="T158" s="34"/>
      <c r="U158" s="34"/>
      <c r="V158" s="34"/>
      <c r="W158" s="34"/>
      <c r="X158" s="34"/>
      <c r="Y158" s="34"/>
      <c r="Z158" s="34"/>
    </row>
    <row r="159" spans="1:26" ht="12.75" customHeight="1">
      <c r="A159" s="80"/>
      <c r="B159" s="43">
        <v>100</v>
      </c>
      <c r="C159" s="191"/>
      <c r="D159" s="192"/>
      <c r="S159" s="141"/>
      <c r="T159" s="34"/>
      <c r="U159" s="34"/>
      <c r="V159" s="34"/>
      <c r="W159" s="34"/>
      <c r="X159" s="34"/>
      <c r="Y159" s="34"/>
      <c r="Z159" s="34"/>
    </row>
    <row r="160" spans="1:26" ht="12.75" customHeight="1">
      <c r="A160" s="80"/>
      <c r="B160" s="43">
        <v>101</v>
      </c>
      <c r="C160" s="191"/>
      <c r="D160" s="192"/>
      <c r="S160" s="141"/>
      <c r="T160" s="34"/>
      <c r="U160" s="34"/>
      <c r="V160" s="34"/>
      <c r="W160" s="34"/>
      <c r="X160" s="34"/>
      <c r="Y160" s="34"/>
      <c r="Z160" s="34"/>
    </row>
    <row r="161" spans="1:26" ht="12.75" customHeight="1">
      <c r="A161" s="80"/>
      <c r="B161" s="43">
        <v>102</v>
      </c>
      <c r="C161" s="191"/>
      <c r="D161" s="192"/>
      <c r="S161" s="141"/>
      <c r="T161" s="34"/>
      <c r="U161" s="34"/>
      <c r="V161" s="34"/>
      <c r="W161" s="34"/>
      <c r="X161" s="34"/>
      <c r="Y161" s="34"/>
      <c r="Z161" s="34"/>
    </row>
    <row r="162" spans="1:26" ht="12.75" customHeight="1">
      <c r="A162" s="80"/>
      <c r="B162" s="43">
        <v>103</v>
      </c>
      <c r="C162" s="186"/>
      <c r="D162" s="187"/>
      <c r="S162" s="141"/>
      <c r="T162" s="34"/>
      <c r="U162" s="34"/>
      <c r="V162" s="34"/>
      <c r="W162" s="34"/>
      <c r="X162" s="34"/>
      <c r="Y162" s="34"/>
      <c r="Z162" s="34"/>
    </row>
    <row r="163" spans="1:26" ht="12.75" customHeight="1">
      <c r="A163" s="80"/>
      <c r="B163" s="43">
        <v>104</v>
      </c>
      <c r="C163" s="186"/>
      <c r="D163" s="187"/>
      <c r="S163" s="141"/>
      <c r="T163" s="34"/>
      <c r="U163" s="34"/>
      <c r="V163" s="34"/>
      <c r="W163" s="34"/>
      <c r="X163" s="34"/>
      <c r="Y163" s="34"/>
      <c r="Z163" s="34"/>
    </row>
    <row r="164" spans="1:26" ht="12.75" customHeight="1">
      <c r="A164" s="80"/>
      <c r="B164" s="43">
        <v>105</v>
      </c>
      <c r="C164" s="186"/>
      <c r="D164" s="187"/>
      <c r="S164" s="141"/>
      <c r="T164" s="34"/>
      <c r="U164" s="34"/>
      <c r="V164" s="34"/>
      <c r="W164" s="34"/>
      <c r="X164" s="34"/>
      <c r="Y164" s="34"/>
      <c r="Z164" s="34"/>
    </row>
    <row r="165" spans="1:26" ht="12.75" customHeight="1">
      <c r="A165" s="80"/>
      <c r="B165" s="43">
        <v>106</v>
      </c>
      <c r="C165" s="186"/>
      <c r="D165" s="187"/>
      <c r="S165" s="141"/>
      <c r="T165" s="34"/>
      <c r="U165" s="34"/>
      <c r="V165" s="34"/>
      <c r="W165" s="34"/>
      <c r="X165" s="34"/>
      <c r="Y165" s="34"/>
      <c r="Z165" s="34"/>
    </row>
    <row r="166" spans="1:26" ht="12.75" customHeight="1">
      <c r="A166" s="80"/>
      <c r="B166" s="43">
        <v>107</v>
      </c>
      <c r="C166" s="186"/>
      <c r="D166" s="187"/>
      <c r="S166" s="141"/>
      <c r="T166" s="34"/>
      <c r="U166" s="34"/>
      <c r="V166" s="34"/>
      <c r="W166" s="34"/>
      <c r="X166" s="34"/>
      <c r="Y166" s="34"/>
      <c r="Z166" s="34"/>
    </row>
    <row r="167" spans="1:26" ht="12.75" customHeight="1">
      <c r="A167" s="80"/>
      <c r="B167" s="43">
        <v>108</v>
      </c>
      <c r="C167" s="186"/>
      <c r="D167" s="187"/>
      <c r="S167" s="141"/>
      <c r="T167" s="34"/>
      <c r="U167" s="34"/>
      <c r="V167" s="34"/>
      <c r="W167" s="34"/>
      <c r="X167" s="34"/>
      <c r="Y167" s="34"/>
      <c r="Z167" s="34"/>
    </row>
    <row r="168" spans="1:26" ht="12.75" customHeight="1">
      <c r="A168" s="80"/>
      <c r="B168" s="43">
        <v>109</v>
      </c>
      <c r="C168" s="186"/>
      <c r="D168" s="187"/>
      <c r="S168" s="141"/>
      <c r="T168" s="34"/>
      <c r="U168" s="34"/>
      <c r="V168" s="34"/>
      <c r="W168" s="34"/>
      <c r="X168" s="34"/>
      <c r="Y168" s="34"/>
      <c r="Z168" s="34"/>
    </row>
    <row r="169" spans="1:26" ht="12.75" customHeight="1">
      <c r="A169" s="80"/>
      <c r="B169" s="43">
        <v>110</v>
      </c>
      <c r="C169" s="186"/>
      <c r="D169" s="187"/>
      <c r="S169" s="141"/>
      <c r="T169" s="34"/>
      <c r="U169" s="34"/>
      <c r="V169" s="34"/>
      <c r="W169" s="34"/>
      <c r="X169" s="34"/>
      <c r="Y169" s="34"/>
      <c r="Z169" s="34"/>
    </row>
    <row r="170" spans="1:26" ht="12.75" customHeight="1">
      <c r="A170" s="80"/>
      <c r="B170" s="43">
        <v>111</v>
      </c>
      <c r="C170" s="186"/>
      <c r="D170" s="187"/>
      <c r="S170" s="141"/>
      <c r="T170" s="34"/>
      <c r="U170" s="34"/>
      <c r="V170" s="34"/>
      <c r="W170" s="34"/>
      <c r="X170" s="34"/>
      <c r="Y170" s="34"/>
      <c r="Z170" s="34"/>
    </row>
    <row r="171" spans="1:26" ht="12.75" customHeight="1">
      <c r="A171" s="80"/>
      <c r="B171" s="43">
        <v>112</v>
      </c>
      <c r="C171" s="186"/>
      <c r="D171" s="187"/>
      <c r="S171" s="141"/>
      <c r="T171" s="34"/>
      <c r="U171" s="34"/>
      <c r="V171" s="34"/>
      <c r="W171" s="34"/>
      <c r="X171" s="34"/>
      <c r="Y171" s="34"/>
      <c r="Z171" s="34"/>
    </row>
    <row r="172" spans="1:26" ht="12.75" customHeight="1">
      <c r="A172" s="80"/>
      <c r="B172" s="43">
        <v>113</v>
      </c>
      <c r="C172" s="186"/>
      <c r="D172" s="187"/>
      <c r="S172" s="141"/>
      <c r="T172" s="34"/>
      <c r="U172" s="34"/>
      <c r="V172" s="34"/>
      <c r="W172" s="34"/>
      <c r="X172" s="34"/>
      <c r="Y172" s="34"/>
      <c r="Z172" s="34"/>
    </row>
    <row r="173" spans="1:26" ht="12.75" customHeight="1">
      <c r="A173" s="80"/>
      <c r="B173" s="43">
        <v>114</v>
      </c>
      <c r="C173" s="186"/>
      <c r="D173" s="187"/>
      <c r="S173" s="141"/>
      <c r="T173" s="34"/>
      <c r="U173" s="34"/>
      <c r="V173" s="34"/>
      <c r="W173" s="34"/>
      <c r="X173" s="34"/>
      <c r="Y173" s="34"/>
      <c r="Z173" s="34"/>
    </row>
    <row r="174" spans="1:26" ht="12.75" customHeight="1">
      <c r="A174" s="80"/>
      <c r="B174" s="43">
        <v>115</v>
      </c>
      <c r="C174" s="186"/>
      <c r="D174" s="187"/>
      <c r="S174" s="141"/>
      <c r="T174" s="34"/>
      <c r="U174" s="34"/>
      <c r="V174" s="34"/>
      <c r="W174" s="34"/>
      <c r="X174" s="34"/>
      <c r="Y174" s="34"/>
      <c r="Z174" s="34"/>
    </row>
    <row r="175" spans="1:26" ht="12.75" customHeight="1">
      <c r="A175" s="80"/>
      <c r="B175" s="43">
        <v>116</v>
      </c>
      <c r="C175" s="186"/>
      <c r="D175" s="187"/>
      <c r="S175" s="141"/>
      <c r="T175" s="34"/>
      <c r="U175" s="34"/>
      <c r="V175" s="34"/>
      <c r="W175" s="34"/>
      <c r="X175" s="34"/>
      <c r="Y175" s="34"/>
      <c r="Z175" s="34"/>
    </row>
    <row r="176" spans="1:26" ht="12.75" customHeight="1">
      <c r="A176" s="80"/>
      <c r="B176" s="43">
        <v>117</v>
      </c>
      <c r="C176" s="186"/>
      <c r="D176" s="187"/>
      <c r="S176" s="141"/>
      <c r="T176" s="34"/>
      <c r="U176" s="34"/>
      <c r="V176" s="34"/>
      <c r="W176" s="34"/>
      <c r="X176" s="34"/>
      <c r="Y176" s="34"/>
      <c r="Z176" s="34"/>
    </row>
    <row r="177" spans="1:26" ht="12.75" customHeight="1">
      <c r="A177" s="80"/>
      <c r="B177" s="43">
        <v>118</v>
      </c>
      <c r="C177" s="186"/>
      <c r="D177" s="187"/>
      <c r="S177" s="141"/>
      <c r="T177" s="34"/>
      <c r="U177" s="34"/>
      <c r="V177" s="34"/>
      <c r="W177" s="34"/>
      <c r="X177" s="34"/>
      <c r="Y177" s="34"/>
      <c r="Z177" s="34"/>
    </row>
    <row r="178" spans="1:26" ht="12.75" customHeight="1">
      <c r="A178" s="80"/>
      <c r="B178" s="43">
        <v>119</v>
      </c>
      <c r="C178" s="186"/>
      <c r="D178" s="187"/>
      <c r="S178" s="141"/>
      <c r="T178" s="34"/>
      <c r="U178" s="34"/>
      <c r="V178" s="34"/>
      <c r="W178" s="34"/>
      <c r="X178" s="34"/>
      <c r="Y178" s="34"/>
      <c r="Z178" s="34"/>
    </row>
    <row r="179" spans="1:26" ht="12.75" customHeight="1">
      <c r="A179" s="80"/>
      <c r="B179" s="43">
        <v>120</v>
      </c>
      <c r="C179" s="186"/>
      <c r="D179" s="187"/>
      <c r="S179" s="141"/>
      <c r="T179" s="34"/>
      <c r="U179" s="34"/>
      <c r="V179" s="34"/>
      <c r="W179" s="34"/>
      <c r="X179" s="34"/>
      <c r="Y179" s="34"/>
      <c r="Z179" s="34"/>
    </row>
    <row r="180" spans="1:26" ht="12.75" customHeight="1">
      <c r="A180" s="34"/>
      <c r="B180" s="43">
        <v>121</v>
      </c>
      <c r="C180" s="186"/>
      <c r="D180" s="187"/>
      <c r="S180" s="141"/>
      <c r="T180" s="34"/>
      <c r="U180" s="34"/>
      <c r="V180" s="34"/>
      <c r="W180" s="34"/>
      <c r="X180" s="34"/>
      <c r="Y180" s="34"/>
      <c r="Z180" s="34"/>
    </row>
    <row r="181" spans="1:26" ht="12.75" customHeight="1">
      <c r="B181" s="43">
        <v>122</v>
      </c>
      <c r="C181" s="186"/>
      <c r="D181" s="187"/>
      <c r="S181" s="141"/>
      <c r="T181" s="34"/>
      <c r="U181" s="34"/>
      <c r="V181" s="34"/>
      <c r="W181" s="34"/>
      <c r="X181" s="34"/>
      <c r="Y181" s="34"/>
      <c r="Z181" s="34"/>
    </row>
    <row r="182" spans="1:26" ht="12.75" customHeight="1">
      <c r="B182" s="43">
        <v>123</v>
      </c>
      <c r="C182" s="186"/>
      <c r="D182" s="187"/>
      <c r="S182" s="141"/>
      <c r="T182" s="34"/>
      <c r="U182" s="34"/>
      <c r="V182" s="34"/>
      <c r="W182" s="34"/>
      <c r="X182" s="34"/>
      <c r="Y182" s="34"/>
      <c r="Z182" s="34"/>
    </row>
    <row r="183" spans="1:26" ht="12.75" customHeight="1">
      <c r="B183" s="43">
        <v>124</v>
      </c>
      <c r="C183" s="186"/>
      <c r="D183" s="187"/>
      <c r="S183" s="141"/>
      <c r="T183" s="34"/>
      <c r="U183" s="34"/>
      <c r="V183" s="34"/>
      <c r="W183" s="34"/>
      <c r="X183" s="34"/>
      <c r="Y183" s="34"/>
      <c r="Z183" s="34"/>
    </row>
    <row r="184" spans="1:26" ht="12.75" customHeight="1">
      <c r="B184" s="43">
        <v>125</v>
      </c>
      <c r="C184" s="186"/>
      <c r="D184" s="187"/>
      <c r="S184" s="141"/>
      <c r="T184" s="34"/>
      <c r="U184" s="34"/>
      <c r="V184" s="34"/>
      <c r="W184" s="34"/>
      <c r="X184" s="34"/>
      <c r="Y184" s="34"/>
      <c r="Z184" s="34"/>
    </row>
    <row r="185" spans="1:26" ht="12.75" customHeight="1">
      <c r="B185" s="43">
        <v>126</v>
      </c>
      <c r="C185" s="186"/>
      <c r="D185" s="187"/>
      <c r="S185" s="141"/>
      <c r="T185" s="34"/>
      <c r="U185" s="34"/>
      <c r="V185" s="34"/>
      <c r="W185" s="34"/>
      <c r="X185" s="34"/>
      <c r="Y185" s="34"/>
      <c r="Z185" s="34"/>
    </row>
    <row r="186" spans="1:26" ht="12.75" customHeight="1">
      <c r="B186" s="43">
        <v>127</v>
      </c>
      <c r="C186" s="186"/>
      <c r="D186" s="187"/>
      <c r="S186" s="141"/>
      <c r="T186" s="34"/>
      <c r="U186" s="34"/>
      <c r="V186" s="34"/>
      <c r="W186" s="34"/>
      <c r="X186" s="34"/>
      <c r="Y186" s="34"/>
      <c r="Z186" s="34"/>
    </row>
    <row r="187" spans="1:26" ht="12.75" customHeight="1">
      <c r="B187" s="43">
        <v>128</v>
      </c>
      <c r="C187" s="186"/>
      <c r="D187" s="187"/>
      <c r="S187" s="141"/>
      <c r="T187" s="34"/>
      <c r="U187" s="34"/>
      <c r="V187" s="34"/>
      <c r="W187" s="34"/>
      <c r="X187" s="34"/>
      <c r="Y187" s="34"/>
      <c r="Z187" s="34"/>
    </row>
    <row r="188" spans="1:26" ht="12.75" customHeight="1">
      <c r="B188" s="43">
        <v>129</v>
      </c>
      <c r="C188" s="186"/>
      <c r="D188" s="187"/>
      <c r="S188" s="141"/>
      <c r="T188" s="34"/>
      <c r="U188" s="34"/>
      <c r="V188" s="34"/>
      <c r="W188" s="34"/>
      <c r="X188" s="34"/>
      <c r="Y188" s="34"/>
      <c r="Z188" s="34"/>
    </row>
    <row r="189" spans="1:26" ht="12.75" customHeight="1">
      <c r="B189" s="43">
        <v>130</v>
      </c>
      <c r="C189" s="186"/>
      <c r="D189" s="187"/>
      <c r="S189" s="141"/>
      <c r="T189" s="34"/>
      <c r="U189" s="34"/>
      <c r="V189" s="34"/>
      <c r="W189" s="34"/>
      <c r="X189" s="34"/>
      <c r="Y189" s="34"/>
      <c r="Z189" s="34"/>
    </row>
    <row r="190" spans="1:26" ht="12.75" customHeight="1">
      <c r="B190" s="43">
        <v>131</v>
      </c>
      <c r="C190" s="186"/>
      <c r="D190" s="187"/>
      <c r="S190" s="141"/>
      <c r="T190" s="34"/>
      <c r="U190" s="34"/>
      <c r="V190" s="34"/>
      <c r="W190" s="34"/>
      <c r="X190" s="34"/>
      <c r="Y190" s="34"/>
      <c r="Z190" s="34"/>
    </row>
    <row r="191" spans="1:26" ht="12.75" customHeight="1">
      <c r="B191" s="43">
        <v>132</v>
      </c>
      <c r="C191" s="186"/>
      <c r="D191" s="187"/>
      <c r="S191" s="141"/>
      <c r="T191" s="34"/>
      <c r="U191" s="34"/>
      <c r="V191" s="34"/>
      <c r="W191" s="34"/>
      <c r="X191" s="34"/>
      <c r="Y191" s="34"/>
      <c r="Z191" s="34"/>
    </row>
    <row r="192" spans="1:26" ht="12.75" customHeight="1">
      <c r="B192" s="43">
        <v>133</v>
      </c>
      <c r="C192" s="186"/>
      <c r="D192" s="187"/>
      <c r="S192" s="141"/>
      <c r="T192" s="34"/>
      <c r="U192" s="34"/>
      <c r="V192" s="34"/>
      <c r="W192" s="34"/>
      <c r="X192" s="34"/>
      <c r="Y192" s="34"/>
      <c r="Z192" s="34"/>
    </row>
    <row r="193" spans="2:26" ht="12.75" customHeight="1">
      <c r="B193" s="43">
        <v>134</v>
      </c>
      <c r="C193" s="186"/>
      <c r="D193" s="187"/>
      <c r="S193" s="141"/>
      <c r="T193" s="34"/>
      <c r="U193" s="34"/>
      <c r="V193" s="34"/>
      <c r="W193" s="34"/>
      <c r="X193" s="34"/>
      <c r="Y193" s="34"/>
      <c r="Z193" s="34"/>
    </row>
    <row r="194" spans="2:26" ht="12.75" customHeight="1">
      <c r="B194" s="43">
        <v>135</v>
      </c>
      <c r="C194" s="186"/>
      <c r="D194" s="187"/>
      <c r="S194" s="141"/>
      <c r="T194" s="34"/>
      <c r="U194" s="34"/>
      <c r="V194" s="34"/>
      <c r="W194" s="34"/>
      <c r="X194" s="34"/>
      <c r="Y194" s="34"/>
      <c r="Z194" s="34"/>
    </row>
    <row r="195" spans="2:26" ht="12.75" customHeight="1">
      <c r="B195" s="43">
        <v>136</v>
      </c>
      <c r="C195" s="186"/>
      <c r="D195" s="187"/>
      <c r="S195" s="141"/>
      <c r="T195" s="34"/>
      <c r="U195" s="34"/>
      <c r="V195" s="34"/>
      <c r="W195" s="34"/>
      <c r="X195" s="34"/>
      <c r="Y195" s="34"/>
      <c r="Z195" s="34"/>
    </row>
    <row r="196" spans="2:26" ht="12.75" customHeight="1">
      <c r="B196" s="43">
        <v>137</v>
      </c>
      <c r="C196" s="186"/>
      <c r="D196" s="187"/>
      <c r="S196" s="141"/>
      <c r="T196" s="34"/>
      <c r="U196" s="34"/>
      <c r="V196" s="34"/>
      <c r="W196" s="34"/>
      <c r="X196" s="34"/>
      <c r="Y196" s="34"/>
      <c r="Z196" s="34"/>
    </row>
    <row r="197" spans="2:26" ht="12.75" customHeight="1">
      <c r="B197" s="43">
        <v>138</v>
      </c>
      <c r="C197" s="186"/>
      <c r="D197" s="187"/>
      <c r="S197" s="141"/>
      <c r="T197" s="34"/>
      <c r="U197" s="34"/>
      <c r="V197" s="34"/>
      <c r="W197" s="34"/>
      <c r="X197" s="34"/>
      <c r="Y197" s="34"/>
      <c r="Z197" s="34"/>
    </row>
    <row r="198" spans="2:26" ht="12.75" customHeight="1">
      <c r="B198" s="43">
        <v>139</v>
      </c>
      <c r="C198" s="186"/>
      <c r="D198" s="187"/>
      <c r="S198" s="141"/>
      <c r="T198" s="34"/>
      <c r="U198" s="34"/>
      <c r="V198" s="34"/>
      <c r="W198" s="34"/>
      <c r="X198" s="34"/>
      <c r="Y198" s="34"/>
      <c r="Z198" s="34"/>
    </row>
    <row r="199" spans="2:26" ht="12.75" customHeight="1">
      <c r="B199" s="43">
        <v>140</v>
      </c>
      <c r="C199" s="186"/>
      <c r="D199" s="187"/>
      <c r="S199" s="141"/>
      <c r="T199" s="34"/>
      <c r="U199" s="34"/>
      <c r="V199" s="34"/>
      <c r="W199" s="34"/>
      <c r="X199" s="34"/>
      <c r="Y199" s="34"/>
      <c r="Z199" s="34"/>
    </row>
    <row r="200" spans="2:26" ht="12.75" customHeight="1">
      <c r="B200" s="43">
        <v>141</v>
      </c>
      <c r="C200" s="186"/>
      <c r="D200" s="187"/>
      <c r="S200" s="141"/>
      <c r="T200" s="34"/>
      <c r="U200" s="34"/>
      <c r="V200" s="34"/>
      <c r="W200" s="34"/>
      <c r="X200" s="34"/>
      <c r="Y200" s="34"/>
      <c r="Z200" s="34"/>
    </row>
    <row r="201" spans="2:26" ht="12.75" customHeight="1">
      <c r="B201" s="43">
        <v>142</v>
      </c>
      <c r="C201" s="186"/>
      <c r="D201" s="187"/>
      <c r="S201" s="141"/>
      <c r="T201" s="34"/>
      <c r="U201" s="34"/>
      <c r="V201" s="34"/>
      <c r="W201" s="34"/>
      <c r="X201" s="34"/>
      <c r="Y201" s="34"/>
      <c r="Z201" s="34"/>
    </row>
    <row r="202" spans="2:26" ht="12.75" customHeight="1">
      <c r="B202" s="43">
        <v>143</v>
      </c>
      <c r="C202" s="186"/>
      <c r="D202" s="187"/>
      <c r="S202" s="141"/>
      <c r="T202" s="34"/>
      <c r="U202" s="34"/>
      <c r="V202" s="34"/>
      <c r="W202" s="34"/>
      <c r="X202" s="34"/>
      <c r="Y202" s="34"/>
      <c r="Z202" s="34"/>
    </row>
    <row r="203" spans="2:26" ht="12.75" customHeight="1">
      <c r="B203" s="43">
        <v>144</v>
      </c>
      <c r="C203" s="186"/>
      <c r="D203" s="187"/>
      <c r="S203" s="141"/>
      <c r="T203" s="34"/>
      <c r="U203" s="34"/>
      <c r="V203" s="34"/>
      <c r="W203" s="34"/>
      <c r="X203" s="34"/>
      <c r="Y203" s="34"/>
      <c r="Z203" s="34"/>
    </row>
    <row r="204" spans="2:26" ht="12.75" customHeight="1">
      <c r="B204" s="43">
        <v>145</v>
      </c>
      <c r="C204" s="186"/>
      <c r="D204" s="187"/>
      <c r="S204" s="141"/>
      <c r="T204" s="34"/>
      <c r="U204" s="34"/>
      <c r="V204" s="34"/>
      <c r="W204" s="34"/>
      <c r="X204" s="34"/>
      <c r="Y204" s="34"/>
      <c r="Z204" s="34"/>
    </row>
    <row r="205" spans="2:26" ht="12.75" customHeight="1">
      <c r="B205" s="43">
        <v>146</v>
      </c>
      <c r="C205" s="186"/>
      <c r="D205" s="187"/>
      <c r="S205" s="141"/>
      <c r="T205" s="34"/>
      <c r="U205" s="34"/>
      <c r="V205" s="34"/>
      <c r="W205" s="34"/>
      <c r="X205" s="34"/>
      <c r="Y205" s="34"/>
      <c r="Z205" s="34"/>
    </row>
    <row r="206" spans="2:26" ht="12.75" customHeight="1">
      <c r="B206" s="43">
        <v>147</v>
      </c>
      <c r="C206" s="186"/>
      <c r="D206" s="187"/>
      <c r="S206" s="141"/>
      <c r="T206" s="34"/>
      <c r="U206" s="34"/>
      <c r="V206" s="34"/>
      <c r="W206" s="34"/>
      <c r="X206" s="34"/>
      <c r="Y206" s="34"/>
      <c r="Z206" s="34"/>
    </row>
    <row r="207" spans="2:26" ht="12.75" customHeight="1">
      <c r="B207" s="43">
        <v>148</v>
      </c>
      <c r="C207" s="186"/>
      <c r="D207" s="187"/>
      <c r="S207" s="141"/>
      <c r="T207" s="34"/>
      <c r="U207" s="34"/>
      <c r="V207" s="34"/>
      <c r="W207" s="34"/>
      <c r="X207" s="34"/>
      <c r="Y207" s="34"/>
      <c r="Z207" s="34"/>
    </row>
    <row r="208" spans="2:26" ht="12.75" customHeight="1">
      <c r="B208" s="43">
        <v>149</v>
      </c>
      <c r="C208" s="186"/>
      <c r="D208" s="187"/>
      <c r="S208" s="141"/>
      <c r="T208" s="34"/>
      <c r="U208" s="34"/>
      <c r="V208" s="34"/>
      <c r="W208" s="34"/>
      <c r="X208" s="34"/>
      <c r="Y208" s="34"/>
      <c r="Z208" s="34"/>
    </row>
    <row r="209" spans="2:26" ht="12.75" customHeight="1">
      <c r="B209" s="43">
        <v>150</v>
      </c>
      <c r="C209" s="186"/>
      <c r="D209" s="187"/>
      <c r="S209" s="141"/>
      <c r="T209" s="34"/>
      <c r="U209" s="34"/>
      <c r="V209" s="34"/>
      <c r="W209" s="34"/>
      <c r="X209" s="34"/>
      <c r="Y209" s="34"/>
      <c r="Z209" s="34"/>
    </row>
    <row r="210" spans="2:26" ht="12.75" customHeight="1">
      <c r="B210" s="43">
        <v>151</v>
      </c>
      <c r="C210" s="186"/>
      <c r="D210" s="187"/>
      <c r="S210" s="141"/>
      <c r="T210" s="34"/>
      <c r="U210" s="34"/>
      <c r="V210" s="34"/>
      <c r="W210" s="34"/>
      <c r="X210" s="34"/>
      <c r="Y210" s="34"/>
      <c r="Z210" s="34"/>
    </row>
    <row r="211" spans="2:26" ht="12.75" customHeight="1">
      <c r="B211" s="43">
        <v>152</v>
      </c>
      <c r="C211" s="186"/>
      <c r="D211" s="187"/>
      <c r="S211" s="141"/>
      <c r="T211" s="34"/>
      <c r="U211" s="34"/>
      <c r="V211" s="34"/>
      <c r="W211" s="34"/>
      <c r="X211" s="34"/>
      <c r="Y211" s="34"/>
      <c r="Z211" s="34"/>
    </row>
    <row r="212" spans="2:26" ht="12.75" customHeight="1">
      <c r="B212" s="43">
        <v>153</v>
      </c>
      <c r="C212" s="186"/>
      <c r="D212" s="187"/>
      <c r="S212" s="141"/>
      <c r="T212" s="34"/>
      <c r="U212" s="34"/>
      <c r="V212" s="34"/>
      <c r="W212" s="34"/>
      <c r="X212" s="34"/>
      <c r="Y212" s="34"/>
      <c r="Z212" s="34"/>
    </row>
    <row r="213" spans="2:26" ht="12.75" customHeight="1">
      <c r="B213" s="43">
        <v>154</v>
      </c>
      <c r="C213" s="186"/>
      <c r="D213" s="187"/>
      <c r="S213" s="141"/>
      <c r="T213" s="34"/>
      <c r="U213" s="34"/>
      <c r="V213" s="34"/>
      <c r="W213" s="34"/>
      <c r="X213" s="34"/>
      <c r="Y213" s="34"/>
      <c r="Z213" s="34"/>
    </row>
    <row r="214" spans="2:26" ht="12.75" customHeight="1">
      <c r="B214" s="43">
        <v>155</v>
      </c>
      <c r="C214" s="186"/>
      <c r="D214" s="187"/>
      <c r="S214" s="141"/>
      <c r="T214" s="34"/>
      <c r="U214" s="34"/>
      <c r="V214" s="34"/>
      <c r="W214" s="34"/>
      <c r="X214" s="34"/>
      <c r="Y214" s="34"/>
      <c r="Z214" s="34"/>
    </row>
    <row r="215" spans="2:26" ht="12.75" customHeight="1">
      <c r="B215" s="43">
        <v>156</v>
      </c>
      <c r="C215" s="186"/>
      <c r="D215" s="187"/>
      <c r="S215" s="141"/>
      <c r="T215" s="34"/>
      <c r="U215" s="34"/>
      <c r="V215" s="34"/>
      <c r="W215" s="34"/>
      <c r="X215" s="34"/>
      <c r="Y215" s="34"/>
      <c r="Z215" s="34"/>
    </row>
    <row r="216" spans="2:26" ht="12.75" customHeight="1">
      <c r="B216" s="43">
        <v>157</v>
      </c>
      <c r="C216" s="186"/>
      <c r="D216" s="187"/>
      <c r="S216" s="141"/>
      <c r="T216" s="34"/>
      <c r="U216" s="34"/>
      <c r="V216" s="34"/>
      <c r="W216" s="34"/>
      <c r="X216" s="34"/>
      <c r="Y216" s="34"/>
      <c r="Z216" s="34"/>
    </row>
    <row r="217" spans="2:26" ht="12.75" customHeight="1">
      <c r="B217" s="43">
        <v>158</v>
      </c>
      <c r="C217" s="186"/>
      <c r="D217" s="187"/>
      <c r="S217" s="141"/>
      <c r="T217" s="34"/>
      <c r="U217" s="34"/>
      <c r="V217" s="34"/>
      <c r="W217" s="34"/>
      <c r="X217" s="34"/>
      <c r="Y217" s="34"/>
      <c r="Z217" s="34"/>
    </row>
    <row r="218" spans="2:26" ht="12.75" customHeight="1">
      <c r="B218" s="43">
        <v>159</v>
      </c>
      <c r="C218" s="186"/>
      <c r="D218" s="187"/>
      <c r="S218" s="141"/>
      <c r="T218" s="34"/>
      <c r="U218" s="34"/>
      <c r="V218" s="34"/>
      <c r="W218" s="34"/>
      <c r="X218" s="34"/>
      <c r="Y218" s="34"/>
      <c r="Z218" s="34"/>
    </row>
    <row r="219" spans="2:26" ht="12.75" customHeight="1">
      <c r="B219" s="43">
        <v>160</v>
      </c>
      <c r="C219" s="186"/>
      <c r="D219" s="187"/>
      <c r="S219" s="141"/>
      <c r="T219" s="34"/>
      <c r="U219" s="34"/>
      <c r="V219" s="34"/>
      <c r="W219" s="34"/>
      <c r="X219" s="34"/>
      <c r="Y219" s="34"/>
      <c r="Z219" s="34"/>
    </row>
    <row r="220" spans="2:26" ht="12.75" customHeight="1">
      <c r="B220" s="43">
        <v>161</v>
      </c>
      <c r="C220" s="186"/>
      <c r="D220" s="187"/>
      <c r="S220" s="141"/>
      <c r="T220" s="34"/>
      <c r="U220" s="34"/>
      <c r="V220" s="34"/>
      <c r="W220" s="34"/>
      <c r="X220" s="34"/>
      <c r="Y220" s="34"/>
      <c r="Z220" s="34"/>
    </row>
    <row r="221" spans="2:26" ht="12.75" customHeight="1">
      <c r="B221" s="43">
        <v>162</v>
      </c>
      <c r="C221" s="186"/>
      <c r="D221" s="187"/>
      <c r="S221" s="141"/>
      <c r="T221" s="34"/>
      <c r="U221" s="34"/>
      <c r="V221" s="34"/>
      <c r="W221" s="34"/>
      <c r="X221" s="34"/>
      <c r="Y221" s="34"/>
      <c r="Z221" s="34"/>
    </row>
    <row r="222" spans="2:26" ht="12.75" customHeight="1">
      <c r="B222" s="43">
        <v>163</v>
      </c>
      <c r="C222" s="186"/>
      <c r="D222" s="187"/>
      <c r="S222" s="141"/>
      <c r="T222" s="34"/>
      <c r="U222" s="34"/>
      <c r="V222" s="34"/>
      <c r="W222" s="34"/>
      <c r="X222" s="34"/>
      <c r="Y222" s="34"/>
      <c r="Z222" s="34"/>
    </row>
    <row r="223" spans="2:26" ht="12.75" customHeight="1">
      <c r="B223" s="43">
        <v>164</v>
      </c>
      <c r="C223" s="186"/>
      <c r="D223" s="187"/>
      <c r="S223" s="141"/>
      <c r="T223" s="34"/>
      <c r="U223" s="34"/>
      <c r="V223" s="34"/>
      <c r="W223" s="34"/>
      <c r="X223" s="34"/>
      <c r="Y223" s="34"/>
      <c r="Z223" s="34"/>
    </row>
    <row r="224" spans="2:26" ht="12.75" customHeight="1">
      <c r="B224" s="43">
        <v>165</v>
      </c>
      <c r="C224" s="186"/>
      <c r="D224" s="187"/>
      <c r="S224" s="141"/>
      <c r="T224" s="34"/>
      <c r="U224" s="34"/>
      <c r="V224" s="34"/>
      <c r="W224" s="34"/>
      <c r="X224" s="34"/>
      <c r="Y224" s="34"/>
      <c r="Z224" s="34"/>
    </row>
    <row r="225" spans="2:26" ht="12.75" customHeight="1">
      <c r="B225" s="43">
        <v>166</v>
      </c>
      <c r="C225" s="186"/>
      <c r="D225" s="187"/>
      <c r="S225" s="141"/>
      <c r="T225" s="34"/>
      <c r="U225" s="34"/>
      <c r="V225" s="34"/>
      <c r="W225" s="34"/>
      <c r="X225" s="34"/>
      <c r="Y225" s="34"/>
      <c r="Z225" s="34"/>
    </row>
    <row r="226" spans="2:26" ht="12.75" customHeight="1">
      <c r="B226" s="43">
        <v>167</v>
      </c>
      <c r="C226" s="186"/>
      <c r="D226" s="187"/>
      <c r="S226" s="141"/>
      <c r="T226" s="34"/>
      <c r="U226" s="34"/>
      <c r="V226" s="34"/>
      <c r="W226" s="34"/>
      <c r="X226" s="34"/>
      <c r="Y226" s="34"/>
      <c r="Z226" s="34"/>
    </row>
    <row r="227" spans="2:26" ht="12.75" customHeight="1">
      <c r="B227" s="43">
        <v>168</v>
      </c>
      <c r="C227" s="186"/>
      <c r="D227" s="187"/>
      <c r="S227" s="141"/>
      <c r="T227" s="34"/>
      <c r="U227" s="34"/>
      <c r="V227" s="34"/>
      <c r="W227" s="34"/>
      <c r="X227" s="34"/>
      <c r="Y227" s="34"/>
      <c r="Z227" s="34"/>
    </row>
    <row r="228" spans="2:26" ht="12.75" customHeight="1">
      <c r="B228" s="43">
        <v>169</v>
      </c>
      <c r="C228" s="186"/>
      <c r="D228" s="187"/>
      <c r="S228" s="141"/>
      <c r="T228" s="34"/>
      <c r="U228" s="34"/>
      <c r="V228" s="34"/>
      <c r="W228" s="34"/>
      <c r="X228" s="34"/>
      <c r="Y228" s="34"/>
      <c r="Z228" s="34"/>
    </row>
    <row r="229" spans="2:26" ht="12.75" customHeight="1">
      <c r="B229" s="43">
        <v>170</v>
      </c>
      <c r="C229" s="186"/>
      <c r="D229" s="187"/>
      <c r="S229" s="141"/>
      <c r="T229" s="34"/>
      <c r="U229" s="34"/>
      <c r="V229" s="34"/>
      <c r="W229" s="34"/>
      <c r="X229" s="34"/>
      <c r="Y229" s="34"/>
      <c r="Z229" s="34"/>
    </row>
    <row r="230" spans="2:26" ht="12.75" customHeight="1">
      <c r="B230" s="43">
        <v>171</v>
      </c>
      <c r="C230" s="186"/>
      <c r="D230" s="187"/>
      <c r="S230" s="141"/>
      <c r="T230" s="34"/>
      <c r="U230" s="34"/>
      <c r="V230" s="34"/>
      <c r="W230" s="34"/>
      <c r="X230" s="34"/>
      <c r="Y230" s="34"/>
      <c r="Z230" s="34"/>
    </row>
    <row r="231" spans="2:26" ht="12.75" customHeight="1">
      <c r="B231" s="43">
        <v>172</v>
      </c>
      <c r="C231" s="186"/>
      <c r="D231" s="187"/>
      <c r="S231" s="141"/>
      <c r="T231" s="34"/>
      <c r="U231" s="34"/>
      <c r="V231" s="34"/>
      <c r="W231" s="34"/>
      <c r="X231" s="34"/>
      <c r="Y231" s="34"/>
      <c r="Z231" s="34"/>
    </row>
    <row r="232" spans="2:26" ht="12.75" customHeight="1">
      <c r="B232" s="43">
        <v>173</v>
      </c>
      <c r="C232" s="186"/>
      <c r="D232" s="187"/>
      <c r="S232" s="141"/>
      <c r="T232" s="34"/>
      <c r="U232" s="34"/>
      <c r="V232" s="34"/>
      <c r="W232" s="34"/>
      <c r="X232" s="34"/>
      <c r="Y232" s="34"/>
      <c r="Z232" s="34"/>
    </row>
    <row r="233" spans="2:26" ht="12.75" customHeight="1">
      <c r="B233" s="43">
        <v>174</v>
      </c>
      <c r="C233" s="186"/>
      <c r="D233" s="187"/>
      <c r="S233" s="141"/>
      <c r="T233" s="34"/>
      <c r="U233" s="34"/>
      <c r="V233" s="34"/>
      <c r="W233" s="34"/>
      <c r="X233" s="34"/>
      <c r="Y233" s="34"/>
      <c r="Z233" s="34"/>
    </row>
    <row r="234" spans="2:26" ht="12.75" customHeight="1">
      <c r="B234" s="43">
        <v>175</v>
      </c>
      <c r="C234" s="186"/>
      <c r="D234" s="187"/>
      <c r="S234" s="141"/>
      <c r="T234" s="34"/>
      <c r="U234" s="34"/>
      <c r="V234" s="34"/>
      <c r="W234" s="34"/>
      <c r="X234" s="34"/>
      <c r="Y234" s="34"/>
      <c r="Z234" s="34"/>
    </row>
    <row r="235" spans="2:26" ht="12.75" customHeight="1">
      <c r="B235" s="43">
        <v>176</v>
      </c>
      <c r="C235" s="186"/>
      <c r="D235" s="187"/>
      <c r="S235" s="141"/>
      <c r="T235" s="34"/>
      <c r="U235" s="34"/>
      <c r="V235" s="34"/>
      <c r="W235" s="34"/>
      <c r="X235" s="34"/>
      <c r="Y235" s="34"/>
      <c r="Z235" s="34"/>
    </row>
    <row r="236" spans="2:26" ht="12.75" customHeight="1">
      <c r="B236" s="43">
        <v>177</v>
      </c>
      <c r="C236" s="186"/>
      <c r="D236" s="187"/>
      <c r="S236" s="141"/>
      <c r="T236" s="34"/>
      <c r="U236" s="34"/>
      <c r="V236" s="34"/>
      <c r="W236" s="34"/>
      <c r="X236" s="34"/>
      <c r="Y236" s="34"/>
      <c r="Z236" s="34"/>
    </row>
    <row r="237" spans="2:26" ht="12.75" customHeight="1">
      <c r="B237" s="43">
        <v>178</v>
      </c>
      <c r="C237" s="186"/>
      <c r="D237" s="187"/>
      <c r="S237" s="141"/>
      <c r="T237" s="34"/>
      <c r="U237" s="34"/>
      <c r="V237" s="34"/>
      <c r="W237" s="34"/>
      <c r="X237" s="34"/>
      <c r="Y237" s="34"/>
      <c r="Z237" s="34"/>
    </row>
    <row r="238" spans="2:26" ht="12.75" customHeight="1">
      <c r="B238" s="43">
        <v>179</v>
      </c>
      <c r="C238" s="186"/>
      <c r="D238" s="187"/>
      <c r="S238" s="141"/>
      <c r="T238" s="34"/>
      <c r="U238" s="34"/>
      <c r="V238" s="34"/>
      <c r="W238" s="34"/>
      <c r="X238" s="34"/>
      <c r="Y238" s="34"/>
      <c r="Z238" s="34"/>
    </row>
    <row r="239" spans="2:26" ht="12.75" customHeight="1">
      <c r="B239" s="43">
        <v>180</v>
      </c>
      <c r="C239" s="186"/>
      <c r="D239" s="187"/>
      <c r="S239" s="141"/>
      <c r="T239" s="34"/>
      <c r="U239" s="34"/>
      <c r="V239" s="34"/>
      <c r="W239" s="34"/>
      <c r="X239" s="34"/>
      <c r="Y239" s="34"/>
      <c r="Z239" s="34"/>
    </row>
    <row r="240" spans="2:26" ht="12.75" customHeight="1">
      <c r="B240" s="43">
        <v>181</v>
      </c>
      <c r="C240" s="186"/>
      <c r="D240" s="187"/>
      <c r="S240" s="141"/>
      <c r="T240" s="34"/>
      <c r="U240" s="34"/>
      <c r="V240" s="34"/>
      <c r="W240" s="34"/>
      <c r="X240" s="34"/>
      <c r="Y240" s="34"/>
      <c r="Z240" s="34"/>
    </row>
    <row r="241" spans="2:26" ht="12.75" customHeight="1">
      <c r="B241" s="43">
        <v>182</v>
      </c>
      <c r="C241" s="186"/>
      <c r="D241" s="187"/>
      <c r="S241" s="141"/>
      <c r="T241" s="34"/>
      <c r="U241" s="34"/>
      <c r="V241" s="34"/>
      <c r="W241" s="34"/>
      <c r="X241" s="34"/>
      <c r="Y241" s="34"/>
      <c r="Z241" s="34"/>
    </row>
    <row r="242" spans="2:26" ht="12.75" customHeight="1">
      <c r="B242" s="43">
        <v>183</v>
      </c>
      <c r="C242" s="186"/>
      <c r="D242" s="187"/>
      <c r="S242" s="141"/>
      <c r="T242" s="34"/>
      <c r="U242" s="34"/>
      <c r="V242" s="34"/>
      <c r="W242" s="34"/>
      <c r="X242" s="34"/>
      <c r="Y242" s="34"/>
      <c r="Z242" s="34"/>
    </row>
    <row r="243" spans="2:26" ht="12.75" customHeight="1">
      <c r="B243" s="43">
        <v>184</v>
      </c>
      <c r="C243" s="186"/>
      <c r="D243" s="187"/>
      <c r="S243" s="141"/>
      <c r="T243" s="34"/>
      <c r="U243" s="34"/>
      <c r="V243" s="34"/>
      <c r="W243" s="34"/>
      <c r="X243" s="34"/>
      <c r="Y243" s="34"/>
      <c r="Z243" s="34"/>
    </row>
    <row r="244" spans="2:26" ht="12.75" customHeight="1">
      <c r="B244" s="43">
        <v>185</v>
      </c>
      <c r="C244" s="186"/>
      <c r="D244" s="187"/>
      <c r="S244" s="141"/>
      <c r="T244" s="34"/>
      <c r="U244" s="34"/>
      <c r="V244" s="34"/>
      <c r="W244" s="34"/>
      <c r="X244" s="34"/>
      <c r="Y244" s="34"/>
      <c r="Z244" s="34"/>
    </row>
    <row r="245" spans="2:26" ht="12.75" customHeight="1">
      <c r="B245" s="43">
        <v>186</v>
      </c>
      <c r="C245" s="186"/>
      <c r="D245" s="187"/>
      <c r="S245" s="141"/>
      <c r="T245" s="34"/>
      <c r="U245" s="34"/>
      <c r="V245" s="34"/>
      <c r="W245" s="34"/>
      <c r="X245" s="34"/>
      <c r="Y245" s="34"/>
      <c r="Z245" s="34"/>
    </row>
    <row r="246" spans="2:26" ht="12.75" customHeight="1">
      <c r="B246" s="43">
        <v>187</v>
      </c>
      <c r="C246" s="186"/>
      <c r="D246" s="187"/>
      <c r="S246" s="141"/>
      <c r="T246" s="34"/>
      <c r="U246" s="34"/>
      <c r="V246" s="34"/>
      <c r="W246" s="34"/>
      <c r="X246" s="34"/>
      <c r="Y246" s="34"/>
      <c r="Z246" s="34"/>
    </row>
    <row r="247" spans="2:26" ht="12.75" customHeight="1">
      <c r="B247" s="43">
        <v>188</v>
      </c>
      <c r="C247" s="186"/>
      <c r="D247" s="187"/>
      <c r="S247" s="141"/>
      <c r="T247" s="34"/>
      <c r="U247" s="34"/>
      <c r="V247" s="34"/>
      <c r="W247" s="34"/>
      <c r="X247" s="34"/>
      <c r="Y247" s="34"/>
      <c r="Z247" s="34"/>
    </row>
    <row r="248" spans="2:26" ht="12.75" customHeight="1">
      <c r="B248" s="43">
        <v>189</v>
      </c>
      <c r="C248" s="186"/>
      <c r="D248" s="187"/>
      <c r="S248" s="141"/>
      <c r="T248" s="34"/>
      <c r="U248" s="34"/>
      <c r="V248" s="34"/>
      <c r="W248" s="34"/>
      <c r="X248" s="34"/>
      <c r="Y248" s="34"/>
      <c r="Z248" s="34"/>
    </row>
    <row r="249" spans="2:26" ht="12.75" customHeight="1">
      <c r="B249" s="43">
        <v>190</v>
      </c>
      <c r="C249" s="186"/>
      <c r="D249" s="187"/>
      <c r="S249" s="141"/>
      <c r="T249" s="34"/>
      <c r="U249" s="34"/>
      <c r="V249" s="34"/>
      <c r="W249" s="34"/>
      <c r="X249" s="34"/>
      <c r="Y249" s="34"/>
      <c r="Z249" s="34"/>
    </row>
    <row r="250" spans="2:26" ht="12.75" customHeight="1">
      <c r="B250" s="43">
        <v>191</v>
      </c>
      <c r="C250" s="186"/>
      <c r="D250" s="187"/>
      <c r="S250" s="141"/>
      <c r="T250" s="34"/>
      <c r="U250" s="34"/>
      <c r="V250" s="34"/>
      <c r="W250" s="34"/>
      <c r="X250" s="34"/>
      <c r="Y250" s="34"/>
      <c r="Z250" s="34"/>
    </row>
    <row r="251" spans="2:26" ht="12.75" customHeight="1">
      <c r="B251" s="43">
        <v>192</v>
      </c>
      <c r="C251" s="186"/>
      <c r="D251" s="187"/>
      <c r="S251" s="141"/>
      <c r="T251" s="34"/>
      <c r="U251" s="34"/>
      <c r="V251" s="34"/>
      <c r="W251" s="34"/>
      <c r="X251" s="34"/>
      <c r="Y251" s="34"/>
      <c r="Z251" s="34"/>
    </row>
    <row r="252" spans="2:26" ht="12.75" customHeight="1">
      <c r="B252" s="43">
        <v>193</v>
      </c>
      <c r="C252" s="186"/>
      <c r="D252" s="187"/>
      <c r="S252" s="141"/>
      <c r="T252" s="34"/>
      <c r="U252" s="34"/>
      <c r="V252" s="34"/>
      <c r="W252" s="34"/>
      <c r="X252" s="34"/>
      <c r="Y252" s="34"/>
      <c r="Z252" s="34"/>
    </row>
    <row r="253" spans="2:26" ht="12.75" customHeight="1">
      <c r="B253" s="43">
        <v>194</v>
      </c>
      <c r="C253" s="186"/>
      <c r="D253" s="187"/>
      <c r="S253" s="141"/>
      <c r="T253" s="34"/>
      <c r="U253" s="34"/>
      <c r="V253" s="34"/>
      <c r="W253" s="34"/>
      <c r="X253" s="34"/>
      <c r="Y253" s="34"/>
      <c r="Z253" s="34"/>
    </row>
    <row r="254" spans="2:26" ht="12.75" customHeight="1">
      <c r="B254" s="43">
        <v>195</v>
      </c>
      <c r="C254" s="186"/>
      <c r="D254" s="187"/>
      <c r="S254" s="141"/>
      <c r="T254" s="34"/>
      <c r="U254" s="34"/>
      <c r="V254" s="34"/>
      <c r="W254" s="34"/>
      <c r="X254" s="34"/>
      <c r="Y254" s="34"/>
      <c r="Z254" s="34"/>
    </row>
    <row r="255" spans="2:26" ht="12.75" customHeight="1">
      <c r="B255" s="43">
        <v>196</v>
      </c>
      <c r="C255" s="186"/>
      <c r="D255" s="187"/>
      <c r="S255" s="141"/>
      <c r="T255" s="34"/>
      <c r="U255" s="34"/>
      <c r="V255" s="34"/>
      <c r="W255" s="34"/>
      <c r="X255" s="34"/>
      <c r="Y255" s="34"/>
      <c r="Z255" s="34"/>
    </row>
    <row r="256" spans="2:26" ht="12.75" customHeight="1">
      <c r="B256" s="43">
        <v>197</v>
      </c>
      <c r="C256" s="186"/>
      <c r="D256" s="187"/>
      <c r="S256" s="141"/>
      <c r="T256" s="34"/>
      <c r="U256" s="34"/>
      <c r="V256" s="34"/>
      <c r="W256" s="34"/>
      <c r="X256" s="34"/>
      <c r="Y256" s="34"/>
      <c r="Z256" s="34"/>
    </row>
    <row r="257" spans="2:26" ht="12.75" customHeight="1">
      <c r="B257" s="43">
        <v>198</v>
      </c>
      <c r="C257" s="186"/>
      <c r="D257" s="187"/>
      <c r="S257" s="141"/>
      <c r="T257" s="34"/>
      <c r="U257" s="34"/>
      <c r="V257" s="34"/>
      <c r="W257" s="34"/>
      <c r="X257" s="34"/>
      <c r="Y257" s="34"/>
      <c r="Z257" s="34"/>
    </row>
    <row r="258" spans="2:26" ht="12.75" customHeight="1">
      <c r="B258" s="43">
        <v>199</v>
      </c>
      <c r="C258" s="186"/>
      <c r="D258" s="187"/>
      <c r="S258" s="141"/>
      <c r="T258" s="34"/>
      <c r="U258" s="34"/>
      <c r="V258" s="34"/>
      <c r="W258" s="34"/>
      <c r="X258" s="34"/>
      <c r="Y258" s="34"/>
      <c r="Z258" s="34"/>
    </row>
    <row r="259" spans="2:26" ht="12.75" customHeight="1">
      <c r="B259" s="43">
        <v>200</v>
      </c>
      <c r="C259" s="186"/>
      <c r="D259" s="187"/>
      <c r="S259" s="141"/>
      <c r="T259" s="34"/>
      <c r="U259" s="34"/>
      <c r="V259" s="34"/>
      <c r="W259" s="34"/>
      <c r="X259" s="34"/>
      <c r="Y259" s="34"/>
      <c r="Z259" s="34"/>
    </row>
    <row r="260" spans="2:26" ht="12.75" customHeight="1">
      <c r="B260" s="43">
        <v>201</v>
      </c>
      <c r="C260" s="186"/>
      <c r="D260" s="187"/>
      <c r="S260" s="141"/>
      <c r="T260" s="34"/>
      <c r="U260" s="34"/>
      <c r="V260" s="34"/>
      <c r="W260" s="34"/>
      <c r="X260" s="34"/>
      <c r="Y260" s="34"/>
      <c r="Z260" s="34"/>
    </row>
    <row r="261" spans="2:26" ht="12.75" customHeight="1">
      <c r="B261" s="43">
        <v>202</v>
      </c>
      <c r="C261" s="186"/>
      <c r="D261" s="187"/>
      <c r="S261" s="141"/>
      <c r="T261" s="34"/>
      <c r="U261" s="34"/>
      <c r="V261" s="34"/>
      <c r="W261" s="34"/>
      <c r="X261" s="34"/>
      <c r="Y261" s="34"/>
      <c r="Z261" s="34"/>
    </row>
    <row r="262" spans="2:26" ht="12.75" customHeight="1">
      <c r="B262" s="43">
        <v>203</v>
      </c>
      <c r="C262" s="186"/>
      <c r="D262" s="187"/>
      <c r="S262" s="141"/>
      <c r="T262" s="34"/>
      <c r="U262" s="34"/>
      <c r="V262" s="34"/>
      <c r="W262" s="34"/>
      <c r="X262" s="34"/>
      <c r="Y262" s="34"/>
      <c r="Z262" s="34"/>
    </row>
    <row r="263" spans="2:26" ht="12.75" customHeight="1">
      <c r="B263" s="43">
        <v>204</v>
      </c>
      <c r="C263" s="186"/>
      <c r="D263" s="187"/>
      <c r="S263" s="141"/>
      <c r="T263" s="34"/>
      <c r="U263" s="34"/>
      <c r="V263" s="34"/>
      <c r="W263" s="34"/>
      <c r="X263" s="34"/>
      <c r="Y263" s="34"/>
      <c r="Z263" s="34"/>
    </row>
    <row r="264" spans="2:26" ht="12.75" customHeight="1">
      <c r="B264" s="43">
        <v>205</v>
      </c>
      <c r="C264" s="186"/>
      <c r="D264" s="187"/>
      <c r="S264" s="141"/>
      <c r="T264" s="34"/>
      <c r="U264" s="34"/>
      <c r="V264" s="34"/>
      <c r="W264" s="34"/>
      <c r="X264" s="34"/>
      <c r="Y264" s="34"/>
      <c r="Z264" s="34"/>
    </row>
    <row r="265" spans="2:26" ht="12.75" customHeight="1">
      <c r="B265" s="43">
        <v>206</v>
      </c>
      <c r="C265" s="186"/>
      <c r="D265" s="187"/>
      <c r="S265" s="141"/>
      <c r="T265" s="34"/>
      <c r="U265" s="34"/>
      <c r="V265" s="34"/>
      <c r="W265" s="34"/>
      <c r="X265" s="34"/>
      <c r="Y265" s="34"/>
      <c r="Z265" s="34"/>
    </row>
    <row r="266" spans="2:26" ht="12.75" customHeight="1">
      <c r="B266" s="43">
        <v>207</v>
      </c>
      <c r="C266" s="186"/>
      <c r="D266" s="187"/>
      <c r="S266" s="141"/>
      <c r="T266" s="34"/>
      <c r="U266" s="34"/>
      <c r="V266" s="34"/>
      <c r="W266" s="34"/>
      <c r="X266" s="34"/>
      <c r="Y266" s="34"/>
      <c r="Z266" s="34"/>
    </row>
    <row r="267" spans="2:26" ht="12.75" customHeight="1">
      <c r="B267" s="43">
        <v>208</v>
      </c>
      <c r="C267" s="186"/>
      <c r="D267" s="187"/>
      <c r="S267" s="141"/>
      <c r="T267" s="34"/>
      <c r="U267" s="34"/>
      <c r="V267" s="34"/>
      <c r="W267" s="34"/>
      <c r="X267" s="34"/>
      <c r="Y267" s="34"/>
      <c r="Z267" s="34"/>
    </row>
    <row r="268" spans="2:26" ht="12.75" customHeight="1">
      <c r="B268" s="43">
        <v>209</v>
      </c>
      <c r="C268" s="186"/>
      <c r="D268" s="187"/>
      <c r="S268" s="141"/>
      <c r="T268" s="34"/>
      <c r="U268" s="34"/>
      <c r="V268" s="34"/>
      <c r="W268" s="34"/>
      <c r="X268" s="34"/>
      <c r="Y268" s="34"/>
      <c r="Z268" s="34"/>
    </row>
    <row r="269" spans="2:26" ht="12.75" customHeight="1">
      <c r="B269" s="43">
        <v>210</v>
      </c>
      <c r="C269" s="186"/>
      <c r="D269" s="187"/>
      <c r="S269" s="141"/>
      <c r="T269" s="34"/>
      <c r="U269" s="34"/>
      <c r="V269" s="34"/>
      <c r="W269" s="34"/>
      <c r="X269" s="34"/>
      <c r="Y269" s="34"/>
      <c r="Z269" s="34"/>
    </row>
    <row r="270" spans="2:26" ht="12.75" customHeight="1">
      <c r="B270" s="43">
        <v>211</v>
      </c>
      <c r="C270" s="186"/>
      <c r="D270" s="187"/>
      <c r="S270" s="141"/>
      <c r="T270" s="34"/>
      <c r="U270" s="34"/>
      <c r="V270" s="34"/>
      <c r="W270" s="34"/>
      <c r="X270" s="34"/>
      <c r="Y270" s="34"/>
      <c r="Z270" s="34"/>
    </row>
    <row r="271" spans="2:26" ht="12.75" customHeight="1">
      <c r="B271" s="43">
        <v>212</v>
      </c>
      <c r="C271" s="186"/>
      <c r="D271" s="187"/>
      <c r="S271" s="141"/>
      <c r="T271" s="34"/>
      <c r="U271" s="34"/>
      <c r="V271" s="34"/>
      <c r="W271" s="34"/>
      <c r="X271" s="34"/>
      <c r="Y271" s="34"/>
      <c r="Z271" s="34"/>
    </row>
    <row r="272" spans="2:26" ht="12.75" customHeight="1">
      <c r="B272" s="43">
        <v>213</v>
      </c>
      <c r="C272" s="186"/>
      <c r="D272" s="187"/>
      <c r="S272" s="141"/>
      <c r="T272" s="34"/>
      <c r="U272" s="34"/>
      <c r="V272" s="34"/>
      <c r="W272" s="34"/>
      <c r="X272" s="34"/>
      <c r="Y272" s="34"/>
      <c r="Z272" s="34"/>
    </row>
    <row r="273" spans="2:26" ht="12.75" customHeight="1">
      <c r="B273" s="43">
        <v>214</v>
      </c>
      <c r="C273" s="186"/>
      <c r="D273" s="187"/>
      <c r="S273" s="141"/>
      <c r="T273" s="34"/>
      <c r="U273" s="34"/>
      <c r="V273" s="34"/>
      <c r="W273" s="34"/>
      <c r="X273" s="34"/>
      <c r="Y273" s="34"/>
      <c r="Z273" s="34"/>
    </row>
    <row r="274" spans="2:26" ht="12.75" customHeight="1">
      <c r="B274" s="43">
        <v>215</v>
      </c>
      <c r="C274" s="186"/>
      <c r="D274" s="187"/>
      <c r="S274" s="141"/>
      <c r="T274" s="34"/>
      <c r="U274" s="34"/>
      <c r="V274" s="34"/>
      <c r="W274" s="34"/>
      <c r="X274" s="34"/>
      <c r="Y274" s="34"/>
      <c r="Z274" s="34"/>
    </row>
    <row r="275" spans="2:26" ht="12.75" customHeight="1">
      <c r="B275" s="43">
        <v>216</v>
      </c>
      <c r="C275" s="186"/>
      <c r="D275" s="187"/>
      <c r="S275" s="141"/>
      <c r="T275" s="34"/>
      <c r="U275" s="34"/>
      <c r="V275" s="34"/>
      <c r="W275" s="34"/>
      <c r="X275" s="34"/>
      <c r="Y275" s="34"/>
      <c r="Z275" s="34"/>
    </row>
    <row r="276" spans="2:26" ht="12.75" customHeight="1">
      <c r="B276" s="43">
        <v>217</v>
      </c>
      <c r="C276" s="186"/>
      <c r="D276" s="187"/>
      <c r="S276" s="141"/>
      <c r="T276" s="34"/>
      <c r="U276" s="34"/>
      <c r="V276" s="34"/>
      <c r="W276" s="34"/>
      <c r="X276" s="34"/>
      <c r="Y276" s="34"/>
      <c r="Z276" s="34"/>
    </row>
    <row r="277" spans="2:26" ht="12.75" customHeight="1">
      <c r="B277" s="43">
        <v>218</v>
      </c>
      <c r="C277" s="186"/>
      <c r="D277" s="187"/>
      <c r="S277" s="141"/>
      <c r="T277" s="34"/>
      <c r="U277" s="34"/>
      <c r="V277" s="34"/>
      <c r="W277" s="34"/>
      <c r="X277" s="34"/>
      <c r="Y277" s="34"/>
      <c r="Z277" s="34"/>
    </row>
    <row r="278" spans="2:26" ht="12.75" customHeight="1">
      <c r="B278" s="43">
        <v>219</v>
      </c>
      <c r="C278" s="186"/>
      <c r="D278" s="187"/>
      <c r="S278" s="141"/>
      <c r="T278" s="34"/>
      <c r="U278" s="34"/>
      <c r="V278" s="34"/>
      <c r="W278" s="34"/>
      <c r="X278" s="34"/>
      <c r="Y278" s="34"/>
      <c r="Z278" s="34"/>
    </row>
    <row r="279" spans="2:26" ht="12.75" customHeight="1">
      <c r="B279" s="43">
        <v>220</v>
      </c>
      <c r="C279" s="186"/>
      <c r="D279" s="187"/>
      <c r="S279" s="141"/>
      <c r="T279" s="34"/>
      <c r="U279" s="34"/>
      <c r="V279" s="34"/>
      <c r="W279" s="34"/>
      <c r="X279" s="34"/>
      <c r="Y279" s="34"/>
      <c r="Z279" s="34"/>
    </row>
    <row r="280" spans="2:26" ht="12.75" customHeight="1">
      <c r="B280" s="43">
        <v>221</v>
      </c>
      <c r="C280" s="186"/>
      <c r="D280" s="187"/>
      <c r="S280" s="141"/>
      <c r="T280" s="34"/>
      <c r="U280" s="34"/>
      <c r="V280" s="34"/>
      <c r="W280" s="34"/>
      <c r="X280" s="34"/>
      <c r="Y280" s="34"/>
      <c r="Z280" s="34"/>
    </row>
    <row r="281" spans="2:26" ht="12.75" customHeight="1">
      <c r="B281" s="43">
        <v>222</v>
      </c>
      <c r="C281" s="186"/>
      <c r="D281" s="187"/>
      <c r="S281" s="141"/>
      <c r="T281" s="34"/>
      <c r="U281" s="34"/>
      <c r="V281" s="34"/>
      <c r="W281" s="34"/>
      <c r="X281" s="34"/>
      <c r="Y281" s="34"/>
      <c r="Z281" s="34"/>
    </row>
    <row r="282" spans="2:26" ht="12.75" customHeight="1">
      <c r="B282" s="43">
        <v>223</v>
      </c>
      <c r="C282" s="186"/>
      <c r="D282" s="187"/>
      <c r="S282" s="141"/>
      <c r="T282" s="34"/>
      <c r="U282" s="34"/>
      <c r="V282" s="34"/>
      <c r="W282" s="34"/>
      <c r="X282" s="34"/>
      <c r="Y282" s="34"/>
      <c r="Z282" s="34"/>
    </row>
    <row r="283" spans="2:26" ht="12.75" customHeight="1">
      <c r="B283" s="43">
        <v>224</v>
      </c>
      <c r="C283" s="186"/>
      <c r="D283" s="187"/>
      <c r="S283" s="141"/>
      <c r="T283" s="34"/>
      <c r="U283" s="34"/>
      <c r="V283" s="34"/>
      <c r="W283" s="34"/>
      <c r="X283" s="34"/>
      <c r="Y283" s="34"/>
      <c r="Z283" s="34"/>
    </row>
    <row r="284" spans="2:26" ht="12.75" customHeight="1">
      <c r="B284" s="43">
        <v>225</v>
      </c>
      <c r="C284" s="186"/>
      <c r="D284" s="187"/>
      <c r="S284" s="141"/>
      <c r="T284" s="34"/>
      <c r="U284" s="34"/>
      <c r="V284" s="34"/>
      <c r="W284" s="34"/>
      <c r="X284" s="34"/>
      <c r="Y284" s="34"/>
      <c r="Z284" s="34"/>
    </row>
    <row r="285" spans="2:26" ht="12.75" customHeight="1">
      <c r="B285" s="43">
        <v>226</v>
      </c>
      <c r="C285" s="186"/>
      <c r="D285" s="187"/>
      <c r="S285" s="141"/>
      <c r="T285" s="34"/>
      <c r="U285" s="34"/>
      <c r="V285" s="34"/>
      <c r="W285" s="34"/>
      <c r="X285" s="34"/>
      <c r="Y285" s="34"/>
      <c r="Z285" s="34"/>
    </row>
    <row r="286" spans="2:26" ht="12.75" customHeight="1">
      <c r="B286" s="43">
        <v>227</v>
      </c>
      <c r="C286" s="186"/>
      <c r="D286" s="187"/>
      <c r="S286" s="141"/>
      <c r="T286" s="34"/>
      <c r="U286" s="34"/>
      <c r="V286" s="34"/>
      <c r="W286" s="34"/>
      <c r="X286" s="34"/>
      <c r="Y286" s="34"/>
      <c r="Z286" s="34"/>
    </row>
    <row r="287" spans="2:26" ht="12.75" customHeight="1">
      <c r="B287" s="43">
        <v>228</v>
      </c>
      <c r="C287" s="186"/>
      <c r="D287" s="187"/>
      <c r="S287" s="141"/>
      <c r="T287" s="34"/>
      <c r="U287" s="34"/>
      <c r="V287" s="34"/>
      <c r="W287" s="34"/>
      <c r="X287" s="34"/>
      <c r="Y287" s="34"/>
      <c r="Z287" s="34"/>
    </row>
    <row r="288" spans="2:26" ht="12.75" customHeight="1">
      <c r="B288" s="43">
        <v>229</v>
      </c>
      <c r="C288" s="186"/>
      <c r="D288" s="187"/>
      <c r="S288" s="141"/>
      <c r="T288" s="34"/>
      <c r="U288" s="34"/>
      <c r="V288" s="34"/>
      <c r="W288" s="34"/>
      <c r="X288" s="34"/>
      <c r="Y288" s="34"/>
      <c r="Z288" s="34"/>
    </row>
    <row r="289" spans="2:26" ht="12.75" customHeight="1">
      <c r="B289" s="43">
        <v>230</v>
      </c>
      <c r="C289" s="186"/>
      <c r="D289" s="187"/>
      <c r="S289" s="141"/>
      <c r="T289" s="34"/>
      <c r="U289" s="34"/>
      <c r="V289" s="34"/>
      <c r="W289" s="34"/>
      <c r="X289" s="34"/>
      <c r="Y289" s="34"/>
      <c r="Z289" s="34"/>
    </row>
    <row r="290" spans="2:26" ht="12.75" customHeight="1">
      <c r="B290" s="43">
        <v>231</v>
      </c>
      <c r="C290" s="186"/>
      <c r="D290" s="187"/>
      <c r="S290" s="141"/>
      <c r="T290" s="34"/>
      <c r="U290" s="34"/>
      <c r="V290" s="34"/>
      <c r="W290" s="34"/>
      <c r="X290" s="34"/>
      <c r="Y290" s="34"/>
      <c r="Z290" s="34"/>
    </row>
    <row r="291" spans="2:26" ht="12.75" customHeight="1">
      <c r="B291" s="43">
        <v>232</v>
      </c>
      <c r="C291" s="186"/>
      <c r="D291" s="187"/>
      <c r="S291" s="141"/>
      <c r="T291" s="34"/>
      <c r="U291" s="34"/>
      <c r="V291" s="34"/>
      <c r="W291" s="34"/>
      <c r="X291" s="34"/>
      <c r="Y291" s="34"/>
      <c r="Z291" s="34"/>
    </row>
    <row r="292" spans="2:26" ht="12.75" customHeight="1">
      <c r="B292" s="43">
        <v>233</v>
      </c>
      <c r="C292" s="186"/>
      <c r="D292" s="187"/>
      <c r="S292" s="141"/>
      <c r="T292" s="34"/>
      <c r="U292" s="34"/>
      <c r="V292" s="34"/>
      <c r="W292" s="34"/>
      <c r="X292" s="34"/>
      <c r="Y292" s="34"/>
      <c r="Z292" s="34"/>
    </row>
    <row r="293" spans="2:26" ht="12.75" customHeight="1">
      <c r="B293" s="43">
        <v>234</v>
      </c>
      <c r="C293" s="186"/>
      <c r="D293" s="187"/>
      <c r="S293" s="141"/>
      <c r="T293" s="34"/>
      <c r="U293" s="34"/>
      <c r="V293" s="34"/>
      <c r="W293" s="34"/>
      <c r="X293" s="34"/>
      <c r="Y293" s="34"/>
      <c r="Z293" s="34"/>
    </row>
    <row r="294" spans="2:26" ht="12.75" customHeight="1">
      <c r="B294" s="43">
        <v>235</v>
      </c>
      <c r="C294" s="186"/>
      <c r="D294" s="187"/>
      <c r="S294" s="141"/>
      <c r="T294" s="34"/>
      <c r="U294" s="34"/>
      <c r="V294" s="34"/>
      <c r="W294" s="34"/>
      <c r="X294" s="34"/>
      <c r="Y294" s="34"/>
      <c r="Z294" s="34"/>
    </row>
    <row r="295" spans="2:26" ht="12.75" customHeight="1">
      <c r="B295" s="43">
        <v>236</v>
      </c>
      <c r="C295" s="186"/>
      <c r="D295" s="187"/>
      <c r="S295" s="141"/>
      <c r="T295" s="34"/>
      <c r="U295" s="34"/>
      <c r="V295" s="34"/>
      <c r="W295" s="34"/>
      <c r="X295" s="34"/>
      <c r="Y295" s="34"/>
      <c r="Z295" s="34"/>
    </row>
    <row r="296" spans="2:26" ht="12.75" customHeight="1">
      <c r="B296" s="43">
        <v>237</v>
      </c>
      <c r="C296" s="186"/>
      <c r="D296" s="187"/>
      <c r="S296" s="141"/>
      <c r="T296" s="34"/>
      <c r="U296" s="34"/>
      <c r="V296" s="34"/>
      <c r="W296" s="34"/>
      <c r="X296" s="34"/>
      <c r="Y296" s="34"/>
      <c r="Z296" s="34"/>
    </row>
    <row r="297" spans="2:26" ht="12.75" customHeight="1">
      <c r="B297" s="43">
        <v>238</v>
      </c>
      <c r="C297" s="186"/>
      <c r="D297" s="187"/>
      <c r="S297" s="141"/>
      <c r="T297" s="34"/>
      <c r="U297" s="34"/>
      <c r="V297" s="34"/>
      <c r="W297" s="34"/>
      <c r="X297" s="34"/>
      <c r="Y297" s="34"/>
      <c r="Z297" s="34"/>
    </row>
    <row r="298" spans="2:26" ht="12.75" customHeight="1">
      <c r="B298" s="43">
        <v>239</v>
      </c>
      <c r="C298" s="186"/>
      <c r="D298" s="187"/>
      <c r="S298" s="141"/>
      <c r="T298" s="34"/>
      <c r="U298" s="34"/>
      <c r="V298" s="34"/>
      <c r="W298" s="34"/>
      <c r="X298" s="34"/>
      <c r="Y298" s="34"/>
      <c r="Z298" s="34"/>
    </row>
    <row r="299" spans="2:26" ht="12.75" customHeight="1">
      <c r="B299" s="43">
        <v>240</v>
      </c>
      <c r="C299" s="186"/>
      <c r="D299" s="187"/>
      <c r="S299" s="141"/>
      <c r="T299" s="34"/>
      <c r="U299" s="34"/>
      <c r="V299" s="34"/>
      <c r="W299" s="34"/>
      <c r="X299" s="34"/>
      <c r="Y299" s="34"/>
      <c r="Z299" s="34"/>
    </row>
    <row r="300" spans="2:26" ht="12.75" customHeight="1">
      <c r="B300" s="43">
        <v>241</v>
      </c>
      <c r="C300" s="186"/>
      <c r="D300" s="187"/>
      <c r="S300" s="141"/>
      <c r="T300" s="34"/>
      <c r="U300" s="34"/>
      <c r="V300" s="34"/>
      <c r="W300" s="34"/>
      <c r="X300" s="34"/>
      <c r="Y300" s="34"/>
      <c r="Z300" s="34"/>
    </row>
    <row r="301" spans="2:26" ht="12.75" customHeight="1">
      <c r="B301" s="43">
        <v>242</v>
      </c>
      <c r="C301" s="186"/>
      <c r="D301" s="187"/>
      <c r="S301" s="141"/>
      <c r="T301" s="34"/>
      <c r="U301" s="34"/>
      <c r="V301" s="34"/>
      <c r="W301" s="34"/>
      <c r="X301" s="34"/>
      <c r="Y301" s="34"/>
      <c r="Z301" s="34"/>
    </row>
    <row r="302" spans="2:26" ht="12.75" customHeight="1">
      <c r="B302" s="43">
        <v>243</v>
      </c>
      <c r="C302" s="186"/>
      <c r="D302" s="187"/>
      <c r="S302" s="141"/>
      <c r="T302" s="34"/>
      <c r="U302" s="34"/>
      <c r="V302" s="34"/>
      <c r="W302" s="34"/>
      <c r="X302" s="34"/>
      <c r="Y302" s="34"/>
      <c r="Z302" s="34"/>
    </row>
    <row r="303" spans="2:26" ht="12.75" customHeight="1">
      <c r="B303" s="43">
        <v>244</v>
      </c>
      <c r="C303" s="186"/>
      <c r="D303" s="187"/>
      <c r="S303" s="141"/>
      <c r="T303" s="34"/>
      <c r="U303" s="34"/>
      <c r="V303" s="34"/>
      <c r="W303" s="34"/>
      <c r="X303" s="34"/>
      <c r="Y303" s="34"/>
      <c r="Z303" s="34"/>
    </row>
    <row r="304" spans="2:26" ht="12.75" customHeight="1">
      <c r="B304" s="43">
        <v>245</v>
      </c>
      <c r="C304" s="186"/>
      <c r="D304" s="187"/>
      <c r="S304" s="141"/>
      <c r="T304" s="34"/>
      <c r="U304" s="34"/>
      <c r="V304" s="34"/>
      <c r="W304" s="34"/>
      <c r="X304" s="34"/>
      <c r="Y304" s="34"/>
      <c r="Z304" s="34"/>
    </row>
    <row r="305" spans="2:26" ht="12.75" customHeight="1">
      <c r="B305" s="43">
        <v>246</v>
      </c>
      <c r="C305" s="186"/>
      <c r="D305" s="187"/>
      <c r="S305" s="141"/>
      <c r="T305" s="34"/>
      <c r="U305" s="34"/>
      <c r="V305" s="34"/>
      <c r="W305" s="34"/>
      <c r="X305" s="34"/>
      <c r="Y305" s="34"/>
      <c r="Z305" s="34"/>
    </row>
    <row r="306" spans="2:26" ht="12.75" customHeight="1">
      <c r="B306" s="43">
        <v>247</v>
      </c>
      <c r="C306" s="186"/>
      <c r="D306" s="187"/>
      <c r="S306" s="141"/>
      <c r="T306" s="34"/>
      <c r="U306" s="34"/>
      <c r="V306" s="34"/>
      <c r="W306" s="34"/>
      <c r="X306" s="34"/>
      <c r="Y306" s="34"/>
      <c r="Z306" s="34"/>
    </row>
    <row r="307" spans="2:26" ht="12.75" customHeight="1">
      <c r="B307" s="43">
        <v>248</v>
      </c>
      <c r="C307" s="186"/>
      <c r="D307" s="187"/>
      <c r="S307" s="141"/>
      <c r="T307" s="34"/>
      <c r="U307" s="34"/>
      <c r="V307" s="34"/>
      <c r="W307" s="34"/>
      <c r="X307" s="34"/>
      <c r="Y307" s="34"/>
      <c r="Z307" s="34"/>
    </row>
    <row r="308" spans="2:26" ht="12.75" customHeight="1">
      <c r="B308" s="43">
        <v>249</v>
      </c>
      <c r="C308" s="186"/>
      <c r="D308" s="187"/>
      <c r="S308" s="141"/>
      <c r="T308" s="34"/>
      <c r="U308" s="34"/>
      <c r="V308" s="34"/>
      <c r="W308" s="34"/>
      <c r="X308" s="34"/>
      <c r="Y308" s="34"/>
      <c r="Z308" s="34"/>
    </row>
    <row r="309" spans="2:26" ht="12.75" customHeight="1">
      <c r="B309" s="43">
        <v>250</v>
      </c>
      <c r="C309" s="186"/>
      <c r="D309" s="187"/>
      <c r="S309" s="141"/>
      <c r="T309" s="34"/>
      <c r="U309" s="34"/>
      <c r="V309" s="34"/>
      <c r="W309" s="34"/>
      <c r="X309" s="34"/>
      <c r="Y309" s="34"/>
      <c r="Z309" s="34"/>
    </row>
    <row r="310" spans="2:26" ht="12.75" customHeight="1">
      <c r="B310" s="43">
        <v>251</v>
      </c>
      <c r="C310" s="186"/>
      <c r="D310" s="187"/>
      <c r="S310" s="141"/>
      <c r="T310" s="34"/>
      <c r="U310" s="34"/>
      <c r="V310" s="34"/>
      <c r="W310" s="34"/>
      <c r="X310" s="34"/>
      <c r="Y310" s="34"/>
      <c r="Z310" s="34"/>
    </row>
    <row r="311" spans="2:26" ht="12.75" customHeight="1">
      <c r="B311" s="43">
        <v>252</v>
      </c>
      <c r="C311" s="186"/>
      <c r="D311" s="187"/>
      <c r="S311" s="141"/>
      <c r="T311" s="34"/>
      <c r="U311" s="34"/>
      <c r="V311" s="34"/>
      <c r="W311" s="34"/>
      <c r="X311" s="34"/>
      <c r="Y311" s="34"/>
      <c r="Z311" s="34"/>
    </row>
    <row r="312" spans="2:26" ht="12.75" customHeight="1">
      <c r="B312" s="43">
        <v>253</v>
      </c>
      <c r="C312" s="186"/>
      <c r="D312" s="187"/>
      <c r="S312" s="141"/>
      <c r="T312" s="34"/>
      <c r="U312" s="34"/>
      <c r="V312" s="34"/>
      <c r="W312" s="34"/>
      <c r="X312" s="34"/>
      <c r="Y312" s="34"/>
      <c r="Z312" s="34"/>
    </row>
    <row r="313" spans="2:26" ht="12.75" customHeight="1">
      <c r="B313" s="43">
        <v>254</v>
      </c>
      <c r="C313" s="186"/>
      <c r="D313" s="187"/>
      <c r="S313" s="141"/>
      <c r="T313" s="34"/>
      <c r="U313" s="34"/>
      <c r="V313" s="34"/>
      <c r="W313" s="34"/>
      <c r="X313" s="34"/>
      <c r="Y313" s="34"/>
      <c r="Z313" s="34"/>
    </row>
    <row r="314" spans="2:26" ht="12.75" customHeight="1">
      <c r="B314" s="43">
        <v>255</v>
      </c>
      <c r="C314" s="186"/>
      <c r="D314" s="187"/>
      <c r="S314" s="141"/>
      <c r="T314" s="34"/>
      <c r="U314" s="34"/>
      <c r="V314" s="34"/>
      <c r="W314" s="34"/>
      <c r="X314" s="34"/>
      <c r="Y314" s="34"/>
      <c r="Z314" s="34"/>
    </row>
    <row r="315" spans="2:26" ht="12.75" customHeight="1">
      <c r="B315" s="43">
        <v>256</v>
      </c>
      <c r="C315" s="186"/>
      <c r="D315" s="187"/>
      <c r="S315" s="141"/>
      <c r="T315" s="34"/>
      <c r="U315" s="34"/>
      <c r="V315" s="34"/>
      <c r="W315" s="34"/>
      <c r="X315" s="34"/>
      <c r="Y315" s="34"/>
      <c r="Z315" s="34"/>
    </row>
    <row r="316" spans="2:26" ht="12.75" customHeight="1">
      <c r="B316" s="43">
        <v>257</v>
      </c>
      <c r="C316" s="186"/>
      <c r="D316" s="187"/>
      <c r="S316" s="141"/>
      <c r="T316" s="34"/>
      <c r="U316" s="34"/>
      <c r="V316" s="34"/>
      <c r="W316" s="34"/>
      <c r="X316" s="34"/>
      <c r="Y316" s="34"/>
      <c r="Z316" s="34"/>
    </row>
    <row r="317" spans="2:26" ht="12.75" customHeight="1">
      <c r="B317" s="43">
        <v>258</v>
      </c>
      <c r="C317" s="186"/>
      <c r="D317" s="187"/>
      <c r="S317" s="141"/>
      <c r="T317" s="34"/>
      <c r="U317" s="34"/>
      <c r="V317" s="34"/>
      <c r="W317" s="34"/>
      <c r="X317" s="34"/>
      <c r="Y317" s="34"/>
      <c r="Z317" s="34"/>
    </row>
    <row r="318" spans="2:26" ht="12.75" customHeight="1">
      <c r="B318" s="43">
        <v>259</v>
      </c>
      <c r="C318" s="186"/>
      <c r="D318" s="187"/>
      <c r="S318" s="141"/>
      <c r="T318" s="34"/>
      <c r="U318" s="34"/>
      <c r="V318" s="34"/>
      <c r="W318" s="34"/>
      <c r="X318" s="34"/>
      <c r="Y318" s="34"/>
      <c r="Z318" s="34"/>
    </row>
    <row r="319" spans="2:26" ht="12.75" customHeight="1">
      <c r="B319" s="43">
        <v>260</v>
      </c>
      <c r="C319" s="186"/>
      <c r="D319" s="187"/>
      <c r="S319" s="141"/>
      <c r="T319" s="34"/>
      <c r="U319" s="34"/>
      <c r="V319" s="34"/>
      <c r="W319" s="34"/>
      <c r="X319" s="34"/>
      <c r="Y319" s="34"/>
      <c r="Z319" s="34"/>
    </row>
    <row r="320" spans="2:26" ht="12.75" customHeight="1">
      <c r="B320" s="43">
        <v>261</v>
      </c>
      <c r="C320" s="186"/>
      <c r="D320" s="187"/>
      <c r="S320" s="141"/>
      <c r="T320" s="34"/>
      <c r="U320" s="34"/>
      <c r="V320" s="34"/>
      <c r="W320" s="34"/>
      <c r="X320" s="34"/>
      <c r="Y320" s="34"/>
      <c r="Z320" s="34"/>
    </row>
    <row r="321" spans="2:26" ht="12.75" customHeight="1">
      <c r="B321" s="43">
        <v>262</v>
      </c>
      <c r="C321" s="186"/>
      <c r="D321" s="187"/>
      <c r="S321" s="141"/>
      <c r="T321" s="34"/>
      <c r="U321" s="34"/>
      <c r="V321" s="34"/>
      <c r="W321" s="34"/>
      <c r="X321" s="34"/>
      <c r="Y321" s="34"/>
      <c r="Z321" s="34"/>
    </row>
    <row r="322" spans="2:26" ht="12.75" customHeight="1">
      <c r="B322" s="43">
        <v>263</v>
      </c>
      <c r="C322" s="186"/>
      <c r="D322" s="187"/>
      <c r="S322" s="141"/>
      <c r="T322" s="34"/>
      <c r="U322" s="34"/>
      <c r="V322" s="34"/>
      <c r="W322" s="34"/>
      <c r="X322" s="34"/>
      <c r="Y322" s="34"/>
      <c r="Z322" s="34"/>
    </row>
    <row r="323" spans="2:26" ht="12.75" customHeight="1">
      <c r="B323" s="43">
        <v>264</v>
      </c>
      <c r="C323" s="186"/>
      <c r="D323" s="187"/>
      <c r="S323" s="141"/>
      <c r="T323" s="34"/>
      <c r="U323" s="34"/>
      <c r="V323" s="34"/>
      <c r="W323" s="34"/>
      <c r="X323" s="34"/>
      <c r="Y323" s="34"/>
      <c r="Z323" s="34"/>
    </row>
    <row r="324" spans="2:26" ht="12.75" customHeight="1">
      <c r="B324" s="43">
        <v>265</v>
      </c>
      <c r="C324" s="186"/>
      <c r="D324" s="187"/>
      <c r="S324" s="141"/>
      <c r="T324" s="34"/>
      <c r="U324" s="34"/>
      <c r="V324" s="34"/>
      <c r="W324" s="34"/>
      <c r="X324" s="34"/>
      <c r="Y324" s="34"/>
      <c r="Z324" s="34"/>
    </row>
    <row r="325" spans="2:26" ht="12.75" customHeight="1">
      <c r="B325" s="43">
        <v>266</v>
      </c>
      <c r="C325" s="186"/>
      <c r="D325" s="187"/>
      <c r="S325" s="141"/>
      <c r="T325" s="34"/>
      <c r="U325" s="34"/>
      <c r="V325" s="34"/>
      <c r="W325" s="34"/>
      <c r="X325" s="34"/>
      <c r="Y325" s="34"/>
      <c r="Z325" s="34"/>
    </row>
    <row r="326" spans="2:26" ht="12.75" customHeight="1">
      <c r="B326" s="43">
        <v>267</v>
      </c>
      <c r="C326" s="186"/>
      <c r="D326" s="187"/>
      <c r="S326" s="141"/>
      <c r="T326" s="34"/>
      <c r="U326" s="34"/>
      <c r="V326" s="34"/>
      <c r="W326" s="34"/>
      <c r="X326" s="34"/>
      <c r="Y326" s="34"/>
      <c r="Z326" s="34"/>
    </row>
    <row r="327" spans="2:26" ht="12.75" customHeight="1">
      <c r="B327" s="43">
        <v>268</v>
      </c>
      <c r="C327" s="186"/>
      <c r="D327" s="187"/>
      <c r="S327" s="141"/>
      <c r="T327" s="34"/>
      <c r="U327" s="34"/>
      <c r="V327" s="34"/>
      <c r="W327" s="34"/>
      <c r="X327" s="34"/>
      <c r="Y327" s="34"/>
      <c r="Z327" s="34"/>
    </row>
    <row r="328" spans="2:26" ht="12.75" customHeight="1">
      <c r="B328" s="43">
        <v>269</v>
      </c>
      <c r="C328" s="186"/>
      <c r="D328" s="187"/>
      <c r="S328" s="141"/>
      <c r="T328" s="34"/>
      <c r="U328" s="34"/>
      <c r="V328" s="34"/>
      <c r="W328" s="34"/>
      <c r="X328" s="34"/>
      <c r="Y328" s="34"/>
      <c r="Z328" s="34"/>
    </row>
    <row r="329" spans="2:26" ht="12.75" customHeight="1">
      <c r="B329" s="43">
        <v>270</v>
      </c>
      <c r="C329" s="186"/>
      <c r="D329" s="187"/>
      <c r="S329" s="141"/>
      <c r="T329" s="34"/>
      <c r="U329" s="34"/>
      <c r="V329" s="34"/>
      <c r="W329" s="34"/>
      <c r="X329" s="34"/>
      <c r="Y329" s="34"/>
      <c r="Z329" s="34"/>
    </row>
    <row r="330" spans="2:26" ht="12.75" customHeight="1">
      <c r="B330" s="43">
        <v>271</v>
      </c>
      <c r="C330" s="186"/>
      <c r="D330" s="187"/>
      <c r="S330" s="141"/>
      <c r="T330" s="34"/>
      <c r="U330" s="34"/>
      <c r="V330" s="34"/>
      <c r="W330" s="34"/>
      <c r="X330" s="34"/>
      <c r="Y330" s="34"/>
      <c r="Z330" s="34"/>
    </row>
    <row r="331" spans="2:26" ht="12.75" customHeight="1">
      <c r="B331" s="43">
        <v>272</v>
      </c>
      <c r="C331" s="186"/>
      <c r="D331" s="187"/>
      <c r="S331" s="141"/>
      <c r="T331" s="34"/>
      <c r="U331" s="34"/>
      <c r="V331" s="34"/>
      <c r="W331" s="34"/>
      <c r="X331" s="34"/>
      <c r="Y331" s="34"/>
      <c r="Z331" s="34"/>
    </row>
    <row r="332" spans="2:26" ht="12.75" customHeight="1">
      <c r="B332" s="43">
        <v>273</v>
      </c>
      <c r="C332" s="186"/>
      <c r="D332" s="187"/>
      <c r="S332" s="141"/>
      <c r="T332" s="34"/>
      <c r="U332" s="34"/>
      <c r="V332" s="34"/>
      <c r="W332" s="34"/>
      <c r="X332" s="34"/>
      <c r="Y332" s="34"/>
      <c r="Z332" s="34"/>
    </row>
    <row r="333" spans="2:26" ht="12.75" customHeight="1">
      <c r="B333" s="43">
        <v>274</v>
      </c>
      <c r="C333" s="186"/>
      <c r="D333" s="187"/>
      <c r="S333" s="141"/>
      <c r="T333" s="34"/>
      <c r="U333" s="34"/>
      <c r="V333" s="34"/>
      <c r="W333" s="34"/>
      <c r="X333" s="34"/>
      <c r="Y333" s="34"/>
      <c r="Z333" s="34"/>
    </row>
    <row r="334" spans="2:26" ht="12.75" customHeight="1">
      <c r="B334" s="43">
        <v>275</v>
      </c>
      <c r="C334" s="186"/>
      <c r="D334" s="187"/>
      <c r="S334" s="141"/>
      <c r="T334" s="34"/>
      <c r="U334" s="34"/>
      <c r="V334" s="34"/>
      <c r="W334" s="34"/>
      <c r="X334" s="34"/>
      <c r="Y334" s="34"/>
      <c r="Z334" s="34"/>
    </row>
    <row r="335" spans="2:26" ht="12.75" customHeight="1">
      <c r="B335" s="43">
        <v>276</v>
      </c>
      <c r="C335" s="186"/>
      <c r="D335" s="187"/>
      <c r="S335" s="141"/>
      <c r="T335" s="34"/>
      <c r="U335" s="34"/>
      <c r="V335" s="34"/>
      <c r="W335" s="34"/>
      <c r="X335" s="34"/>
      <c r="Y335" s="34"/>
      <c r="Z335" s="34"/>
    </row>
    <row r="336" spans="2:26" ht="12.75" customHeight="1">
      <c r="B336" s="43">
        <v>277</v>
      </c>
      <c r="C336" s="186"/>
      <c r="D336" s="187"/>
      <c r="S336" s="141"/>
      <c r="T336" s="34"/>
      <c r="U336" s="34"/>
      <c r="V336" s="34"/>
      <c r="W336" s="34"/>
      <c r="X336" s="34"/>
      <c r="Y336" s="34"/>
      <c r="Z336" s="34"/>
    </row>
    <row r="337" spans="2:26" ht="12.75" customHeight="1">
      <c r="B337" s="43">
        <v>278</v>
      </c>
      <c r="C337" s="186"/>
      <c r="D337" s="187"/>
      <c r="S337" s="141"/>
      <c r="T337" s="34"/>
      <c r="U337" s="34"/>
      <c r="V337" s="34"/>
      <c r="W337" s="34"/>
      <c r="X337" s="34"/>
      <c r="Y337" s="34"/>
      <c r="Z337" s="34"/>
    </row>
    <row r="338" spans="2:26" ht="12.75" customHeight="1">
      <c r="B338" s="43">
        <v>279</v>
      </c>
      <c r="C338" s="186"/>
      <c r="D338" s="187"/>
      <c r="S338" s="141"/>
      <c r="T338" s="34"/>
      <c r="U338" s="34"/>
      <c r="V338" s="34"/>
      <c r="W338" s="34"/>
      <c r="X338" s="34"/>
      <c r="Y338" s="34"/>
      <c r="Z338" s="34"/>
    </row>
    <row r="339" spans="2:26" ht="12.75" customHeight="1">
      <c r="B339" s="43">
        <v>280</v>
      </c>
      <c r="C339" s="186"/>
      <c r="D339" s="187"/>
      <c r="S339" s="141"/>
      <c r="T339" s="34"/>
      <c r="U339" s="34"/>
      <c r="V339" s="34"/>
      <c r="W339" s="34"/>
      <c r="X339" s="34"/>
      <c r="Y339" s="34"/>
      <c r="Z339" s="34"/>
    </row>
    <row r="340" spans="2:26" ht="12.75" customHeight="1">
      <c r="B340" s="43">
        <v>281</v>
      </c>
      <c r="C340" s="186"/>
      <c r="D340" s="187"/>
      <c r="S340" s="141"/>
      <c r="T340" s="34"/>
      <c r="U340" s="34"/>
      <c r="V340" s="34"/>
      <c r="W340" s="34"/>
      <c r="X340" s="34"/>
      <c r="Y340" s="34"/>
      <c r="Z340" s="34"/>
    </row>
    <row r="341" spans="2:26" ht="12.75" customHeight="1">
      <c r="B341" s="43">
        <v>282</v>
      </c>
      <c r="C341" s="186"/>
      <c r="D341" s="187"/>
      <c r="S341" s="141"/>
      <c r="T341" s="34"/>
      <c r="U341" s="34"/>
      <c r="V341" s="34"/>
      <c r="W341" s="34"/>
      <c r="X341" s="34"/>
      <c r="Y341" s="34"/>
      <c r="Z341" s="34"/>
    </row>
    <row r="342" spans="2:26" ht="12.75" customHeight="1">
      <c r="B342" s="43">
        <v>283</v>
      </c>
      <c r="C342" s="186"/>
      <c r="D342" s="187"/>
      <c r="S342" s="141"/>
      <c r="T342" s="34"/>
      <c r="U342" s="34"/>
      <c r="V342" s="34"/>
      <c r="W342" s="34"/>
      <c r="X342" s="34"/>
      <c r="Y342" s="34"/>
      <c r="Z342" s="34"/>
    </row>
    <row r="343" spans="2:26" ht="12.75" customHeight="1">
      <c r="B343" s="43">
        <v>284</v>
      </c>
      <c r="C343" s="186"/>
      <c r="D343" s="187"/>
      <c r="S343" s="141"/>
      <c r="T343" s="34"/>
      <c r="U343" s="34"/>
      <c r="V343" s="34"/>
      <c r="W343" s="34"/>
      <c r="X343" s="34"/>
      <c r="Y343" s="34"/>
      <c r="Z343" s="34"/>
    </row>
    <row r="344" spans="2:26" ht="12.75" customHeight="1">
      <c r="B344" s="43">
        <v>285</v>
      </c>
      <c r="C344" s="186"/>
      <c r="D344" s="187"/>
      <c r="S344" s="141"/>
      <c r="T344" s="34"/>
      <c r="U344" s="34"/>
      <c r="V344" s="34"/>
      <c r="W344" s="34"/>
      <c r="X344" s="34"/>
      <c r="Y344" s="34"/>
      <c r="Z344" s="34"/>
    </row>
    <row r="345" spans="2:26" ht="12.75" customHeight="1">
      <c r="B345" s="43">
        <v>286</v>
      </c>
      <c r="C345" s="186"/>
      <c r="D345" s="187"/>
      <c r="S345" s="141"/>
      <c r="T345" s="34"/>
      <c r="U345" s="34"/>
      <c r="V345" s="34"/>
      <c r="W345" s="34"/>
      <c r="X345" s="34"/>
      <c r="Y345" s="34"/>
      <c r="Z345" s="34"/>
    </row>
    <row r="346" spans="2:26" ht="12.75" customHeight="1">
      <c r="B346" s="43">
        <v>287</v>
      </c>
      <c r="C346" s="186"/>
      <c r="D346" s="187"/>
      <c r="S346" s="141"/>
      <c r="T346" s="34"/>
      <c r="U346" s="34"/>
      <c r="V346" s="34"/>
      <c r="W346" s="34"/>
      <c r="X346" s="34"/>
      <c r="Y346" s="34"/>
      <c r="Z346" s="34"/>
    </row>
    <row r="347" spans="2:26" ht="12.75" customHeight="1">
      <c r="B347" s="43">
        <v>288</v>
      </c>
      <c r="C347" s="186"/>
      <c r="D347" s="187"/>
      <c r="S347" s="141"/>
      <c r="T347" s="34"/>
      <c r="U347" s="34"/>
      <c r="V347" s="34"/>
      <c r="W347" s="34"/>
      <c r="X347" s="34"/>
      <c r="Y347" s="34"/>
      <c r="Z347" s="34"/>
    </row>
    <row r="348" spans="2:26" ht="12.75" customHeight="1">
      <c r="B348" s="43">
        <v>289</v>
      </c>
      <c r="C348" s="186"/>
      <c r="D348" s="187"/>
      <c r="S348" s="141"/>
      <c r="T348" s="34"/>
      <c r="U348" s="34"/>
      <c r="V348" s="34"/>
      <c r="W348" s="34"/>
      <c r="X348" s="34"/>
      <c r="Y348" s="34"/>
      <c r="Z348" s="34"/>
    </row>
    <row r="349" spans="2:26" ht="12.75" customHeight="1">
      <c r="B349" s="43">
        <v>290</v>
      </c>
      <c r="C349" s="186"/>
      <c r="D349" s="187"/>
      <c r="S349" s="141"/>
      <c r="T349" s="34"/>
      <c r="U349" s="34"/>
      <c r="V349" s="34"/>
      <c r="W349" s="34"/>
      <c r="X349" s="34"/>
      <c r="Y349" s="34"/>
      <c r="Z349" s="34"/>
    </row>
    <row r="350" spans="2:26" ht="12.75" customHeight="1">
      <c r="B350" s="43">
        <v>291</v>
      </c>
      <c r="C350" s="186"/>
      <c r="D350" s="187"/>
      <c r="S350" s="141"/>
      <c r="T350" s="34"/>
      <c r="U350" s="34"/>
      <c r="V350" s="34"/>
      <c r="W350" s="34"/>
      <c r="X350" s="34"/>
      <c r="Y350" s="34"/>
      <c r="Z350" s="34"/>
    </row>
    <row r="351" spans="2:26" ht="12.75" customHeight="1">
      <c r="B351" s="43">
        <v>292</v>
      </c>
      <c r="C351" s="186"/>
      <c r="D351" s="187"/>
      <c r="S351" s="141"/>
      <c r="T351" s="34"/>
      <c r="U351" s="34"/>
      <c r="V351" s="34"/>
      <c r="W351" s="34"/>
      <c r="X351" s="34"/>
      <c r="Y351" s="34"/>
      <c r="Z351" s="34"/>
    </row>
    <row r="352" spans="2:26" ht="12.75" customHeight="1">
      <c r="B352" s="43">
        <v>293</v>
      </c>
      <c r="C352" s="186"/>
      <c r="D352" s="187"/>
      <c r="S352" s="141"/>
      <c r="T352" s="34"/>
      <c r="U352" s="34"/>
      <c r="V352" s="34"/>
      <c r="W352" s="34"/>
      <c r="X352" s="34"/>
      <c r="Y352" s="34"/>
      <c r="Z352" s="34"/>
    </row>
    <row r="353" spans="1:26" ht="12.75" customHeight="1">
      <c r="B353" s="43">
        <v>294</v>
      </c>
      <c r="C353" s="186"/>
      <c r="D353" s="187"/>
      <c r="S353" s="141"/>
      <c r="T353" s="34"/>
      <c r="U353" s="34"/>
      <c r="V353" s="34"/>
      <c r="W353" s="34"/>
      <c r="X353" s="34"/>
      <c r="Y353" s="34"/>
      <c r="Z353" s="34"/>
    </row>
    <row r="354" spans="1:26" ht="12.75" customHeight="1">
      <c r="B354" s="43">
        <v>295</v>
      </c>
      <c r="C354" s="186"/>
      <c r="D354" s="187"/>
      <c r="S354" s="141"/>
      <c r="T354" s="34"/>
      <c r="U354" s="34"/>
      <c r="V354" s="34"/>
      <c r="W354" s="34"/>
      <c r="X354" s="34"/>
      <c r="Y354" s="34"/>
      <c r="Z354" s="34"/>
    </row>
    <row r="355" spans="1:26" ht="12.75" customHeight="1">
      <c r="B355" s="43">
        <v>296</v>
      </c>
      <c r="C355" s="186"/>
      <c r="D355" s="187"/>
      <c r="S355" s="141"/>
      <c r="T355" s="34"/>
      <c r="U355" s="34"/>
      <c r="V355" s="34"/>
      <c r="W355" s="34"/>
      <c r="X355" s="34"/>
      <c r="Y355" s="34"/>
      <c r="Z355" s="34"/>
    </row>
    <row r="356" spans="1:26" ht="12.75" customHeight="1">
      <c r="B356" s="43">
        <v>297</v>
      </c>
      <c r="C356" s="186"/>
      <c r="D356" s="187"/>
      <c r="S356" s="141"/>
      <c r="T356" s="34"/>
      <c r="U356" s="34"/>
      <c r="V356" s="34"/>
      <c r="W356" s="34"/>
      <c r="X356" s="34"/>
      <c r="Y356" s="34"/>
      <c r="Z356" s="34"/>
    </row>
    <row r="357" spans="1:26" ht="12.75" customHeight="1">
      <c r="B357" s="43">
        <v>298</v>
      </c>
      <c r="C357" s="186"/>
      <c r="D357" s="187"/>
      <c r="S357" s="141"/>
      <c r="T357" s="34"/>
      <c r="U357" s="34"/>
      <c r="V357" s="34"/>
      <c r="W357" s="34"/>
      <c r="X357" s="34"/>
      <c r="Y357" s="34"/>
      <c r="Z357" s="34"/>
    </row>
    <row r="358" spans="1:26" ht="12.75" customHeight="1">
      <c r="B358" s="43">
        <v>299</v>
      </c>
      <c r="C358" s="186"/>
      <c r="D358" s="187"/>
      <c r="S358" s="141"/>
      <c r="T358" s="34"/>
      <c r="U358" s="34"/>
      <c r="V358" s="34"/>
      <c r="W358" s="34"/>
      <c r="X358" s="34"/>
      <c r="Y358" s="34"/>
      <c r="Z358" s="34"/>
    </row>
    <row r="359" spans="1:26" ht="12.75" customHeight="1">
      <c r="B359" s="43">
        <v>300</v>
      </c>
      <c r="C359" s="186"/>
      <c r="D359" s="187"/>
      <c r="S359" s="141"/>
      <c r="T359" s="34"/>
      <c r="U359" s="34"/>
      <c r="V359" s="34"/>
      <c r="W359" s="34"/>
      <c r="X359" s="34"/>
      <c r="Y359" s="34"/>
      <c r="Z359" s="34"/>
    </row>
    <row r="360" spans="1:26" ht="12.75" customHeight="1">
      <c r="A360" s="25"/>
      <c r="B360" s="25"/>
      <c r="C360" s="25"/>
      <c r="D360" s="25"/>
      <c r="E360" s="25"/>
      <c r="F360" s="25"/>
      <c r="G360" s="25"/>
      <c r="H360" s="25"/>
      <c r="I360" s="25"/>
      <c r="J360" s="25"/>
      <c r="K360" s="25"/>
      <c r="L360" s="25"/>
      <c r="M360" s="25"/>
      <c r="N360" s="25"/>
      <c r="O360" s="25"/>
      <c r="P360" s="25"/>
      <c r="Q360" s="25"/>
      <c r="R360" s="25"/>
      <c r="S360" s="197"/>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1">
    <mergeCell ref="B51:C51"/>
    <mergeCell ref="A53:C53"/>
    <mergeCell ref="D53:E53"/>
    <mergeCell ref="H59:I59"/>
    <mergeCell ref="A1:S1"/>
    <mergeCell ref="D3:J3"/>
    <mergeCell ref="O3:S3"/>
    <mergeCell ref="A5:S5"/>
    <mergeCell ref="A48:C48"/>
    <mergeCell ref="D48:E48"/>
    <mergeCell ref="D51:E51"/>
  </mergeCells>
  <hyperlinks>
    <hyperlink ref="T2" location="'Cover Sheet'!A1" display="BACK to COVER SHEET" xr:uid="{00000000-0004-0000-0C00-000000000000}"/>
    <hyperlink ref="T47" location="'T3.5.9 Guidance Notes'!A1" display="Link to GUIDANCE NOTES for laminated structures" xr:uid="{00000000-0004-0000-0C00-000001000000}"/>
  </hyperlinks>
  <pageMargins left="0.39370078740157483" right="0.39370078740157483" top="0.39370078740157483" bottom="0.39370078740157483"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FFFF"/>
  </sheetPr>
  <dimension ref="B1:M1000"/>
  <sheetViews>
    <sheetView showGridLines="0" workbookViewId="0"/>
  </sheetViews>
  <sheetFormatPr baseColWidth="10" defaultColWidth="12.5703125" defaultRowHeight="15" customHeight="1"/>
  <cols>
    <col min="1" max="1" width="5.140625" customWidth="1"/>
    <col min="2" max="2" width="46.140625" customWidth="1"/>
    <col min="3" max="3" width="11.42578125" customWidth="1"/>
    <col min="4" max="4" width="11.5703125" customWidth="1"/>
    <col min="5" max="5" width="5.85546875" customWidth="1"/>
    <col min="6" max="6" width="8.5703125" customWidth="1"/>
    <col min="7" max="7" width="11.42578125" customWidth="1"/>
    <col min="8" max="8" width="12.42578125" customWidth="1"/>
    <col min="9" max="26" width="11.42578125" customWidth="1"/>
  </cols>
  <sheetData>
    <row r="1" spans="2:9" ht="12.75" customHeight="1">
      <c r="B1" s="213" t="s">
        <v>435</v>
      </c>
    </row>
    <row r="2" spans="2:9" ht="12.75" customHeight="1"/>
    <row r="3" spans="2:9" ht="12.75" customHeight="1">
      <c r="B3" s="27" t="s">
        <v>436</v>
      </c>
      <c r="C3" s="27" t="s">
        <v>437</v>
      </c>
      <c r="D3" s="27" t="s">
        <v>438</v>
      </c>
    </row>
    <row r="4" spans="2:9" ht="12.75" customHeight="1">
      <c r="B4" s="43" t="s">
        <v>439</v>
      </c>
      <c r="C4" s="109" t="s">
        <v>202</v>
      </c>
      <c r="D4" s="214" t="s">
        <v>202</v>
      </c>
    </row>
    <row r="5" spans="2:9" ht="12.75" customHeight="1">
      <c r="B5" s="43" t="s">
        <v>440</v>
      </c>
      <c r="C5" s="109" t="s">
        <v>247</v>
      </c>
      <c r="D5" s="109" t="s">
        <v>247</v>
      </c>
    </row>
    <row r="6" spans="2:9" ht="12.75" customHeight="1">
      <c r="B6" s="43" t="s">
        <v>441</v>
      </c>
      <c r="C6" s="126" t="str">
        <f>HLOOKUP(C4,MaterialData!$C$3:$P$4,2,FALSE)</f>
        <v>Steel</v>
      </c>
      <c r="D6" s="126" t="str">
        <f>HLOOKUP(D4,MaterialData!$C$3:$P$4,2,FALSE)</f>
        <v>Steel</v>
      </c>
    </row>
    <row r="7" spans="2:9" ht="12.75" customHeight="1">
      <c r="B7" s="43" t="s">
        <v>223</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225</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227</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229</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230</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442</v>
      </c>
      <c r="C13" s="109">
        <f>IF(AND(D13&gt;=25,D13&lt;25.4,D14&gt;=2.5),25,25.4)</f>
        <v>25.4</v>
      </c>
      <c r="D13" s="214">
        <v>30</v>
      </c>
      <c r="I13" s="131"/>
    </row>
    <row r="14" spans="2:9" ht="12.75" customHeight="1">
      <c r="B14" s="43" t="s">
        <v>443</v>
      </c>
      <c r="C14" s="109">
        <f>IF(AND(D13&gt;=25,D13&lt;25.4,D14&gt;=2.5),2.5,2.4)</f>
        <v>2.4</v>
      </c>
      <c r="D14" s="214">
        <v>2</v>
      </c>
      <c r="I14" s="131"/>
    </row>
    <row r="15" spans="2:9" ht="12.75" customHeight="1">
      <c r="I15" s="131"/>
    </row>
    <row r="16" spans="2:9" ht="12.75" customHeight="1">
      <c r="B16" s="43"/>
      <c r="C16" s="27" t="s">
        <v>437</v>
      </c>
      <c r="D16" s="27" t="s">
        <v>438</v>
      </c>
      <c r="I16" s="131"/>
    </row>
    <row r="17" spans="2:13" ht="12.75" customHeight="1">
      <c r="B17" s="43" t="s">
        <v>444</v>
      </c>
      <c r="C17" s="109">
        <f t="shared" ref="C17:D17" si="0">C13/1000</f>
        <v>2.5399999999999999E-2</v>
      </c>
      <c r="D17" s="109">
        <f t="shared" si="0"/>
        <v>0.03</v>
      </c>
      <c r="I17" s="131"/>
    </row>
    <row r="18" spans="2:13" ht="12.75" customHeight="1">
      <c r="B18" s="43" t="s">
        <v>445</v>
      </c>
      <c r="C18" s="109">
        <f t="shared" ref="C18:D18" si="1">C14/1000</f>
        <v>2.3999999999999998E-3</v>
      </c>
      <c r="D18" s="109">
        <f t="shared" si="1"/>
        <v>2E-3</v>
      </c>
      <c r="I18" s="131"/>
      <c r="M18" s="215"/>
    </row>
    <row r="19" spans="2:13" ht="12.75" customHeight="1">
      <c r="B19" s="43" t="s">
        <v>446</v>
      </c>
      <c r="C19" s="109">
        <f>((C17)^4-((C17-2*C18))^4)*3.142/64</f>
        <v>1.1593489847999996E-8</v>
      </c>
      <c r="D19" s="109">
        <f>IF(D5="Round",((D17)^4-((D17-2*D18))^4)*3.142/64,IF(D5="Square",((D17)^4-((D17-2*D18))^4)/12,""))</f>
        <v>1.7331272000000002E-8</v>
      </c>
      <c r="I19" s="131"/>
      <c r="L19" s="131"/>
      <c r="M19" s="215"/>
    </row>
    <row r="20" spans="2:13" ht="12.75" customHeight="1">
      <c r="B20" s="43" t="s">
        <v>447</v>
      </c>
      <c r="C20" s="126">
        <f t="shared" ref="C20:D20" si="2">C7*C19</f>
        <v>2318.6979695999994</v>
      </c>
      <c r="D20" s="126">
        <f t="shared" si="2"/>
        <v>3466.2544000000003</v>
      </c>
      <c r="E20" s="41">
        <f t="shared" ref="E20:E28" si="3">100*D20/C20</f>
        <v>149.49141481320081</v>
      </c>
    </row>
    <row r="21" spans="2:13" ht="12.75" customHeight="1">
      <c r="B21" s="43" t="s">
        <v>448</v>
      </c>
      <c r="C21" s="216">
        <f t="shared" ref="C21:D21" si="4">(C13^2-(C13-2*C14)^2)*PI()/4</f>
        <v>173.41591447815662</v>
      </c>
      <c r="D21" s="216">
        <f t="shared" si="4"/>
        <v>175.92918860102841</v>
      </c>
      <c r="E21" s="41">
        <f t="shared" si="3"/>
        <v>101.4492753623188</v>
      </c>
      <c r="L21" s="131"/>
    </row>
    <row r="22" spans="2:13" ht="12.75" customHeight="1">
      <c r="B22" s="43" t="s">
        <v>449</v>
      </c>
      <c r="C22" s="126">
        <f t="shared" ref="C22:D22" si="5">C$21*C8/1000000</f>
        <v>52891.853915837768</v>
      </c>
      <c r="D22" s="126">
        <f t="shared" si="5"/>
        <v>53658.402523313671</v>
      </c>
      <c r="E22" s="41">
        <f t="shared" si="3"/>
        <v>101.44927536231882</v>
      </c>
    </row>
    <row r="23" spans="2:13" ht="12.75" customHeight="1">
      <c r="B23" s="43" t="s">
        <v>450</v>
      </c>
      <c r="C23" s="126">
        <f t="shared" ref="C23:D23" si="6">C$21*C9/1000000</f>
        <v>63296.808784527166</v>
      </c>
      <c r="D23" s="126">
        <f t="shared" si="6"/>
        <v>64214.153839375373</v>
      </c>
      <c r="E23" s="41">
        <f t="shared" si="3"/>
        <v>101.44927536231883</v>
      </c>
      <c r="L23" s="131"/>
    </row>
    <row r="24" spans="2:13" ht="12.75" customHeight="1">
      <c r="B24" s="43" t="s">
        <v>451</v>
      </c>
      <c r="C24" s="126">
        <f t="shared" ref="C24:D24" si="7">C$21*C10/1000000</f>
        <v>31214.864606068193</v>
      </c>
      <c r="D24" s="126">
        <f t="shared" si="7"/>
        <v>31667.253948185116</v>
      </c>
      <c r="E24" s="41">
        <f t="shared" si="3"/>
        <v>101.44927536231883</v>
      </c>
      <c r="L24" s="131"/>
    </row>
    <row r="25" spans="2:13" ht="12.75" customHeight="1">
      <c r="B25" s="43" t="s">
        <v>452</v>
      </c>
      <c r="C25" s="126">
        <f t="shared" ref="C25:D25" si="8">C$21*C11/1000000</f>
        <v>52024.774343446981</v>
      </c>
      <c r="D25" s="126">
        <f t="shared" si="8"/>
        <v>52778.756580308524</v>
      </c>
      <c r="E25" s="41">
        <f t="shared" si="3"/>
        <v>101.44927536231883</v>
      </c>
      <c r="L25" s="131"/>
    </row>
    <row r="26" spans="2:13" ht="12.75" customHeight="1">
      <c r="B26" s="43" t="s">
        <v>453</v>
      </c>
      <c r="C26" s="126">
        <f t="shared" ref="C26:D26" si="9">4*C9*C19/(0.5*C17*1)</f>
        <v>1332.7948959118107</v>
      </c>
      <c r="D26" s="126">
        <f t="shared" si="9"/>
        <v>1686.9104746666669</v>
      </c>
      <c r="E26" s="41">
        <f t="shared" si="3"/>
        <v>126.5693978751767</v>
      </c>
      <c r="G26" s="131"/>
    </row>
    <row r="27" spans="2:13" ht="12.75" customHeight="1">
      <c r="B27" s="43" t="s">
        <v>454</v>
      </c>
      <c r="C27" s="126">
        <f>C26*1^3/(48*C7*C19)</f>
        <v>1.1975065616797901E-2</v>
      </c>
      <c r="D27" s="126">
        <f>C26*1^3/(48*D7*D19)</f>
        <v>8.0105373487577985E-3</v>
      </c>
      <c r="E27" s="41">
        <f t="shared" si="3"/>
        <v>66.893473531544572</v>
      </c>
    </row>
    <row r="28" spans="2:13" ht="12.75" customHeight="1">
      <c r="B28" s="43" t="s">
        <v>455</v>
      </c>
      <c r="C28" s="126">
        <f t="shared" ref="C28:D28" si="10">0.5*C26*(C26*1^3/(48*C7*C19))</f>
        <v>7.9801531661386313</v>
      </c>
      <c r="D28" s="126">
        <f t="shared" si="10"/>
        <v>8.5516989340740768</v>
      </c>
      <c r="E28" s="41">
        <f t="shared" si="3"/>
        <v>107.16209020098295</v>
      </c>
    </row>
    <row r="29" spans="2:13" ht="12.75" customHeight="1"/>
    <row r="30" spans="2:13" ht="12.75" customHeight="1">
      <c r="B30" s="39" t="s">
        <v>252</v>
      </c>
      <c r="D30" s="131"/>
    </row>
    <row r="31" spans="2:13" ht="12.75" customHeight="1">
      <c r="D31" s="131"/>
    </row>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304" priority="1" stopIfTrue="1" operator="lessThan">
      <formula>2</formula>
    </cfRule>
  </conditionalFormatting>
  <conditionalFormatting sqref="E20:E26 E28">
    <cfRule type="cellIs" dxfId="303" priority="2" stopIfTrue="1" operator="greaterThanOrEqual">
      <formula>100</formula>
    </cfRule>
    <cfRule type="cellIs" dxfId="302" priority="3" stopIfTrue="1" operator="lessThan">
      <formula>100</formula>
    </cfRule>
  </conditionalFormatting>
  <conditionalFormatting sqref="E27">
    <cfRule type="cellIs" dxfId="301" priority="4" stopIfTrue="1" operator="greaterThanOrEqual">
      <formula>100.01</formula>
    </cfRule>
    <cfRule type="cellIs" dxfId="300" priority="5" stopIfTrue="1" operator="lessThan">
      <formula>100.01</formula>
    </cfRule>
  </conditionalFormatting>
  <dataValidations count="3">
    <dataValidation type="list" allowBlank="1" showErrorMessage="1" sqref="D5" xr:uid="{00000000-0002-0000-0D00-000000000000}">
      <formula1>"Round"</formula1>
    </dataValidation>
    <dataValidation type="list" allowBlank="1" showInputMessage="1" showErrorMessage="1" prompt="Select Material" sqref="C12:D12" xr:uid="{00000000-0002-0000-0D00-000001000000}">
      <formula1>Materials</formula1>
    </dataValidation>
    <dataValidation type="list" allowBlank="1" showInputMessage="1" showErrorMessage="1" prompt="Select Material" sqref="D4" xr:uid="{00000000-0002-0000-0D00-000002000000}">
      <formula1>"Steel,Steel 2"</formula1>
    </dataValidation>
  </dataValidations>
  <hyperlinks>
    <hyperlink ref="B30" location="'Cover Sheet'!A1" display="BACK to COVER SHEET" xr:uid="{00000000-0004-0000-0D00-000000000000}"/>
  </hyperlinks>
  <pageMargins left="0.75" right="0.75" top="1" bottom="1"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CCFFFF"/>
  </sheetPr>
  <dimension ref="B1:M1000"/>
  <sheetViews>
    <sheetView showGridLines="0" workbookViewId="0"/>
  </sheetViews>
  <sheetFormatPr baseColWidth="10" defaultColWidth="12.5703125" defaultRowHeight="15" customHeight="1"/>
  <cols>
    <col min="1" max="1" width="5.140625" customWidth="1"/>
    <col min="2" max="2" width="46.140625" customWidth="1"/>
    <col min="3" max="3" width="11.42578125" customWidth="1"/>
    <col min="4" max="4" width="11.5703125" customWidth="1"/>
    <col min="5" max="5" width="5.85546875" customWidth="1"/>
    <col min="6" max="6" width="8.5703125" customWidth="1"/>
    <col min="7" max="7" width="11.42578125" customWidth="1"/>
    <col min="8" max="8" width="12.42578125" customWidth="1"/>
    <col min="9" max="26" width="11.42578125" customWidth="1"/>
  </cols>
  <sheetData>
    <row r="1" spans="2:9" ht="12.75" customHeight="1">
      <c r="B1" s="213" t="s">
        <v>456</v>
      </c>
    </row>
    <row r="2" spans="2:9" ht="12.75" customHeight="1"/>
    <row r="3" spans="2:9" ht="12.75" customHeight="1">
      <c r="B3" s="27" t="s">
        <v>436</v>
      </c>
      <c r="C3" s="27" t="s">
        <v>437</v>
      </c>
      <c r="D3" s="27" t="s">
        <v>438</v>
      </c>
    </row>
    <row r="4" spans="2:9" ht="12.75" customHeight="1">
      <c r="B4" s="43" t="s">
        <v>439</v>
      </c>
      <c r="C4" s="109" t="s">
        <v>202</v>
      </c>
      <c r="D4" s="214" t="s">
        <v>202</v>
      </c>
    </row>
    <row r="5" spans="2:9" ht="12.75" customHeight="1">
      <c r="B5" s="43" t="s">
        <v>440</v>
      </c>
      <c r="C5" s="109" t="s">
        <v>247</v>
      </c>
      <c r="D5" s="214" t="s">
        <v>247</v>
      </c>
    </row>
    <row r="6" spans="2:9" ht="12.75" customHeight="1">
      <c r="B6" s="43" t="s">
        <v>441</v>
      </c>
      <c r="C6" s="126" t="str">
        <f>HLOOKUP(C4,MaterialData!$C$3:$P$4,2,FALSE)</f>
        <v>Steel</v>
      </c>
      <c r="D6" s="126" t="str">
        <f>HLOOKUP(D4,MaterialData!$C$3:$P$4,2,FALSE)</f>
        <v>Steel</v>
      </c>
    </row>
    <row r="7" spans="2:9" ht="12.75" customHeight="1">
      <c r="B7" s="43" t="s">
        <v>223</v>
      </c>
      <c r="C7" s="126">
        <f t="array" ref="C7">INDEX(Innertable,MATCH($B7,MaterialData!$B$6:$B$11,0),MATCH(C$6,MaterialData!$C$4:$P$4,0))</f>
        <v>200000000000</v>
      </c>
      <c r="D7" s="126">
        <f t="array" ref="D7">INDEX(Innertable,MATCH($B7,MaterialData!$B$6:$B$11,0),MATCH(D$6,MaterialData!$C$4:$P$4,0))</f>
        <v>200000000000</v>
      </c>
      <c r="I7" s="131"/>
    </row>
    <row r="8" spans="2:9" ht="12.75" customHeight="1">
      <c r="B8" s="43" t="s">
        <v>225</v>
      </c>
      <c r="C8" s="126">
        <f t="array" ref="C8">INDEX(Innertable,MATCH($B8,MaterialData!$B$6:$B$11,0),MATCH(C$6,MaterialData!$C$4:$P$4,0))</f>
        <v>305000000</v>
      </c>
      <c r="D8" s="126">
        <f t="array" ref="D8">INDEX(Innertable,MATCH($B8,MaterialData!$B$6:$B$11,0),MATCH(D$6,MaterialData!$C$4:$P$4,0))</f>
        <v>305000000</v>
      </c>
      <c r="I8" s="131"/>
    </row>
    <row r="9" spans="2:9" ht="12.75" customHeight="1">
      <c r="B9" s="43" t="s">
        <v>227</v>
      </c>
      <c r="C9" s="126">
        <f t="array" ref="C9">INDEX(Innertable,MATCH($B9,MaterialData!$B$6:$B$11,0),MATCH(C$6,MaterialData!$C$4:$P$4,0))</f>
        <v>365000000</v>
      </c>
      <c r="D9" s="126">
        <f t="array" ref="D9">INDEX(Innertable,MATCH($B9,MaterialData!$B$6:$B$11,0),MATCH(D$6,MaterialData!$C$4:$P$4,0))</f>
        <v>365000000</v>
      </c>
      <c r="I9" s="131"/>
    </row>
    <row r="10" spans="2:9" ht="12.75" customHeight="1">
      <c r="B10" s="43" t="s">
        <v>229</v>
      </c>
      <c r="C10" s="126">
        <f t="array" ref="C10">INDEX(Innertable,MATCH($B10,MaterialData!$B$6:$B$11,0),MATCH(C$6,MaterialData!$C$4:$P$4,0))</f>
        <v>180000000</v>
      </c>
      <c r="D10" s="126">
        <f t="array" ref="D10">INDEX(Innertable,MATCH($B10,MaterialData!$B$6:$B$11,0),MATCH(D$6,MaterialData!$C$4:$P$4,0))</f>
        <v>180000000</v>
      </c>
      <c r="I10" s="131"/>
    </row>
    <row r="11" spans="2:9" ht="12.75" customHeight="1">
      <c r="B11" s="43" t="s">
        <v>230</v>
      </c>
      <c r="C11" s="126">
        <f t="array" ref="C11">INDEX(Innertable,MATCH($B11,MaterialData!$B$6:$B$11,0),MATCH(C$6,MaterialData!$C$4:$P$4,0))</f>
        <v>300000000</v>
      </c>
      <c r="D11" s="126">
        <f t="array" ref="D11">INDEX(Innertable,MATCH($B11,MaterialData!$B$6:$B$11,0),MATCH(D$6,MaterialData!$C$4:$P$4,0))</f>
        <v>300000000</v>
      </c>
      <c r="I11" s="131"/>
    </row>
    <row r="12" spans="2:9" ht="12.75" customHeight="1">
      <c r="C12" s="67"/>
      <c r="D12" s="67"/>
      <c r="I12" s="131"/>
    </row>
    <row r="13" spans="2:9" ht="12.75" customHeight="1">
      <c r="B13" s="43" t="s">
        <v>442</v>
      </c>
      <c r="C13" s="217">
        <v>25.4</v>
      </c>
      <c r="D13" s="218">
        <v>28</v>
      </c>
      <c r="I13" s="131"/>
    </row>
    <row r="14" spans="2:9" ht="12.75" customHeight="1">
      <c r="B14" s="43" t="s">
        <v>443</v>
      </c>
      <c r="C14" s="109">
        <v>1.6</v>
      </c>
      <c r="D14" s="219">
        <v>1.5</v>
      </c>
      <c r="I14" s="131"/>
    </row>
    <row r="15" spans="2:9" ht="12.75" customHeight="1">
      <c r="I15" s="131"/>
    </row>
    <row r="16" spans="2:9" ht="12.75" customHeight="1">
      <c r="B16" s="43"/>
      <c r="C16" s="27" t="s">
        <v>437</v>
      </c>
      <c r="D16" s="27" t="s">
        <v>438</v>
      </c>
      <c r="I16" s="131"/>
    </row>
    <row r="17" spans="2:13" ht="12.75" customHeight="1">
      <c r="B17" s="43" t="s">
        <v>444</v>
      </c>
      <c r="C17" s="109">
        <f t="shared" ref="C17:D17" si="0">C13/1000</f>
        <v>2.5399999999999999E-2</v>
      </c>
      <c r="D17" s="109">
        <f t="shared" si="0"/>
        <v>2.8000000000000001E-2</v>
      </c>
      <c r="I17" s="131"/>
    </row>
    <row r="18" spans="2:13" ht="12.75" customHeight="1">
      <c r="B18" s="43" t="s">
        <v>445</v>
      </c>
      <c r="C18" s="109">
        <f t="shared" ref="C18:D18" si="1">C14/1000</f>
        <v>1.6000000000000001E-3</v>
      </c>
      <c r="D18" s="109">
        <f t="shared" si="1"/>
        <v>1.5E-3</v>
      </c>
      <c r="I18" s="131"/>
      <c r="M18" s="215"/>
    </row>
    <row r="19" spans="2:13" ht="12.75" customHeight="1">
      <c r="B19" s="43" t="s">
        <v>446</v>
      </c>
      <c r="C19" s="126">
        <f t="shared" ref="C19:D19" si="2">IF(C5="Round",((C17)^4-((C17-2*C18))^4)*3.142/64,IF(C5="Square",((C17)^4-((C17-2*C18))^4)/12,""))</f>
        <v>8.5099184800000022E-9</v>
      </c>
      <c r="D19" s="126">
        <f t="shared" si="2"/>
        <v>1.0998521906249999E-8</v>
      </c>
      <c r="I19" s="131"/>
      <c r="L19" s="131"/>
      <c r="M19" s="215"/>
    </row>
    <row r="20" spans="2:13" ht="12.75" customHeight="1">
      <c r="B20" s="43" t="s">
        <v>447</v>
      </c>
      <c r="C20" s="126">
        <f t="shared" ref="C20:D20" si="3">C7*C19</f>
        <v>1701.9836960000005</v>
      </c>
      <c r="D20" s="126">
        <f t="shared" si="3"/>
        <v>2199.7043812499996</v>
      </c>
      <c r="E20" s="41">
        <f t="shared" ref="E20:E28" si="4">100*D20/C20</f>
        <v>129.24356363810895</v>
      </c>
    </row>
    <row r="21" spans="2:13" ht="12.75" customHeight="1">
      <c r="B21" s="43" t="s">
        <v>448</v>
      </c>
      <c r="C21" s="216">
        <f t="shared" ref="C21:D21" si="5">IF(C5="Round",(C13^2-(C13-2*C14)^2)*PI()/4,IF(C5="Square",C13^2-(C13-2*C14)^2,""))</f>
        <v>119.63184824869931</v>
      </c>
      <c r="D21" s="216">
        <f t="shared" si="5"/>
        <v>124.87830798019428</v>
      </c>
      <c r="E21" s="41">
        <f t="shared" si="4"/>
        <v>104.38550420168067</v>
      </c>
      <c r="L21" s="131"/>
    </row>
    <row r="22" spans="2:13" ht="12.75" customHeight="1">
      <c r="B22" s="43" t="s">
        <v>449</v>
      </c>
      <c r="C22" s="126">
        <f t="shared" ref="C22:D22" si="6">C$21*C8/1000000</f>
        <v>36487.713715853293</v>
      </c>
      <c r="D22" s="126">
        <f t="shared" si="6"/>
        <v>38087.883933959252</v>
      </c>
      <c r="E22" s="41">
        <f t="shared" si="4"/>
        <v>104.38550420168067</v>
      </c>
    </row>
    <row r="23" spans="2:13" ht="12.75" customHeight="1">
      <c r="B23" s="43" t="s">
        <v>450</v>
      </c>
      <c r="C23" s="126">
        <f t="shared" ref="C23:D23" si="7">C$21*C9/1000000</f>
        <v>43665.624610775245</v>
      </c>
      <c r="D23" s="126">
        <f t="shared" si="7"/>
        <v>45580.582412770913</v>
      </c>
      <c r="E23" s="41">
        <f t="shared" si="4"/>
        <v>104.38550420168069</v>
      </c>
      <c r="L23" s="131"/>
    </row>
    <row r="24" spans="2:13" ht="12.75" customHeight="1">
      <c r="B24" s="43" t="s">
        <v>451</v>
      </c>
      <c r="C24" s="126">
        <f t="shared" ref="C24:D24" si="8">C$21*C10/1000000</f>
        <v>21533.732684765877</v>
      </c>
      <c r="D24" s="126">
        <f t="shared" si="8"/>
        <v>22478.095436434971</v>
      </c>
      <c r="E24" s="41">
        <f t="shared" si="4"/>
        <v>104.38550420168067</v>
      </c>
      <c r="L24" s="131"/>
    </row>
    <row r="25" spans="2:13" ht="12.75" customHeight="1">
      <c r="B25" s="43" t="s">
        <v>452</v>
      </c>
      <c r="C25" s="126">
        <f t="shared" ref="C25:D25" si="9">C$21*C11/1000000</f>
        <v>35889.554474609795</v>
      </c>
      <c r="D25" s="126">
        <f t="shared" si="9"/>
        <v>37463.492394058281</v>
      </c>
      <c r="E25" s="41">
        <f t="shared" si="4"/>
        <v>104.38550420168067</v>
      </c>
      <c r="L25" s="131"/>
    </row>
    <row r="26" spans="2:13" ht="12.75" customHeight="1">
      <c r="B26" s="43" t="s">
        <v>453</v>
      </c>
      <c r="C26" s="126">
        <f t="shared" ref="C26:D26" si="10">4*C9*C19/(0.5*C17*1)</f>
        <v>978.30558903937037</v>
      </c>
      <c r="D26" s="126">
        <f t="shared" si="10"/>
        <v>1146.988713080357</v>
      </c>
      <c r="E26" s="41">
        <f t="shared" si="4"/>
        <v>117.24237558599884</v>
      </c>
    </row>
    <row r="27" spans="2:13" ht="12.75" customHeight="1">
      <c r="B27" s="43" t="s">
        <v>454</v>
      </c>
      <c r="C27" s="126">
        <f>C26*1^3/(48*C7*C19)</f>
        <v>1.1975065616797899E-2</v>
      </c>
      <c r="D27" s="126">
        <f>C26*1^3/(48*D7*D19)</f>
        <v>9.2655024975393917E-3</v>
      </c>
      <c r="E27" s="41">
        <f t="shared" si="4"/>
        <v>77.373292089041286</v>
      </c>
    </row>
    <row r="28" spans="2:13" ht="12.75" customHeight="1">
      <c r="B28" s="43" t="s">
        <v>455</v>
      </c>
      <c r="C28" s="126">
        <f t="shared" ref="C28:D28" si="11">0.5*C26*(C26*1^3/(48*C7*C19))</f>
        <v>5.8576368110132897</v>
      </c>
      <c r="D28" s="126">
        <f t="shared" si="11"/>
        <v>6.2299238136061055</v>
      </c>
      <c r="E28" s="41">
        <f t="shared" si="4"/>
        <v>106.35558356729896</v>
      </c>
    </row>
    <row r="29" spans="2:13" ht="12.75" customHeight="1"/>
    <row r="30" spans="2:13" ht="12.75" customHeight="1">
      <c r="B30" s="39" t="s">
        <v>252</v>
      </c>
    </row>
    <row r="31" spans="2:13" ht="12.75" customHeight="1"/>
    <row r="32" spans="2:1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9" priority="1" stopIfTrue="1" operator="lessThan">
      <formula>1.2</formula>
    </cfRule>
  </conditionalFormatting>
  <conditionalFormatting sqref="E20:E26 E28">
    <cfRule type="cellIs" dxfId="298" priority="2" stopIfTrue="1" operator="greaterThanOrEqual">
      <formula>100</formula>
    </cfRule>
    <cfRule type="cellIs" dxfId="297" priority="3" stopIfTrue="1" operator="lessThan">
      <formula>100</formula>
    </cfRule>
  </conditionalFormatting>
  <conditionalFormatting sqref="E27">
    <cfRule type="cellIs" dxfId="296" priority="4" stopIfTrue="1" operator="greaterThanOrEqual">
      <formula>100.01</formula>
    </cfRule>
    <cfRule type="cellIs" dxfId="295" priority="5" stopIfTrue="1" operator="lessThan">
      <formula>100.01</formula>
    </cfRule>
  </conditionalFormatting>
  <dataValidations count="3">
    <dataValidation type="list" allowBlank="1" showInputMessage="1" showErrorMessage="1" prompt="Select Material" sqref="D5" xr:uid="{00000000-0002-0000-0E00-000000000000}">
      <formula1>Tube_Type</formula1>
    </dataValidation>
    <dataValidation type="list" allowBlank="1" showInputMessage="1" showErrorMessage="1" prompt="Select Material" sqref="C12:D12" xr:uid="{00000000-0002-0000-0E00-000001000000}">
      <formula1>Materials</formula1>
    </dataValidation>
    <dataValidation type="list" allowBlank="1" showInputMessage="1" showErrorMessage="1" prompt="Select Material" sqref="D4" xr:uid="{00000000-0002-0000-0E00-000002000000}">
      <formula1>"Steel,Steel 2"</formula1>
    </dataValidation>
  </dataValidations>
  <hyperlinks>
    <hyperlink ref="B30" location="'Cover Sheet'!A1" display="BACK to COVER SHEET" xr:uid="{00000000-0004-0000-0E00-000000000000}"/>
  </hyperlinks>
  <pageMargins left="0.75" right="0.75" top="1" bottom="1"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CCFFFF"/>
  </sheetPr>
  <dimension ref="B1:N1000"/>
  <sheetViews>
    <sheetView showGridLines="0" workbookViewId="0"/>
  </sheetViews>
  <sheetFormatPr baseColWidth="10" defaultColWidth="12.5703125" defaultRowHeight="15" customHeight="1"/>
  <cols>
    <col min="1" max="1" width="5.140625" customWidth="1"/>
    <col min="2" max="2" width="46.140625" customWidth="1"/>
    <col min="3" max="3" width="11.42578125" customWidth="1"/>
    <col min="4" max="4" width="11.5703125" customWidth="1"/>
    <col min="5" max="5" width="5.85546875" customWidth="1"/>
    <col min="6" max="6" width="8.5703125" customWidth="1"/>
    <col min="7" max="7" width="11.42578125" customWidth="1"/>
    <col min="8" max="8" width="12.42578125" customWidth="1"/>
    <col min="9" max="26" width="11.42578125" customWidth="1"/>
  </cols>
  <sheetData>
    <row r="1" spans="2:12" ht="12.75" customHeight="1">
      <c r="B1" s="213" t="s">
        <v>457</v>
      </c>
    </row>
    <row r="2" spans="2:12" ht="12.75" customHeight="1">
      <c r="G2" s="220" t="s">
        <v>458</v>
      </c>
    </row>
    <row r="3" spans="2:12" ht="12.75" customHeight="1">
      <c r="B3" s="27" t="s">
        <v>436</v>
      </c>
      <c r="C3" s="27" t="s">
        <v>437</v>
      </c>
      <c r="D3" s="27" t="s">
        <v>438</v>
      </c>
      <c r="G3" s="142"/>
      <c r="H3" s="143"/>
      <c r="I3" s="143"/>
      <c r="J3" s="143"/>
      <c r="K3" s="143"/>
      <c r="L3" s="144"/>
    </row>
    <row r="4" spans="2:12" ht="12.75" customHeight="1">
      <c r="B4" s="43" t="s">
        <v>439</v>
      </c>
      <c r="C4" s="109" t="s">
        <v>202</v>
      </c>
      <c r="D4" s="214" t="s">
        <v>202</v>
      </c>
      <c r="G4" s="95"/>
      <c r="H4" s="64"/>
      <c r="I4" s="64"/>
      <c r="J4" s="64"/>
      <c r="K4" s="64"/>
      <c r="L4" s="96"/>
    </row>
    <row r="5" spans="2:12" ht="12.75" customHeight="1">
      <c r="B5" s="43" t="s">
        <v>440</v>
      </c>
      <c r="C5" s="109" t="s">
        <v>247</v>
      </c>
      <c r="D5" s="214" t="s">
        <v>247</v>
      </c>
      <c r="G5" s="95"/>
      <c r="H5" s="64"/>
      <c r="I5" s="64"/>
      <c r="J5" s="64"/>
      <c r="K5" s="64"/>
      <c r="L5" s="96"/>
    </row>
    <row r="6" spans="2:12" ht="12.75" customHeight="1">
      <c r="B6" s="43" t="s">
        <v>441</v>
      </c>
      <c r="C6" s="126" t="str">
        <f>HLOOKUP(C4,MaterialData!$C$3:$P$4,2,FALSE)</f>
        <v>Steel</v>
      </c>
      <c r="D6" s="126" t="str">
        <f>HLOOKUP(D4,MaterialData!$C$3:$P$4,2,FALSE)</f>
        <v>Steel</v>
      </c>
      <c r="G6" s="95"/>
      <c r="H6" s="64"/>
      <c r="I6" s="64"/>
      <c r="J6" s="64"/>
      <c r="K6" s="64"/>
      <c r="L6" s="96"/>
    </row>
    <row r="7" spans="2:12" ht="12.75" customHeight="1">
      <c r="B7" s="43" t="s">
        <v>223</v>
      </c>
      <c r="C7" s="126">
        <f t="array" ref="C7">INDEX(Innertable,MATCH($B7,MaterialData!$B$6:$B$11,0),MATCH(C$6,MaterialData!$C$4:$P$4,0))</f>
        <v>200000000000</v>
      </c>
      <c r="D7" s="126">
        <f t="array" ref="D7">INDEX(Innertable,MATCH($B7,MaterialData!$B$6:$B$11,0),MATCH(D$6,MaterialData!$C$4:$P$4,0))</f>
        <v>200000000000</v>
      </c>
      <c r="G7" s="95"/>
      <c r="H7" s="64"/>
      <c r="I7" s="64"/>
      <c r="J7" s="64"/>
      <c r="K7" s="64"/>
      <c r="L7" s="96"/>
    </row>
    <row r="8" spans="2:12" ht="12.75" customHeight="1">
      <c r="B8" s="43" t="s">
        <v>225</v>
      </c>
      <c r="C8" s="126">
        <f t="array" ref="C8">INDEX(Innertable,MATCH($B8,MaterialData!$B$6:$B$11,0),MATCH(C$6,MaterialData!$C$4:$P$4,0))</f>
        <v>305000000</v>
      </c>
      <c r="D8" s="126">
        <f t="array" ref="D8">INDEX(Innertable,MATCH($B8,MaterialData!$B$6:$B$11,0),MATCH(D$6,MaterialData!$C$4:$P$4,0))</f>
        <v>305000000</v>
      </c>
      <c r="G8" s="95"/>
      <c r="H8" s="64"/>
      <c r="I8" s="64"/>
      <c r="J8" s="64"/>
      <c r="K8" s="64"/>
      <c r="L8" s="96"/>
    </row>
    <row r="9" spans="2:12" ht="12.75" customHeight="1">
      <c r="B9" s="43" t="s">
        <v>227</v>
      </c>
      <c r="C9" s="126">
        <f t="array" ref="C9">INDEX(Innertable,MATCH($B9,MaterialData!$B$6:$B$11,0),MATCH(C$6,MaterialData!$C$4:$P$4,0))</f>
        <v>365000000</v>
      </c>
      <c r="D9" s="126">
        <f t="array" ref="D9">INDEX(Innertable,MATCH($B9,MaterialData!$B$6:$B$11,0),MATCH(D$6,MaterialData!$C$4:$P$4,0))</f>
        <v>365000000</v>
      </c>
      <c r="G9" s="95"/>
      <c r="H9" s="64"/>
      <c r="I9" s="64"/>
      <c r="J9" s="64"/>
      <c r="K9" s="64"/>
      <c r="L9" s="96"/>
    </row>
    <row r="10" spans="2:12" ht="12.75" customHeight="1">
      <c r="B10" s="43" t="s">
        <v>229</v>
      </c>
      <c r="C10" s="126">
        <f t="array" ref="C10">INDEX(Innertable,MATCH($B10,MaterialData!$B$6:$B$11,0),MATCH(C$6,MaterialData!$C$4:$P$4,0))</f>
        <v>180000000</v>
      </c>
      <c r="D10" s="126">
        <f t="array" ref="D10">INDEX(Innertable,MATCH($B10,MaterialData!$B$6:$B$11,0),MATCH(D$6,MaterialData!$C$4:$P$4,0))</f>
        <v>180000000</v>
      </c>
      <c r="G10" s="95"/>
      <c r="H10" s="64"/>
      <c r="I10" s="64"/>
      <c r="J10" s="64"/>
      <c r="K10" s="64"/>
      <c r="L10" s="96"/>
    </row>
    <row r="11" spans="2:12" ht="12.75" customHeight="1">
      <c r="B11" s="43" t="s">
        <v>230</v>
      </c>
      <c r="C11" s="126">
        <f t="array" ref="C11">INDEX(Innertable,MATCH($B11,MaterialData!$B$6:$B$11,0),MATCH(C$6,MaterialData!$C$4:$P$4,0))</f>
        <v>300000000</v>
      </c>
      <c r="D11" s="126">
        <f t="array" ref="D11">INDEX(Innertable,MATCH($B11,MaterialData!$B$6:$B$11,0),MATCH(D$6,MaterialData!$C$4:$P$4,0))</f>
        <v>300000000</v>
      </c>
      <c r="G11" s="95"/>
      <c r="H11" s="64"/>
      <c r="I11" s="64"/>
      <c r="J11" s="64"/>
      <c r="K11" s="64"/>
      <c r="L11" s="96"/>
    </row>
    <row r="12" spans="2:12" ht="12.75" customHeight="1">
      <c r="C12" s="67"/>
      <c r="D12" s="67"/>
      <c r="G12" s="95"/>
      <c r="H12" s="64"/>
      <c r="I12" s="64"/>
      <c r="J12" s="64"/>
      <c r="K12" s="64"/>
      <c r="L12" s="96"/>
    </row>
    <row r="13" spans="2:12" ht="12.75" customHeight="1">
      <c r="B13" s="43" t="s">
        <v>442</v>
      </c>
      <c r="C13" s="109">
        <f>IF(AND(D13&gt;=25,D13&lt;25.4,D14&gt;=2.5),25,25.4)</f>
        <v>25.4</v>
      </c>
      <c r="D13" s="214">
        <v>30</v>
      </c>
      <c r="G13" s="95"/>
      <c r="H13" s="64"/>
      <c r="I13" s="64"/>
      <c r="J13" s="64"/>
      <c r="K13" s="64"/>
      <c r="L13" s="96"/>
    </row>
    <row r="14" spans="2:12" ht="12.75" customHeight="1">
      <c r="B14" s="43" t="s">
        <v>443</v>
      </c>
      <c r="C14" s="109">
        <f>IF(AND(D13&gt;=25,D13&lt;25.4,D14&gt;=2.5),2.5,2.4)</f>
        <v>2.4</v>
      </c>
      <c r="D14" s="214">
        <v>2</v>
      </c>
      <c r="G14" s="95"/>
      <c r="H14" s="64"/>
      <c r="I14" s="64"/>
      <c r="J14" s="64"/>
      <c r="K14" s="64"/>
      <c r="L14" s="96"/>
    </row>
    <row r="15" spans="2:12" ht="12.75" customHeight="1">
      <c r="G15" s="95"/>
      <c r="H15" s="64"/>
      <c r="I15" s="64"/>
      <c r="J15" s="64"/>
      <c r="K15" s="64"/>
      <c r="L15" s="96"/>
    </row>
    <row r="16" spans="2:12" ht="12.75" customHeight="1">
      <c r="B16" s="43"/>
      <c r="C16" s="27" t="s">
        <v>437</v>
      </c>
      <c r="D16" s="27" t="s">
        <v>438</v>
      </c>
      <c r="G16" s="95"/>
      <c r="H16" s="64"/>
      <c r="I16" s="64"/>
      <c r="J16" s="64"/>
      <c r="K16" s="64"/>
      <c r="L16" s="96"/>
    </row>
    <row r="17" spans="2:14" ht="12.75" customHeight="1">
      <c r="B17" s="43" t="s">
        <v>444</v>
      </c>
      <c r="C17" s="109">
        <f t="shared" ref="C17:D17" si="0">C13/1000</f>
        <v>2.5399999999999999E-2</v>
      </c>
      <c r="D17" s="109">
        <f t="shared" si="0"/>
        <v>0.03</v>
      </c>
      <c r="G17" s="95"/>
      <c r="H17" s="64"/>
      <c r="I17" s="64"/>
      <c r="J17" s="64"/>
      <c r="K17" s="64"/>
      <c r="L17" s="96"/>
    </row>
    <row r="18" spans="2:14" ht="12.75" customHeight="1">
      <c r="B18" s="43" t="s">
        <v>445</v>
      </c>
      <c r="C18" s="109">
        <f t="shared" ref="C18:D18" si="1">C14/1000</f>
        <v>2.3999999999999998E-3</v>
      </c>
      <c r="D18" s="109">
        <f t="shared" si="1"/>
        <v>2E-3</v>
      </c>
      <c r="G18" s="95"/>
      <c r="H18" s="64"/>
      <c r="I18" s="64"/>
      <c r="J18" s="64"/>
      <c r="K18" s="64"/>
      <c r="L18" s="96"/>
      <c r="M18" s="215"/>
    </row>
    <row r="19" spans="2:14" ht="12.75" customHeight="1">
      <c r="B19" s="43" t="s">
        <v>446</v>
      </c>
      <c r="C19" s="109">
        <f>((C17)^4-((C17-2*C18))^4)*3.142/64</f>
        <v>1.1593489847999996E-8</v>
      </c>
      <c r="D19" s="109">
        <f>IF(D5="Round",((D17)^4-((D17-2*D18))^4)*3.142/64,IF(D5="Square",((D17)^4-((D17-2*D18))^4)/12,""))</f>
        <v>1.7331272000000002E-8</v>
      </c>
      <c r="G19" s="95"/>
      <c r="H19" s="64"/>
      <c r="I19" s="64"/>
      <c r="J19" s="64"/>
      <c r="K19" s="64"/>
      <c r="L19" s="96"/>
      <c r="M19" s="215"/>
    </row>
    <row r="20" spans="2:14" ht="12.75" customHeight="1">
      <c r="B20" s="43" t="s">
        <v>447</v>
      </c>
      <c r="C20" s="126">
        <f t="shared" ref="C20:D20" si="2">C7*C19</f>
        <v>2318.6979695999994</v>
      </c>
      <c r="D20" s="126">
        <f t="shared" si="2"/>
        <v>3466.2544000000003</v>
      </c>
      <c r="E20" s="41">
        <f>100*$D$20/$C$20</f>
        <v>149.49141481320081</v>
      </c>
      <c r="G20" s="95"/>
      <c r="H20" s="64"/>
      <c r="I20" s="64"/>
      <c r="J20" s="64"/>
      <c r="K20" s="64"/>
      <c r="L20" s="96"/>
    </row>
    <row r="21" spans="2:14" ht="12.75" customHeight="1">
      <c r="B21" s="43" t="s">
        <v>448</v>
      </c>
      <c r="C21" s="216">
        <f>(C13^2-(C13-2*C14)^2)*PI()/4</f>
        <v>173.41591447815662</v>
      </c>
      <c r="D21" s="216">
        <f>IF(D5="Round",(D13^2-(D13-2*D14)^2)*PI()/4,IF(D5="Square",D13^2-(D13-2*D14)^2,""))</f>
        <v>175.92918860102841</v>
      </c>
      <c r="E21" s="41">
        <f>IF(D4="steel",100*$D$21/$C$21,"NA")</f>
        <v>101.4492753623188</v>
      </c>
      <c r="G21" s="95"/>
      <c r="H21" s="64"/>
      <c r="I21" s="64"/>
      <c r="J21" s="64"/>
      <c r="K21" s="64"/>
      <c r="L21" s="96"/>
    </row>
    <row r="22" spans="2:14" ht="12.75" customHeight="1">
      <c r="B22" s="43" t="s">
        <v>449</v>
      </c>
      <c r="C22" s="126">
        <f t="shared" ref="C22:D22" si="3">C$21*C8/1000000</f>
        <v>52891.853915837768</v>
      </c>
      <c r="D22" s="126">
        <f t="shared" si="3"/>
        <v>53658.402523313671</v>
      </c>
      <c r="E22" s="41">
        <f>100*$D$22/$C$22</f>
        <v>101.44927536231882</v>
      </c>
      <c r="G22" s="95"/>
      <c r="H22" s="64"/>
      <c r="I22" s="64"/>
      <c r="J22" s="64"/>
      <c r="K22" s="64"/>
      <c r="L22" s="96"/>
    </row>
    <row r="23" spans="2:14" ht="12.75" customHeight="1">
      <c r="B23" s="43" t="s">
        <v>450</v>
      </c>
      <c r="C23" s="126">
        <f t="shared" ref="C23:D23" si="4">C$21*C9/1000000</f>
        <v>63296.808784527166</v>
      </c>
      <c r="D23" s="126">
        <f t="shared" si="4"/>
        <v>64214.153839375373</v>
      </c>
      <c r="E23" s="41">
        <f>100*$D$23/$C$23</f>
        <v>101.44927536231883</v>
      </c>
      <c r="G23" s="95"/>
      <c r="H23" s="64"/>
      <c r="I23" s="64"/>
      <c r="J23" s="64"/>
      <c r="K23" s="64"/>
      <c r="L23" s="96"/>
    </row>
    <row r="24" spans="2:14" ht="12.75" customHeight="1">
      <c r="B24" s="43" t="s">
        <v>451</v>
      </c>
      <c r="C24" s="126">
        <f t="shared" ref="C24:D24" si="5">C$21*C10/1000000</f>
        <v>31214.864606068193</v>
      </c>
      <c r="D24" s="126">
        <f t="shared" si="5"/>
        <v>31667.253948185116</v>
      </c>
      <c r="E24" s="41">
        <f>100*$D$24/$C$24</f>
        <v>101.44927536231883</v>
      </c>
      <c r="G24" s="95"/>
      <c r="H24" s="64"/>
      <c r="I24" s="64"/>
      <c r="J24" s="64"/>
      <c r="K24" s="64"/>
      <c r="L24" s="96"/>
    </row>
    <row r="25" spans="2:14" ht="12.75" customHeight="1">
      <c r="B25" s="43" t="s">
        <v>452</v>
      </c>
      <c r="C25" s="126">
        <f t="shared" ref="C25:D25" si="6">C$21*C11/1000000</f>
        <v>52024.774343446981</v>
      </c>
      <c r="D25" s="126">
        <f t="shared" si="6"/>
        <v>52778.756580308524</v>
      </c>
      <c r="E25" s="41">
        <f>100*$D$25/$C$25</f>
        <v>101.44927536231883</v>
      </c>
      <c r="G25" s="95"/>
      <c r="H25" s="64"/>
      <c r="I25" s="64"/>
      <c r="J25" s="64"/>
      <c r="K25" s="64"/>
      <c r="L25" s="96"/>
    </row>
    <row r="26" spans="2:14" ht="12.75" customHeight="1">
      <c r="B26" s="43" t="s">
        <v>453</v>
      </c>
      <c r="C26" s="126">
        <f t="shared" ref="C26:D26" si="7">4*C9*C19/(0.5*C17*1)</f>
        <v>1332.7948959118107</v>
      </c>
      <c r="D26" s="126">
        <f t="shared" si="7"/>
        <v>1686.9104746666669</v>
      </c>
      <c r="E26" s="41">
        <f>100*$D$26/$C$26</f>
        <v>126.5693978751767</v>
      </c>
      <c r="G26" s="95"/>
      <c r="H26" s="64"/>
      <c r="I26" s="64"/>
      <c r="J26" s="64"/>
      <c r="K26" s="64"/>
      <c r="L26" s="96"/>
    </row>
    <row r="27" spans="2:14" ht="12.75" customHeight="1">
      <c r="B27" s="43" t="s">
        <v>454</v>
      </c>
      <c r="C27" s="126">
        <f>C26*1^3/(48*C7*C19)</f>
        <v>1.1975065616797901E-2</v>
      </c>
      <c r="D27" s="126">
        <f>C26*1^3/(48*D7*D19)</f>
        <v>8.0105373487577985E-3</v>
      </c>
      <c r="E27" s="41">
        <f>100*$D$27/$C$27</f>
        <v>66.893473531544572</v>
      </c>
      <c r="G27" s="95"/>
      <c r="H27" s="64"/>
      <c r="I27" s="64"/>
      <c r="J27" s="64"/>
      <c r="K27" s="64"/>
      <c r="L27" s="96"/>
    </row>
    <row r="28" spans="2:14" ht="12.75" customHeight="1">
      <c r="B28" s="43" t="s">
        <v>455</v>
      </c>
      <c r="C28" s="126">
        <f t="shared" ref="C28:D28" si="8">0.5*C26*(C26*1^3/(48*C7*C19))</f>
        <v>7.9801531661386313</v>
      </c>
      <c r="D28" s="126">
        <f t="shared" si="8"/>
        <v>8.5516989340740768</v>
      </c>
      <c r="E28" s="41">
        <f>100*$D$28/$C$28</f>
        <v>107.16209020098295</v>
      </c>
      <c r="G28" s="100"/>
      <c r="H28" s="101"/>
      <c r="I28" s="101"/>
      <c r="J28" s="101"/>
      <c r="K28" s="101"/>
      <c r="L28" s="150"/>
    </row>
    <row r="29" spans="2:14" ht="12.75" customHeight="1">
      <c r="E29" s="221"/>
      <c r="F29" s="221"/>
      <c r="G29" s="221"/>
      <c r="H29" s="221"/>
      <c r="I29" s="221"/>
      <c r="J29" s="221"/>
      <c r="K29" s="221"/>
      <c r="L29" s="221"/>
      <c r="M29" s="221"/>
      <c r="N29" s="221"/>
    </row>
    <row r="30" spans="2:14" ht="12.75" customHeight="1">
      <c r="B30" s="39" t="s">
        <v>252</v>
      </c>
      <c r="C30" s="131"/>
    </row>
    <row r="31" spans="2:14" ht="12.75" customHeight="1"/>
    <row r="32" spans="2:14" ht="12.75" customHeight="1">
      <c r="B32" s="31" t="s">
        <v>459</v>
      </c>
      <c r="E32" s="131"/>
    </row>
    <row r="33" spans="2:12" ht="12.75" customHeight="1">
      <c r="B33" s="142"/>
      <c r="C33" s="143"/>
      <c r="D33" s="143"/>
      <c r="E33" s="143"/>
      <c r="F33" s="143"/>
      <c r="G33" s="143"/>
      <c r="H33" s="143"/>
      <c r="I33" s="143"/>
      <c r="J33" s="143"/>
      <c r="K33" s="143"/>
      <c r="L33" s="144"/>
    </row>
    <row r="34" spans="2:12" ht="12.75" customHeight="1">
      <c r="B34" s="222"/>
      <c r="C34" s="64"/>
      <c r="D34" s="64"/>
      <c r="E34" s="64"/>
      <c r="F34" s="64"/>
      <c r="G34" s="64"/>
      <c r="H34" s="64"/>
      <c r="I34" s="64"/>
      <c r="J34" s="64"/>
      <c r="K34" s="64"/>
      <c r="L34" s="96"/>
    </row>
    <row r="35" spans="2:12" ht="12.75" customHeight="1">
      <c r="B35" s="95"/>
      <c r="C35" s="64"/>
      <c r="D35" s="64"/>
      <c r="E35" s="64"/>
      <c r="F35" s="64"/>
      <c r="G35" s="64"/>
      <c r="H35" s="64"/>
      <c r="I35" s="64"/>
      <c r="J35" s="64"/>
      <c r="K35" s="64"/>
      <c r="L35" s="96"/>
    </row>
    <row r="36" spans="2:12" ht="12.75" customHeight="1">
      <c r="B36" s="95"/>
      <c r="C36" s="64"/>
      <c r="D36" s="64"/>
      <c r="E36" s="64"/>
      <c r="F36" s="64"/>
      <c r="G36" s="64"/>
      <c r="H36" s="64"/>
      <c r="I36" s="64"/>
      <c r="J36" s="64"/>
      <c r="K36" s="64"/>
      <c r="L36" s="96"/>
    </row>
    <row r="37" spans="2:12" ht="12.75" customHeight="1">
      <c r="B37" s="95"/>
      <c r="C37" s="64"/>
      <c r="D37" s="64"/>
      <c r="E37" s="64"/>
      <c r="F37" s="64"/>
      <c r="G37" s="64"/>
      <c r="H37" s="64"/>
      <c r="I37" s="64"/>
      <c r="J37" s="64"/>
      <c r="K37" s="64"/>
      <c r="L37" s="96"/>
    </row>
    <row r="38" spans="2:12" ht="12.75" customHeight="1">
      <c r="B38" s="95"/>
      <c r="C38" s="64"/>
      <c r="D38" s="64"/>
      <c r="E38" s="64"/>
      <c r="F38" s="64"/>
      <c r="G38" s="64"/>
      <c r="H38" s="64"/>
      <c r="I38" s="64"/>
      <c r="J38" s="64"/>
      <c r="K38" s="64"/>
      <c r="L38" s="96"/>
    </row>
    <row r="39" spans="2:12" ht="12.75" customHeight="1">
      <c r="B39" s="95"/>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100"/>
      <c r="C58" s="101"/>
      <c r="D58" s="101"/>
      <c r="E58" s="101"/>
      <c r="F58" s="101"/>
      <c r="G58" s="101"/>
      <c r="H58" s="101"/>
      <c r="I58" s="101"/>
      <c r="J58" s="101"/>
      <c r="K58" s="101"/>
      <c r="L58" s="150"/>
    </row>
    <row r="59" spans="2:12" ht="12.75" customHeight="1"/>
    <row r="60" spans="2:12" ht="12.75" customHeight="1"/>
    <row r="61" spans="2:12" ht="12.75" customHeight="1"/>
    <row r="62" spans="2:12" ht="12.75" customHeight="1"/>
    <row r="63" spans="2:12" ht="12.75" customHeight="1"/>
    <row r="64" spans="2:12"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294" priority="1" stopIfTrue="1" operator="lessThan">
      <formula>2</formula>
    </cfRule>
    <cfRule type="cellIs" dxfId="293" priority="2" stopIfTrue="1" operator="lessThan">
      <formula>1.2</formula>
    </cfRule>
  </conditionalFormatting>
  <conditionalFormatting sqref="E20:E26 E28">
    <cfRule type="cellIs" dxfId="292" priority="3" stopIfTrue="1" operator="greaterThanOrEqual">
      <formula>100</formula>
    </cfRule>
    <cfRule type="cellIs" dxfId="291" priority="4" stopIfTrue="1" operator="lessThan">
      <formula>100</formula>
    </cfRule>
  </conditionalFormatting>
  <conditionalFormatting sqref="E27">
    <cfRule type="cellIs" dxfId="290" priority="5" stopIfTrue="1" operator="greaterThanOrEqual">
      <formula>100.01</formula>
    </cfRule>
    <cfRule type="cellIs" dxfId="289" priority="6" stopIfTrue="1" operator="lessThan">
      <formula>100.01</formula>
    </cfRule>
  </conditionalFormatting>
  <dataValidations count="3">
    <dataValidation type="list" allowBlank="1" showInputMessage="1" showErrorMessage="1" prompt="Select Material" sqref="D4" xr:uid="{00000000-0002-0000-0F00-000000000000}">
      <formula1>Metallic_Mats</formula1>
    </dataValidation>
    <dataValidation type="list" allowBlank="1" showErrorMessage="1" sqref="D5" xr:uid="{00000000-0002-0000-0F00-000001000000}">
      <formula1>Tube_Type</formula1>
    </dataValidation>
    <dataValidation type="list" allowBlank="1" showInputMessage="1" showErrorMessage="1" prompt="Select Material" sqref="C12:D12" xr:uid="{00000000-0002-0000-0F00-000002000000}">
      <formula1>Materials</formula1>
    </dataValidation>
  </dataValidations>
  <hyperlinks>
    <hyperlink ref="B30" location="'Cover Sheet'!A1" display="BACK to COVER SHEET" xr:uid="{00000000-0004-0000-0F00-000000000000}"/>
  </hyperlinks>
  <pageMargins left="0.75" right="0.75" top="1" bottom="1"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CFF99"/>
  </sheetPr>
  <dimension ref="B1:P1000"/>
  <sheetViews>
    <sheetView showGridLines="0" workbookViewId="0"/>
  </sheetViews>
  <sheetFormatPr baseColWidth="10" defaultColWidth="12.5703125" defaultRowHeight="15" customHeight="1"/>
  <cols>
    <col min="1" max="1" width="3.42578125" customWidth="1"/>
    <col min="2" max="2" width="45.42578125" customWidth="1"/>
    <col min="3" max="3" width="11.42578125" customWidth="1"/>
    <col min="4" max="4" width="3.42578125" customWidth="1"/>
    <col min="5" max="5" width="11.5703125" customWidth="1"/>
    <col min="6" max="6" width="15.42578125" customWidth="1"/>
    <col min="7" max="7" width="11.5703125" customWidth="1"/>
    <col min="8" max="8" width="6.5703125" customWidth="1"/>
    <col min="9" max="9" width="11.140625" customWidth="1"/>
    <col min="10" max="12" width="11.42578125" customWidth="1"/>
    <col min="13" max="13" width="3.42578125" customWidth="1"/>
    <col min="14" max="26" width="11.42578125" customWidth="1"/>
  </cols>
  <sheetData>
    <row r="1" spans="2:12" ht="12.75" customHeight="1">
      <c r="B1" s="213" t="s">
        <v>460</v>
      </c>
    </row>
    <row r="2" spans="2:12" ht="12.75" customHeight="1">
      <c r="C2" s="690" t="s">
        <v>461</v>
      </c>
      <c r="D2" s="587"/>
      <c r="E2" s="588"/>
      <c r="F2" s="697" t="s">
        <v>240</v>
      </c>
      <c r="G2" s="588"/>
    </row>
    <row r="3" spans="2:12" ht="12.75" customHeight="1"/>
    <row r="4" spans="2:12" ht="12.75" customHeight="1">
      <c r="B4" s="27" t="s">
        <v>436</v>
      </c>
      <c r="C4" s="27" t="s">
        <v>437</v>
      </c>
      <c r="D4" s="31"/>
      <c r="E4" s="27" t="s">
        <v>438</v>
      </c>
      <c r="F4" s="27" t="s">
        <v>462</v>
      </c>
      <c r="G4" s="27" t="s">
        <v>463</v>
      </c>
      <c r="I4" s="31"/>
      <c r="J4" s="32" t="s">
        <v>464</v>
      </c>
      <c r="K4" s="32" t="s">
        <v>465</v>
      </c>
    </row>
    <row r="5" spans="2:12" ht="12.75" customHeight="1">
      <c r="B5" s="43" t="s">
        <v>439</v>
      </c>
      <c r="C5" s="109" t="s">
        <v>202</v>
      </c>
      <c r="D5" s="67"/>
      <c r="E5" s="214" t="s">
        <v>202</v>
      </c>
      <c r="F5" s="223" t="s">
        <v>208</v>
      </c>
      <c r="G5" s="224"/>
      <c r="I5" s="225" t="s">
        <v>466</v>
      </c>
      <c r="J5" s="67">
        <f>F22/1000</f>
        <v>0</v>
      </c>
      <c r="K5" s="225">
        <f>J5</f>
        <v>0</v>
      </c>
    </row>
    <row r="6" spans="2:12" ht="12.75" customHeight="1">
      <c r="B6" s="43" t="s">
        <v>467</v>
      </c>
      <c r="C6" s="109" t="s">
        <v>247</v>
      </c>
      <c r="D6" s="67"/>
      <c r="E6" s="214" t="s">
        <v>247</v>
      </c>
      <c r="F6" s="226" t="s">
        <v>113</v>
      </c>
      <c r="G6" s="227"/>
      <c r="I6" s="225" t="s">
        <v>468</v>
      </c>
      <c r="J6" s="67">
        <f>F21/1000</f>
        <v>0</v>
      </c>
      <c r="K6" s="225">
        <f>F20/1000</f>
        <v>0</v>
      </c>
    </row>
    <row r="7" spans="2:12" ht="12.75" customHeight="1">
      <c r="B7" s="43" t="s">
        <v>441</v>
      </c>
      <c r="C7" s="126" t="str">
        <f>HLOOKUP(C5,MaterialData!$C$3:$P$4,2,FALSE)</f>
        <v>Steel</v>
      </c>
      <c r="D7" s="131"/>
      <c r="E7" s="126" t="str">
        <f>HLOOKUP(E5,MaterialData!$C$3:$S$4,2,FALSE)</f>
        <v>Steel</v>
      </c>
      <c r="F7" s="126" t="str">
        <f>HLOOKUP(F5,MaterialData!$C$3:$S$4,2,FALSE)</f>
        <v>25CrMo4</v>
      </c>
      <c r="G7" s="228"/>
    </row>
    <row r="8" spans="2:12" ht="12.75" customHeight="1">
      <c r="B8" s="43" t="s">
        <v>223</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469</v>
      </c>
      <c r="J8" s="131">
        <f>J5*J6</f>
        <v>0</v>
      </c>
      <c r="K8" s="225" t="s">
        <v>470</v>
      </c>
      <c r="L8" s="131">
        <f>(J5*J6^3)/12</f>
        <v>0</v>
      </c>
    </row>
    <row r="9" spans="2:12" ht="12.75" customHeight="1">
      <c r="B9" s="43" t="s">
        <v>225</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8"/>
      <c r="I9" s="225" t="s">
        <v>471</v>
      </c>
      <c r="J9" s="131">
        <f>K5*K6</f>
        <v>0</v>
      </c>
      <c r="K9" s="225" t="s">
        <v>472</v>
      </c>
      <c r="L9" s="131">
        <f>(K5*K6^3)/12</f>
        <v>0</v>
      </c>
    </row>
    <row r="10" spans="2:12" ht="12.75" customHeight="1">
      <c r="B10" s="43" t="s">
        <v>227</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473</v>
      </c>
      <c r="J10" s="67">
        <f>J6/2</f>
        <v>0</v>
      </c>
      <c r="K10" s="225" t="s">
        <v>474</v>
      </c>
      <c r="L10" s="131" t="e">
        <f t="shared" ref="L10:L11" si="0">L8+(J8*($J$12-J10)^2)</f>
        <v>#DIV/0!</v>
      </c>
    </row>
    <row r="11" spans="2:12" ht="12.75" customHeight="1">
      <c r="B11" s="43" t="s">
        <v>229</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475</v>
      </c>
      <c r="J11" s="67">
        <f>(F18-0.5*F20)*0.001</f>
        <v>0</v>
      </c>
      <c r="K11" s="225" t="s">
        <v>476</v>
      </c>
      <c r="L11" s="131" t="e">
        <f t="shared" si="0"/>
        <v>#DIV/0!</v>
      </c>
    </row>
    <row r="12" spans="2:12" ht="12.75" customHeight="1">
      <c r="B12" s="43" t="s">
        <v>230</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477</v>
      </c>
      <c r="J12" s="229" t="e">
        <f>(J8*J10+J9*J11)/(J8+J9)</f>
        <v>#DIV/0!</v>
      </c>
      <c r="K12" s="225" t="s">
        <v>478</v>
      </c>
      <c r="L12" s="128" t="e">
        <f>SUM(L10:L11)</f>
        <v>#DIV/0!</v>
      </c>
    </row>
    <row r="13" spans="2:12" ht="12.75" customHeight="1">
      <c r="E13" s="224"/>
      <c r="G13" s="227"/>
    </row>
    <row r="14" spans="2:12" ht="12.75" customHeight="1">
      <c r="B14" s="230" t="s">
        <v>479</v>
      </c>
      <c r="C14" s="109">
        <v>2</v>
      </c>
      <c r="E14" s="214">
        <v>2</v>
      </c>
      <c r="G14" s="227"/>
      <c r="I14" s="225"/>
      <c r="K14" s="225"/>
      <c r="L14" s="131"/>
    </row>
    <row r="15" spans="2:12" ht="12.75" customHeight="1">
      <c r="B15" s="43" t="s">
        <v>442</v>
      </c>
      <c r="C15" s="109">
        <v>25.4</v>
      </c>
      <c r="E15" s="214">
        <v>25</v>
      </c>
      <c r="G15" s="227"/>
      <c r="I15" s="225"/>
      <c r="K15" s="225"/>
      <c r="L15" s="131"/>
    </row>
    <row r="16" spans="2:12" ht="12.75" customHeight="1">
      <c r="B16" s="43" t="s">
        <v>443</v>
      </c>
      <c r="C16" s="231">
        <v>1.2</v>
      </c>
      <c r="E16" s="214">
        <v>1.5</v>
      </c>
      <c r="G16" s="227"/>
    </row>
    <row r="17" spans="2:16" ht="12.75" customHeight="1">
      <c r="E17" s="227"/>
      <c r="G17" s="227"/>
    </row>
    <row r="18" spans="2:16" ht="12.75" customHeight="1">
      <c r="B18" s="43" t="s">
        <v>480</v>
      </c>
      <c r="E18" s="227"/>
      <c r="F18" s="232">
        <f>F19+F20+F21</f>
        <v>0</v>
      </c>
      <c r="G18" s="227"/>
      <c r="K18" s="225"/>
      <c r="L18" s="131"/>
    </row>
    <row r="19" spans="2:16" ht="12.75" customHeight="1">
      <c r="B19" s="43" t="s">
        <v>481</v>
      </c>
      <c r="E19" s="227"/>
      <c r="F19" s="233"/>
      <c r="G19" s="227"/>
      <c r="K19" s="225"/>
      <c r="L19" s="131"/>
    </row>
    <row r="20" spans="2:16" ht="12.75" customHeight="1">
      <c r="B20" s="43" t="s">
        <v>482</v>
      </c>
      <c r="E20" s="227"/>
      <c r="F20" s="233"/>
      <c r="G20" s="227"/>
      <c r="I20" s="23" t="str">
        <f>IF(AND(F20&lt;0.4*F21,F20&lt;1),"Asymmetrical lay-up: skin too thin in comparison, see T3.4.4.","")</f>
        <v/>
      </c>
      <c r="J20" s="34"/>
      <c r="L20" s="131"/>
    </row>
    <row r="21" spans="2:16" ht="12.75" customHeight="1">
      <c r="B21" s="43" t="s">
        <v>483</v>
      </c>
      <c r="E21" s="227"/>
      <c r="F21" s="233"/>
      <c r="G21" s="227"/>
      <c r="I21" s="23" t="str">
        <f>IF(AND(F21&lt;0.4*F20,F21&lt;1),"Asymmetrical lay-up: skin too thin in comparison, see T3.4.4.","")</f>
        <v/>
      </c>
      <c r="J21" s="34"/>
      <c r="L21" s="131"/>
    </row>
    <row r="22" spans="2:16" ht="12.75" customHeight="1">
      <c r="B22" s="43" t="s">
        <v>484</v>
      </c>
      <c r="E22" s="227"/>
      <c r="F22" s="233"/>
      <c r="G22" s="227"/>
      <c r="J22" s="34"/>
      <c r="L22" s="131"/>
    </row>
    <row r="23" spans="2:16" ht="12.75" customHeight="1">
      <c r="E23" s="234"/>
      <c r="G23" s="227"/>
      <c r="J23" s="34"/>
      <c r="L23" s="131"/>
    </row>
    <row r="24" spans="2:16" ht="12.75" customHeight="1">
      <c r="B24" s="43" t="s">
        <v>444</v>
      </c>
      <c r="C24" s="109">
        <f t="shared" ref="C24:C25" si="1">C15/1000</f>
        <v>2.5399999999999999E-2</v>
      </c>
      <c r="E24" s="109">
        <f>IF(F2="Composite only","No tubes",E15/1000)</f>
        <v>2.5000000000000001E-2</v>
      </c>
      <c r="G24" s="227"/>
      <c r="L24" s="131"/>
    </row>
    <row r="25" spans="2:16" ht="12.75" customHeight="1">
      <c r="B25" s="43" t="s">
        <v>445</v>
      </c>
      <c r="C25" s="109">
        <f t="shared" si="1"/>
        <v>1.1999999999999999E-3</v>
      </c>
      <c r="E25" s="109">
        <f>IF(F2="Composite only","",E16/1000)</f>
        <v>1.5E-3</v>
      </c>
      <c r="G25" s="234"/>
      <c r="L25" s="131"/>
      <c r="P25" s="215"/>
    </row>
    <row r="26" spans="2:16" ht="12.75" customHeight="1">
      <c r="B26" s="43" t="s">
        <v>446</v>
      </c>
      <c r="C26" s="126">
        <f>IF(C6="Round",((C24)^4-((C24-2*C25))^4)*3.142/64,((C24)^4-((C24-2*C25))^4)/12)</f>
        <v>6.6959174567999997E-9</v>
      </c>
      <c r="E26" s="126">
        <f>IF(F2="Composite only","",IF(E6="Round",((E24)^4-((E24-2*E25))^4)*3.142/64,IF(E6="Square",((E24)^4-((E24-2*E25))^4)/12,"")))</f>
        <v>7.6767405937500035E-9</v>
      </c>
      <c r="F26" s="235" t="str">
        <f>IF($F$2="Tubing only","Tubing Only",L12)</f>
        <v>Tubing Only</v>
      </c>
      <c r="G26" s="126">
        <f t="shared" ref="G26:G33" si="2">IF($F$2="Tubing only",E26,IF($F$2="Composite only",F26,IF($F$2="Tubes + Composite",E26+F26,"No Type Selected")))</f>
        <v>7.6767405937500035E-9</v>
      </c>
      <c r="L26" s="131"/>
      <c r="O26" s="131"/>
      <c r="P26" s="215"/>
    </row>
    <row r="27" spans="2:16" ht="12.75" customHeight="1">
      <c r="B27" s="43" t="s">
        <v>447</v>
      </c>
      <c r="C27" s="126">
        <f>C8*C26*C14</f>
        <v>2678.3669827199997</v>
      </c>
      <c r="D27" s="131"/>
      <c r="E27" s="126">
        <f>IF(F2="Composite only","",E8*E26*E14)</f>
        <v>3070.6962375000012</v>
      </c>
      <c r="F27" s="235" t="str">
        <f>IF(F26="Tubing Only","",F26*F8)</f>
        <v/>
      </c>
      <c r="G27" s="126">
        <f t="shared" si="2"/>
        <v>3070.6962375000012</v>
      </c>
      <c r="H27" s="44">
        <f>100*G27/C27</f>
        <v>114.64807688084528</v>
      </c>
      <c r="I27" s="67" t="str">
        <f>IF((100&gt;H27)*AND(H27&gt;=60),"For Composites Only, Additional Proof Required","")</f>
        <v/>
      </c>
    </row>
    <row r="28" spans="2:16" ht="12.75" customHeight="1">
      <c r="B28" s="43" t="s">
        <v>448</v>
      </c>
      <c r="C28" s="216">
        <f>IF(C24="no tubes","",IF(C14=0,"",IF(C6="Round",C14*((C15^2-(C15-2*C16)^2)*PI()/4),IF(C6="Square",C14*(C15^2-(C15-2*C16)^2),""))))</f>
        <v>182.46370132049515</v>
      </c>
      <c r="D28" s="236"/>
      <c r="E28" s="216">
        <f>IF(E24="no tubes","",IF(E14=0,"",IF(E6="Round",E14*((E15^2-(E15-2*E16)^2)*PI()/4),IF(E6="Square",E14*(E15^2-(E15-2*E16)^2),""))))</f>
        <v>221.4822820780804</v>
      </c>
      <c r="F28" s="216" t="str">
        <f>IF(F26="Tubing Only","",(F18-F19)*F22)</f>
        <v/>
      </c>
      <c r="G28" s="216">
        <f t="shared" si="2"/>
        <v>221.4822820780804</v>
      </c>
      <c r="H28" s="44">
        <f>IF(AND(F2="tubing only",E5="steel"),100*G28/C28,"NA")</f>
        <v>121.38429752066116</v>
      </c>
      <c r="I28" s="67" t="str">
        <f t="shared" ref="I28:I32" si="3">IF(AND(95&lt;H28,H28&lt;100),"For tubes only, provided your actual tube measures &gt;= your nominal OD and wall this is OK","")</f>
        <v/>
      </c>
      <c r="O28" s="131"/>
    </row>
    <row r="29" spans="2:16" ht="12.75" customHeight="1">
      <c r="B29" s="43" t="s">
        <v>449</v>
      </c>
      <c r="C29" s="126">
        <f t="shared" ref="C29:C31" si="4">C$28*C9/1000000</f>
        <v>55651.428902751024</v>
      </c>
      <c r="D29" s="131"/>
      <c r="E29" s="126">
        <f>IF(F2="Composite only","",E$28*E9/1000000)</f>
        <v>67552.096033814523</v>
      </c>
      <c r="F29" s="126" t="str">
        <f>IF(F26="Tubing Only","",F28*F9/1000000)</f>
        <v/>
      </c>
      <c r="G29" s="126">
        <f t="shared" si="2"/>
        <v>67552.096033814523</v>
      </c>
      <c r="H29" s="44">
        <f t="shared" ref="H29:H35" si="5">100*G29/C29</f>
        <v>121.38429752066116</v>
      </c>
      <c r="I29" s="67" t="str">
        <f t="shared" si="3"/>
        <v/>
      </c>
    </row>
    <row r="30" spans="2:16" ht="12.75" customHeight="1">
      <c r="B30" s="43" t="s">
        <v>450</v>
      </c>
      <c r="C30" s="126">
        <f t="shared" si="4"/>
        <v>66599.250981980731</v>
      </c>
      <c r="D30" s="131"/>
      <c r="E30" s="126">
        <f>IF(F2="Composite only","",E$28*E10/1000000)</f>
        <v>80841.032958499345</v>
      </c>
      <c r="F30" s="126" t="str">
        <f>IF(F26="Tubing Only","",F28*F10/1000000)</f>
        <v/>
      </c>
      <c r="G30" s="126">
        <f t="shared" si="2"/>
        <v>80841.032958499345</v>
      </c>
      <c r="H30" s="44">
        <f t="shared" si="5"/>
        <v>121.38429752066116</v>
      </c>
      <c r="I30" s="67" t="str">
        <f t="shared" si="3"/>
        <v/>
      </c>
      <c r="O30" s="131"/>
    </row>
    <row r="31" spans="2:16" ht="12.75" customHeight="1">
      <c r="B31" s="43" t="s">
        <v>451</v>
      </c>
      <c r="C31" s="126">
        <f t="shared" si="4"/>
        <v>32843.466237689128</v>
      </c>
      <c r="D31" s="131"/>
      <c r="E31" s="126">
        <f>IF(F2="Composite only","",E$28*E11/1000000)</f>
        <v>39866.810774054473</v>
      </c>
      <c r="F31" s="126" t="str">
        <f>IF(F26="Tubing Only","",F28*F9/1000000)</f>
        <v/>
      </c>
      <c r="G31" s="126">
        <f t="shared" si="2"/>
        <v>39866.810774054473</v>
      </c>
      <c r="H31" s="44">
        <f t="shared" si="5"/>
        <v>121.38429752066116</v>
      </c>
      <c r="I31" s="67" t="str">
        <f t="shared" si="3"/>
        <v/>
      </c>
      <c r="O31" s="131"/>
    </row>
    <row r="32" spans="2:16" ht="12.75" customHeight="1">
      <c r="B32" s="43" t="s">
        <v>452</v>
      </c>
      <c r="C32" s="126">
        <f>IF(C14=0,"",C$28*C12/1000000)</f>
        <v>54739.110396148542</v>
      </c>
      <c r="D32" s="131"/>
      <c r="E32" s="126">
        <f>IF(F2="Composite only","",E$28*E12/1000000)</f>
        <v>66444.684623424124</v>
      </c>
      <c r="F32" s="126" t="str">
        <f>IF(F26="tubing only","",F28*F10/1000000)</f>
        <v/>
      </c>
      <c r="G32" s="126">
        <f t="shared" si="2"/>
        <v>66444.684623424124</v>
      </c>
      <c r="H32" s="44">
        <f t="shared" si="5"/>
        <v>121.38429752066118</v>
      </c>
      <c r="I32" s="67" t="str">
        <f t="shared" si="3"/>
        <v/>
      </c>
      <c r="O32" s="131"/>
    </row>
    <row r="33" spans="2:12" ht="12.75" customHeight="1">
      <c r="B33" s="43" t="s">
        <v>453</v>
      </c>
      <c r="C33" s="126">
        <f>C14*4*C10*C26/(0.5*C24*1)</f>
        <v>1539.5337774689763</v>
      </c>
      <c r="E33" s="126">
        <f>IF(F2="Composite only","",E14*4*E10*E26/(0.5*E24*1))</f>
        <v>1793.2866027000007</v>
      </c>
      <c r="F33" s="126" t="str">
        <f>IF(F26="tubing only","",4*F10*F26/(0.001*0.5*F18*1))</f>
        <v/>
      </c>
      <c r="G33" s="126">
        <f t="shared" si="2"/>
        <v>1793.2866027000007</v>
      </c>
      <c r="H33" s="44">
        <f t="shared" si="5"/>
        <v>116.48244611093881</v>
      </c>
      <c r="I33" s="67" t="str">
        <f>IF((99.9&gt;H33)*AND(H33&gt;60),"For Composites Only, Additional Proof Required","")</f>
        <v/>
      </c>
    </row>
    <row r="34" spans="2:12" ht="12.75" customHeight="1">
      <c r="B34" s="43" t="s">
        <v>454</v>
      </c>
      <c r="C34" s="126">
        <f>IF(C14=0,"",C33*1^3/(48*C27))</f>
        <v>1.1975065616797901E-2</v>
      </c>
      <c r="E34" s="126">
        <f>IF($F$2="tubing only",$C$33*1^3/(48*E27),"")</f>
        <v>1.0445064533654312E-2</v>
      </c>
      <c r="F34" s="126" t="str">
        <f>IF($F$2="tubing only","",$C$33*1^3/(48*F27))</f>
        <v/>
      </c>
      <c r="G34" s="126">
        <f>$C$33*1^3/(48*G27)</f>
        <v>1.0445064533654312E-2</v>
      </c>
      <c r="H34" s="44">
        <f t="shared" si="5"/>
        <v>87.223443009803674</v>
      </c>
      <c r="I34" s="67" t="str">
        <f>IF((100&lt;H34)*AND(H34&lt;=166.667),"For Composites Only, Additional Proof Required","")</f>
        <v/>
      </c>
    </row>
    <row r="35" spans="2:12" ht="12.75" customHeight="1">
      <c r="B35" s="43" t="s">
        <v>455</v>
      </c>
      <c r="C35" s="126">
        <f>0.5*C33*(C33*1^3/(48*C27))</f>
        <v>9.218009002233865</v>
      </c>
      <c r="D35" s="228"/>
      <c r="E35" s="126">
        <f>IF(E24="no tubes","",0.5*E33*(E33*1^3/(48*E27)))</f>
        <v>10.909160166425004</v>
      </c>
      <c r="F35" s="126" t="str">
        <f>IF(F26="tubing only","",0.5*F33*(F33*1^3/(48*F27)))</f>
        <v/>
      </c>
      <c r="G35" s="126">
        <f>IF($F$2="Tubing only",E35,IF($F$2="Composite only",F35,IF($F$2="Tubes + Composite",E35+F35,"No Type Selected")))</f>
        <v>10.909160166425004</v>
      </c>
      <c r="H35" s="44">
        <f t="shared" si="5"/>
        <v>118.3461652487138</v>
      </c>
      <c r="I35" s="67" t="str">
        <f>IF((99.9&gt;H35)*AND(H35&gt;60),"For Composites Only, Additional Proof Required","")</f>
        <v/>
      </c>
    </row>
    <row r="36" spans="2:12" ht="12.75" customHeight="1">
      <c r="C36" s="131"/>
      <c r="J36" s="39" t="s">
        <v>252</v>
      </c>
      <c r="K36" s="39"/>
    </row>
    <row r="37" spans="2:12" ht="12.75" customHeight="1">
      <c r="B37" s="31" t="s">
        <v>485</v>
      </c>
      <c r="E37" s="131"/>
    </row>
    <row r="38" spans="2:12" ht="12.75" customHeight="1">
      <c r="B38" s="237" t="s">
        <v>486</v>
      </c>
      <c r="C38" s="143"/>
      <c r="D38" s="143"/>
      <c r="E38" s="143"/>
      <c r="F38" s="143"/>
      <c r="G38" s="143"/>
      <c r="H38" s="143"/>
      <c r="I38" s="143"/>
      <c r="J38" s="143"/>
      <c r="K38" s="143"/>
      <c r="L38" s="144"/>
    </row>
    <row r="39" spans="2:12" ht="12.75" customHeight="1">
      <c r="B39" s="238" t="s">
        <v>487</v>
      </c>
      <c r="C39" s="64"/>
      <c r="D39" s="64"/>
      <c r="E39" s="64"/>
      <c r="F39" s="64"/>
      <c r="G39" s="64"/>
      <c r="H39" s="64"/>
      <c r="I39" s="64"/>
      <c r="J39" s="64"/>
      <c r="K39" s="64"/>
      <c r="L39" s="96"/>
    </row>
    <row r="40" spans="2:12" ht="12.75" customHeight="1">
      <c r="B40" s="95"/>
      <c r="C40" s="64"/>
      <c r="D40" s="64"/>
      <c r="E40" s="64"/>
      <c r="F40" s="64"/>
      <c r="G40" s="64"/>
      <c r="H40" s="64"/>
      <c r="I40" s="64"/>
      <c r="J40" s="64"/>
      <c r="K40" s="64"/>
      <c r="L40" s="96"/>
    </row>
    <row r="41" spans="2:12" ht="12.75" customHeight="1">
      <c r="B41" s="95"/>
      <c r="C41" s="64"/>
      <c r="D41" s="64"/>
      <c r="E41" s="64"/>
      <c r="F41" s="64"/>
      <c r="G41" s="64"/>
      <c r="H41" s="64"/>
      <c r="I41" s="64"/>
      <c r="J41" s="64"/>
      <c r="K41" s="64"/>
      <c r="L41" s="96"/>
    </row>
    <row r="42" spans="2:12" ht="12.75" customHeight="1">
      <c r="B42" s="95"/>
      <c r="C42" s="64"/>
      <c r="D42" s="64"/>
      <c r="E42" s="64"/>
      <c r="F42" s="64"/>
      <c r="G42" s="64"/>
      <c r="H42" s="64"/>
      <c r="I42" s="64"/>
      <c r="J42" s="64"/>
      <c r="K42" s="64"/>
      <c r="L42" s="96"/>
    </row>
    <row r="43" spans="2:12" ht="12.75" customHeight="1">
      <c r="B43" s="95"/>
      <c r="C43" s="64"/>
      <c r="D43" s="64"/>
      <c r="E43" s="64"/>
      <c r="F43" s="64"/>
      <c r="G43" s="64"/>
      <c r="H43" s="64"/>
      <c r="I43" s="64"/>
      <c r="J43" s="64"/>
      <c r="K43" s="64"/>
      <c r="L43" s="96"/>
    </row>
    <row r="44" spans="2:12" ht="12.75" customHeight="1">
      <c r="B44" s="95"/>
      <c r="C44" s="64"/>
      <c r="D44" s="64"/>
      <c r="E44" s="64"/>
      <c r="F44" s="64"/>
      <c r="G44" s="64"/>
      <c r="H44" s="64"/>
      <c r="I44" s="64"/>
      <c r="J44" s="64"/>
      <c r="K44" s="64"/>
      <c r="L44" s="96"/>
    </row>
    <row r="45" spans="2:12" ht="12.75" customHeight="1">
      <c r="B45" s="95"/>
      <c r="C45" s="64"/>
      <c r="D45" s="64"/>
      <c r="E45" s="64"/>
      <c r="F45" s="64"/>
      <c r="G45" s="64"/>
      <c r="H45" s="64"/>
      <c r="I45" s="64"/>
      <c r="J45" s="64"/>
      <c r="K45" s="64"/>
      <c r="L45" s="96"/>
    </row>
    <row r="46" spans="2:12" ht="12.75" customHeight="1">
      <c r="B46" s="95"/>
      <c r="C46" s="64"/>
      <c r="D46" s="64"/>
      <c r="E46" s="64"/>
      <c r="F46" s="64"/>
      <c r="G46" s="64"/>
      <c r="H46" s="64"/>
      <c r="I46" s="64"/>
      <c r="J46" s="64"/>
      <c r="K46" s="64"/>
      <c r="L46" s="96"/>
    </row>
    <row r="47" spans="2:12" ht="12.75" customHeight="1">
      <c r="B47" s="95"/>
      <c r="C47" s="64"/>
      <c r="D47" s="64"/>
      <c r="E47" s="64"/>
      <c r="F47" s="64"/>
      <c r="G47" s="64"/>
      <c r="H47" s="64"/>
      <c r="I47" s="64"/>
      <c r="J47" s="64"/>
      <c r="K47" s="64"/>
      <c r="L47" s="96"/>
    </row>
    <row r="48" spans="2:12" ht="12.75" customHeight="1">
      <c r="B48" s="95"/>
      <c r="C48" s="64"/>
      <c r="D48" s="64"/>
      <c r="E48" s="64"/>
      <c r="F48" s="64"/>
      <c r="G48" s="64"/>
      <c r="H48" s="64"/>
      <c r="I48" s="64"/>
      <c r="J48" s="64"/>
      <c r="K48" s="64"/>
      <c r="L48" s="96"/>
    </row>
    <row r="49" spans="2:12" ht="12.75" customHeight="1">
      <c r="B49" s="95"/>
      <c r="C49" s="64"/>
      <c r="D49" s="64"/>
      <c r="E49" s="64"/>
      <c r="F49" s="64"/>
      <c r="G49" s="64"/>
      <c r="H49" s="64"/>
      <c r="I49" s="64"/>
      <c r="J49" s="64"/>
      <c r="K49" s="64"/>
      <c r="L49" s="96"/>
    </row>
    <row r="50" spans="2:12" ht="12.75" customHeight="1">
      <c r="B50" s="95"/>
      <c r="C50" s="64"/>
      <c r="D50" s="64"/>
      <c r="E50" s="64"/>
      <c r="F50" s="64"/>
      <c r="G50" s="64"/>
      <c r="H50" s="64"/>
      <c r="I50" s="64"/>
      <c r="J50" s="64"/>
      <c r="K50" s="64"/>
      <c r="L50" s="96"/>
    </row>
    <row r="51" spans="2:12" ht="12.75" customHeight="1">
      <c r="B51" s="95"/>
      <c r="C51" s="64"/>
      <c r="D51" s="64"/>
      <c r="E51" s="64"/>
      <c r="F51" s="64"/>
      <c r="G51" s="64"/>
      <c r="H51" s="64"/>
      <c r="I51" s="64"/>
      <c r="J51" s="64"/>
      <c r="K51" s="64"/>
      <c r="L51" s="96"/>
    </row>
    <row r="52" spans="2:12" ht="12.75" customHeight="1">
      <c r="B52" s="95"/>
      <c r="C52" s="64"/>
      <c r="D52" s="64"/>
      <c r="E52" s="64"/>
      <c r="F52" s="64"/>
      <c r="G52" s="64"/>
      <c r="H52" s="64"/>
      <c r="I52" s="64"/>
      <c r="J52" s="64"/>
      <c r="K52" s="64"/>
      <c r="L52" s="96"/>
    </row>
    <row r="53" spans="2:12" ht="12.75" customHeight="1">
      <c r="B53" s="95"/>
      <c r="C53" s="64"/>
      <c r="D53" s="64"/>
      <c r="E53" s="64"/>
      <c r="F53" s="64"/>
      <c r="G53" s="64"/>
      <c r="H53" s="64"/>
      <c r="I53" s="64"/>
      <c r="J53" s="64"/>
      <c r="K53" s="64"/>
      <c r="L53" s="96"/>
    </row>
    <row r="54" spans="2:12" ht="12.75" customHeight="1">
      <c r="B54" s="95"/>
      <c r="C54" s="64"/>
      <c r="D54" s="64"/>
      <c r="E54" s="64"/>
      <c r="F54" s="64"/>
      <c r="G54" s="64"/>
      <c r="H54" s="64"/>
      <c r="I54" s="64"/>
      <c r="J54" s="64"/>
      <c r="K54" s="64"/>
      <c r="L54" s="96"/>
    </row>
    <row r="55" spans="2:12" ht="12.75" customHeight="1">
      <c r="B55" s="95"/>
      <c r="C55" s="64"/>
      <c r="D55" s="64"/>
      <c r="E55" s="64"/>
      <c r="F55" s="64"/>
      <c r="G55" s="64"/>
      <c r="H55" s="64"/>
      <c r="I55" s="64"/>
      <c r="J55" s="64"/>
      <c r="K55" s="64"/>
      <c r="L55" s="96"/>
    </row>
    <row r="56" spans="2:12" ht="12.75" customHeight="1">
      <c r="B56" s="95"/>
      <c r="C56" s="64"/>
      <c r="D56" s="64"/>
      <c r="E56" s="64"/>
      <c r="F56" s="64"/>
      <c r="G56" s="64"/>
      <c r="H56" s="64"/>
      <c r="I56" s="64"/>
      <c r="J56" s="64"/>
      <c r="K56" s="64"/>
      <c r="L56" s="96"/>
    </row>
    <row r="57" spans="2:12" ht="12.75" customHeight="1">
      <c r="B57" s="95"/>
      <c r="C57" s="64"/>
      <c r="D57" s="64"/>
      <c r="E57" s="64"/>
      <c r="F57" s="64"/>
      <c r="G57" s="64"/>
      <c r="H57" s="64"/>
      <c r="I57" s="64"/>
      <c r="J57" s="64"/>
      <c r="K57" s="64"/>
      <c r="L57" s="96"/>
    </row>
    <row r="58" spans="2:12" ht="12.75" customHeight="1">
      <c r="B58" s="95"/>
      <c r="C58" s="64"/>
      <c r="D58" s="64"/>
      <c r="E58" s="64"/>
      <c r="F58" s="64"/>
      <c r="G58" s="64"/>
      <c r="H58" s="64"/>
      <c r="I58" s="64"/>
      <c r="J58" s="64"/>
      <c r="K58" s="64"/>
      <c r="L58" s="96"/>
    </row>
    <row r="59" spans="2:12" ht="12.75" customHeight="1">
      <c r="B59" s="95"/>
      <c r="C59" s="64"/>
      <c r="D59" s="64"/>
      <c r="E59" s="64"/>
      <c r="F59" s="64"/>
      <c r="G59" s="64"/>
      <c r="H59" s="64"/>
      <c r="I59" s="64"/>
      <c r="J59" s="64"/>
      <c r="K59" s="64"/>
      <c r="L59" s="96"/>
    </row>
    <row r="60" spans="2:12" ht="12.75" customHeight="1">
      <c r="B60" s="95"/>
      <c r="C60" s="64"/>
      <c r="D60" s="64"/>
      <c r="E60" s="64"/>
      <c r="F60" s="64"/>
      <c r="G60" s="64"/>
      <c r="H60" s="64"/>
      <c r="I60" s="64"/>
      <c r="J60" s="64"/>
      <c r="K60" s="64"/>
      <c r="L60" s="96"/>
    </row>
    <row r="61" spans="2:12" ht="12.75" customHeight="1">
      <c r="B61" s="95"/>
      <c r="C61" s="64"/>
      <c r="D61" s="64"/>
      <c r="E61" s="64"/>
      <c r="F61" s="64"/>
      <c r="G61" s="64"/>
      <c r="H61" s="64"/>
      <c r="I61" s="64"/>
      <c r="J61" s="64"/>
      <c r="K61" s="64"/>
      <c r="L61" s="96"/>
    </row>
    <row r="62" spans="2:12" ht="12.75" customHeight="1">
      <c r="B62" s="95"/>
      <c r="C62" s="64"/>
      <c r="D62" s="64"/>
      <c r="E62" s="64"/>
      <c r="F62" s="64"/>
      <c r="G62" s="64"/>
      <c r="H62" s="64"/>
      <c r="I62" s="64"/>
      <c r="J62" s="64"/>
      <c r="K62" s="64"/>
      <c r="L62" s="96"/>
    </row>
    <row r="63" spans="2:12" ht="12.75" customHeight="1">
      <c r="B63" s="95"/>
      <c r="C63" s="64"/>
      <c r="D63" s="64"/>
      <c r="E63" s="64"/>
      <c r="F63" s="64"/>
      <c r="G63" s="64"/>
      <c r="H63" s="64"/>
      <c r="I63" s="64"/>
      <c r="J63" s="64"/>
      <c r="K63" s="64"/>
      <c r="L63" s="96"/>
    </row>
    <row r="64" spans="2:12" ht="12.75" customHeight="1">
      <c r="B64" s="95"/>
      <c r="C64" s="64"/>
      <c r="D64" s="64"/>
      <c r="E64" s="64"/>
      <c r="F64" s="64"/>
      <c r="G64" s="64"/>
      <c r="H64" s="64"/>
      <c r="I64" s="64"/>
      <c r="J64" s="64"/>
      <c r="K64" s="64"/>
      <c r="L64" s="96"/>
    </row>
    <row r="65" spans="2:12" ht="12.75" customHeight="1">
      <c r="B65" s="95"/>
      <c r="C65" s="64"/>
      <c r="D65" s="64"/>
      <c r="E65" s="64"/>
      <c r="F65" s="64"/>
      <c r="G65" s="64"/>
      <c r="H65" s="64"/>
      <c r="I65" s="64"/>
      <c r="J65" s="64"/>
      <c r="K65" s="64"/>
      <c r="L65" s="96"/>
    </row>
    <row r="66" spans="2:12" ht="12.75" customHeight="1">
      <c r="B66" s="95"/>
      <c r="C66" s="64"/>
      <c r="D66" s="64"/>
      <c r="E66" s="64"/>
      <c r="F66" s="64"/>
      <c r="G66" s="64"/>
      <c r="H66" s="64"/>
      <c r="I66" s="64"/>
      <c r="J66" s="64"/>
      <c r="K66" s="64"/>
      <c r="L66" s="96"/>
    </row>
    <row r="67" spans="2:12" ht="12.75" customHeight="1">
      <c r="B67" s="95"/>
      <c r="C67" s="64"/>
      <c r="D67" s="64"/>
      <c r="E67" s="64"/>
      <c r="F67" s="64"/>
      <c r="G67" s="64"/>
      <c r="H67" s="64"/>
      <c r="I67" s="64"/>
      <c r="J67" s="64"/>
      <c r="K67" s="64"/>
      <c r="L67" s="96"/>
    </row>
    <row r="68" spans="2:12" ht="12.75" customHeight="1">
      <c r="B68" s="95"/>
      <c r="C68" s="64"/>
      <c r="D68" s="64"/>
      <c r="E68" s="64"/>
      <c r="F68" s="64"/>
      <c r="G68" s="64"/>
      <c r="H68" s="64"/>
      <c r="I68" s="64"/>
      <c r="J68" s="64"/>
      <c r="K68" s="64"/>
      <c r="L68" s="96"/>
    </row>
    <row r="69" spans="2:12" ht="12.75" customHeight="1">
      <c r="B69" s="95"/>
      <c r="C69" s="64"/>
      <c r="D69" s="64"/>
      <c r="E69" s="64"/>
      <c r="F69" s="64"/>
      <c r="G69" s="64"/>
      <c r="H69" s="64"/>
      <c r="I69" s="64"/>
      <c r="J69" s="64"/>
      <c r="K69" s="64"/>
      <c r="L69" s="96"/>
    </row>
    <row r="70" spans="2:12" ht="12.75" customHeight="1">
      <c r="B70" s="95"/>
      <c r="C70" s="64"/>
      <c r="D70" s="64"/>
      <c r="E70" s="64"/>
      <c r="F70" s="64"/>
      <c r="G70" s="64"/>
      <c r="H70" s="64"/>
      <c r="I70" s="64"/>
      <c r="J70" s="64"/>
      <c r="K70" s="64"/>
      <c r="L70" s="96"/>
    </row>
    <row r="71" spans="2:12" ht="12.75" customHeight="1">
      <c r="B71" s="95"/>
      <c r="C71" s="64"/>
      <c r="D71" s="64"/>
      <c r="E71" s="64"/>
      <c r="F71" s="64"/>
      <c r="G71" s="64"/>
      <c r="H71" s="64"/>
      <c r="I71" s="64"/>
      <c r="J71" s="64"/>
      <c r="K71" s="64"/>
      <c r="L71" s="96"/>
    </row>
    <row r="72" spans="2:12" ht="12.75" customHeight="1">
      <c r="B72" s="95"/>
      <c r="C72" s="64"/>
      <c r="D72" s="64"/>
      <c r="E72" s="64"/>
      <c r="F72" s="64"/>
      <c r="G72" s="64"/>
      <c r="H72" s="64"/>
      <c r="I72" s="64"/>
      <c r="J72" s="64"/>
      <c r="K72" s="64"/>
      <c r="L72" s="96"/>
    </row>
    <row r="73" spans="2:12" ht="12.75" customHeight="1">
      <c r="B73" s="95"/>
      <c r="C73" s="64"/>
      <c r="D73" s="64"/>
      <c r="E73" s="64"/>
      <c r="F73" s="64"/>
      <c r="G73" s="64"/>
      <c r="H73" s="64"/>
      <c r="I73" s="64"/>
      <c r="J73" s="64"/>
      <c r="K73" s="64"/>
      <c r="L73" s="96"/>
    </row>
    <row r="74" spans="2:12" ht="12.75" customHeight="1">
      <c r="B74" s="95"/>
      <c r="C74" s="64"/>
      <c r="D74" s="64"/>
      <c r="E74" s="64"/>
      <c r="F74" s="64"/>
      <c r="G74" s="64"/>
      <c r="H74" s="64"/>
      <c r="I74" s="64"/>
      <c r="J74" s="64"/>
      <c r="K74" s="64"/>
      <c r="L74" s="96"/>
    </row>
    <row r="75" spans="2:12" ht="12.75" customHeight="1">
      <c r="B75" s="95"/>
      <c r="C75" s="64"/>
      <c r="D75" s="64"/>
      <c r="E75" s="64"/>
      <c r="F75" s="64"/>
      <c r="G75" s="64"/>
      <c r="H75" s="64"/>
      <c r="I75" s="64"/>
      <c r="J75" s="64"/>
      <c r="K75" s="64"/>
      <c r="L75" s="96"/>
    </row>
    <row r="76" spans="2:12" ht="12.75" customHeight="1">
      <c r="B76" s="95"/>
      <c r="C76" s="64"/>
      <c r="D76" s="64"/>
      <c r="E76" s="64"/>
      <c r="F76" s="64"/>
      <c r="G76" s="64"/>
      <c r="H76" s="64"/>
      <c r="I76" s="64"/>
      <c r="J76" s="64"/>
      <c r="K76" s="64"/>
      <c r="L76" s="96"/>
    </row>
    <row r="77" spans="2:12" ht="12.75" customHeight="1">
      <c r="B77" s="95"/>
      <c r="C77" s="64"/>
      <c r="D77" s="64"/>
      <c r="E77" s="64"/>
      <c r="F77" s="64"/>
      <c r="G77" s="64"/>
      <c r="H77" s="64"/>
      <c r="I77" s="64"/>
      <c r="J77" s="64"/>
      <c r="K77" s="64"/>
      <c r="L77" s="96"/>
    </row>
    <row r="78" spans="2:12" ht="12.75" customHeight="1">
      <c r="B78" s="95"/>
      <c r="C78" s="64"/>
      <c r="D78" s="64"/>
      <c r="E78" s="64"/>
      <c r="F78" s="64"/>
      <c r="G78" s="64"/>
      <c r="H78" s="64"/>
      <c r="I78" s="64"/>
      <c r="J78" s="64"/>
      <c r="K78" s="64"/>
      <c r="L78" s="96"/>
    </row>
    <row r="79" spans="2:12" ht="12.75" customHeight="1">
      <c r="B79" s="95"/>
      <c r="C79" s="64"/>
      <c r="D79" s="64"/>
      <c r="E79" s="64"/>
      <c r="F79" s="64"/>
      <c r="G79" s="64"/>
      <c r="H79" s="64"/>
      <c r="I79" s="64"/>
      <c r="J79" s="64"/>
      <c r="K79" s="64"/>
      <c r="L79" s="96"/>
    </row>
    <row r="80" spans="2:12" ht="12.75" customHeight="1">
      <c r="B80" s="95"/>
      <c r="C80" s="64"/>
      <c r="D80" s="64"/>
      <c r="E80" s="64"/>
      <c r="F80" s="64"/>
      <c r="G80" s="64"/>
      <c r="H80" s="64"/>
      <c r="I80" s="64"/>
      <c r="J80" s="64"/>
      <c r="K80" s="64"/>
      <c r="L80" s="96"/>
    </row>
    <row r="81" spans="2:12" ht="12.75" customHeight="1">
      <c r="B81" s="95"/>
      <c r="C81" s="64"/>
      <c r="D81" s="64"/>
      <c r="E81" s="64"/>
      <c r="F81" s="64"/>
      <c r="G81" s="64"/>
      <c r="H81" s="64"/>
      <c r="I81" s="64"/>
      <c r="J81" s="64"/>
      <c r="K81" s="64"/>
      <c r="L81" s="96"/>
    </row>
    <row r="82" spans="2:12" ht="12.75" customHeight="1">
      <c r="B82" s="95"/>
      <c r="C82" s="64"/>
      <c r="D82" s="64"/>
      <c r="E82" s="64"/>
      <c r="F82" s="64"/>
      <c r="G82" s="64"/>
      <c r="H82" s="64"/>
      <c r="I82" s="64"/>
      <c r="J82" s="64"/>
      <c r="K82" s="64"/>
      <c r="L82" s="96"/>
    </row>
    <row r="83" spans="2:12" ht="12.75" customHeight="1">
      <c r="B83" s="95"/>
      <c r="C83" s="64"/>
      <c r="D83" s="64"/>
      <c r="E83" s="64"/>
      <c r="F83" s="64"/>
      <c r="G83" s="64"/>
      <c r="H83" s="64"/>
      <c r="I83" s="64"/>
      <c r="J83" s="64"/>
      <c r="K83" s="64"/>
      <c r="L83" s="96"/>
    </row>
    <row r="84" spans="2:12" ht="12.75" customHeight="1">
      <c r="B84" s="95"/>
      <c r="C84" s="64"/>
      <c r="D84" s="64"/>
      <c r="E84" s="64"/>
      <c r="F84" s="64"/>
      <c r="G84" s="64"/>
      <c r="H84" s="64"/>
      <c r="I84" s="64"/>
      <c r="J84" s="64"/>
      <c r="K84" s="64"/>
      <c r="L84" s="96"/>
    </row>
    <row r="85" spans="2:12" ht="12.75" customHeight="1">
      <c r="B85" s="95"/>
      <c r="C85" s="64"/>
      <c r="D85" s="64"/>
      <c r="E85" s="64"/>
      <c r="F85" s="64"/>
      <c r="G85" s="64"/>
      <c r="H85" s="64"/>
      <c r="I85" s="64"/>
      <c r="J85" s="64"/>
      <c r="K85" s="64"/>
      <c r="L85" s="96"/>
    </row>
    <row r="86" spans="2:12" ht="12.75" customHeight="1">
      <c r="B86" s="95"/>
      <c r="C86" s="64"/>
      <c r="D86" s="64"/>
      <c r="E86" s="64"/>
      <c r="F86" s="64"/>
      <c r="G86" s="64"/>
      <c r="H86" s="64"/>
      <c r="I86" s="64"/>
      <c r="J86" s="64"/>
      <c r="K86" s="64"/>
      <c r="L86" s="96"/>
    </row>
    <row r="87" spans="2:12" ht="12.75" customHeight="1">
      <c r="B87" s="95"/>
      <c r="C87" s="64"/>
      <c r="D87" s="64"/>
      <c r="E87" s="64"/>
      <c r="F87" s="64"/>
      <c r="G87" s="64"/>
      <c r="H87" s="64"/>
      <c r="I87" s="64"/>
      <c r="J87" s="64"/>
      <c r="K87" s="64"/>
      <c r="L87" s="96"/>
    </row>
    <row r="88" spans="2:12" ht="12.75" customHeight="1">
      <c r="B88" s="95"/>
      <c r="C88" s="64"/>
      <c r="D88" s="64"/>
      <c r="E88" s="64"/>
      <c r="F88" s="64"/>
      <c r="G88" s="64"/>
      <c r="H88" s="64"/>
      <c r="I88" s="64"/>
      <c r="J88" s="64"/>
      <c r="K88" s="64"/>
      <c r="L88" s="96"/>
    </row>
    <row r="89" spans="2:12" ht="12.75" customHeight="1">
      <c r="B89" s="95"/>
      <c r="C89" s="64"/>
      <c r="D89" s="64"/>
      <c r="E89" s="64"/>
      <c r="F89" s="64"/>
      <c r="G89" s="64"/>
      <c r="H89" s="64"/>
      <c r="I89" s="64"/>
      <c r="J89" s="64"/>
      <c r="K89" s="64"/>
      <c r="L89" s="96"/>
    </row>
    <row r="90" spans="2:12" ht="12.75" customHeight="1">
      <c r="B90" s="95"/>
      <c r="C90" s="64"/>
      <c r="D90" s="64"/>
      <c r="E90" s="64"/>
      <c r="F90" s="64"/>
      <c r="G90" s="64"/>
      <c r="H90" s="64"/>
      <c r="I90" s="64"/>
      <c r="J90" s="64"/>
      <c r="K90" s="64"/>
      <c r="L90" s="96"/>
    </row>
    <row r="91" spans="2:12" ht="12.75" customHeight="1">
      <c r="B91" s="95"/>
      <c r="C91" s="64"/>
      <c r="D91" s="64"/>
      <c r="E91" s="64"/>
      <c r="F91" s="64"/>
      <c r="G91" s="64"/>
      <c r="H91" s="64"/>
      <c r="I91" s="64"/>
      <c r="J91" s="64"/>
      <c r="K91" s="64"/>
      <c r="L91" s="96"/>
    </row>
    <row r="92" spans="2:12" ht="12.75" customHeight="1">
      <c r="B92" s="95"/>
      <c r="C92" s="64"/>
      <c r="D92" s="64"/>
      <c r="E92" s="64"/>
      <c r="F92" s="64"/>
      <c r="G92" s="64"/>
      <c r="H92" s="64"/>
      <c r="I92" s="64"/>
      <c r="J92" s="64"/>
      <c r="K92" s="64"/>
      <c r="L92" s="96"/>
    </row>
    <row r="93" spans="2:12" ht="12.75" customHeight="1">
      <c r="B93" s="95"/>
      <c r="C93" s="64"/>
      <c r="D93" s="64"/>
      <c r="E93" s="64"/>
      <c r="F93" s="64"/>
      <c r="G93" s="64"/>
      <c r="H93" s="64"/>
      <c r="I93" s="64"/>
      <c r="J93" s="64"/>
      <c r="K93" s="64"/>
      <c r="L93" s="96"/>
    </row>
    <row r="94" spans="2:12" ht="12.75" customHeight="1">
      <c r="B94" s="95"/>
      <c r="C94" s="64"/>
      <c r="D94" s="64"/>
      <c r="E94" s="64"/>
      <c r="F94" s="64"/>
      <c r="G94" s="64"/>
      <c r="H94" s="64"/>
      <c r="I94" s="64"/>
      <c r="J94" s="64"/>
      <c r="K94" s="64"/>
      <c r="L94" s="96"/>
    </row>
    <row r="95" spans="2:12" ht="12.75" customHeight="1">
      <c r="B95" s="95"/>
      <c r="C95" s="64"/>
      <c r="D95" s="64"/>
      <c r="E95" s="64"/>
      <c r="F95" s="64"/>
      <c r="G95" s="64"/>
      <c r="H95" s="64"/>
      <c r="I95" s="64"/>
      <c r="J95" s="64"/>
      <c r="K95" s="64"/>
      <c r="L95" s="96"/>
    </row>
    <row r="96" spans="2:12" ht="12.75" customHeight="1">
      <c r="B96" s="95"/>
      <c r="C96" s="64"/>
      <c r="D96" s="64"/>
      <c r="E96" s="64"/>
      <c r="F96" s="64"/>
      <c r="G96" s="64"/>
      <c r="H96" s="64"/>
      <c r="I96" s="64"/>
      <c r="J96" s="64"/>
      <c r="K96" s="64"/>
      <c r="L96" s="96"/>
    </row>
    <row r="97" spans="2:12" ht="12.75" customHeight="1">
      <c r="B97" s="95"/>
      <c r="C97" s="64"/>
      <c r="D97" s="64"/>
      <c r="E97" s="64"/>
      <c r="F97" s="64"/>
      <c r="G97" s="64"/>
      <c r="H97" s="64"/>
      <c r="I97" s="64"/>
      <c r="J97" s="64"/>
      <c r="K97" s="64"/>
      <c r="L97" s="96"/>
    </row>
    <row r="98" spans="2:12" ht="12.75" customHeight="1">
      <c r="B98" s="95"/>
      <c r="C98" s="64"/>
      <c r="D98" s="64"/>
      <c r="E98" s="64"/>
      <c r="F98" s="64"/>
      <c r="G98" s="64"/>
      <c r="H98" s="64"/>
      <c r="I98" s="64"/>
      <c r="J98" s="64"/>
      <c r="K98" s="64"/>
      <c r="L98" s="96"/>
    </row>
    <row r="99" spans="2:12" ht="12.75" customHeight="1">
      <c r="B99" s="95"/>
      <c r="C99" s="64"/>
      <c r="D99" s="64"/>
      <c r="E99" s="64"/>
      <c r="F99" s="64"/>
      <c r="G99" s="64"/>
      <c r="H99" s="64"/>
      <c r="I99" s="64"/>
      <c r="J99" s="64"/>
      <c r="K99" s="64"/>
      <c r="L99" s="96"/>
    </row>
    <row r="100" spans="2:12" ht="12.75" customHeight="1">
      <c r="B100" s="95"/>
      <c r="C100" s="64"/>
      <c r="D100" s="64"/>
      <c r="E100" s="64"/>
      <c r="F100" s="64"/>
      <c r="G100" s="64"/>
      <c r="H100" s="64"/>
      <c r="I100" s="64"/>
      <c r="J100" s="64"/>
      <c r="K100" s="64"/>
      <c r="L100" s="96"/>
    </row>
    <row r="101" spans="2:12" ht="12.75" customHeight="1">
      <c r="B101" s="95"/>
      <c r="C101" s="64"/>
      <c r="D101" s="64"/>
      <c r="E101" s="64"/>
      <c r="F101" s="64"/>
      <c r="G101" s="64"/>
      <c r="H101" s="64"/>
      <c r="I101" s="64"/>
      <c r="J101" s="64"/>
      <c r="K101" s="64"/>
      <c r="L101" s="96"/>
    </row>
    <row r="102" spans="2:12" ht="12.75" customHeight="1">
      <c r="B102" s="95"/>
      <c r="C102" s="64"/>
      <c r="D102" s="64"/>
      <c r="E102" s="64"/>
      <c r="F102" s="64"/>
      <c r="G102" s="64"/>
      <c r="H102" s="64"/>
      <c r="I102" s="64"/>
      <c r="J102" s="64"/>
      <c r="K102" s="64"/>
      <c r="L102" s="96"/>
    </row>
    <row r="103" spans="2:12" ht="12.75" customHeight="1">
      <c r="B103" s="95"/>
      <c r="C103" s="64"/>
      <c r="D103" s="64"/>
      <c r="E103" s="64"/>
      <c r="F103" s="64"/>
      <c r="G103" s="64"/>
      <c r="H103" s="64"/>
      <c r="I103" s="64"/>
      <c r="J103" s="64"/>
      <c r="K103" s="64"/>
      <c r="L103" s="96"/>
    </row>
    <row r="104" spans="2:12" ht="12.75" customHeight="1">
      <c r="B104" s="95"/>
      <c r="C104" s="64"/>
      <c r="D104" s="64"/>
      <c r="E104" s="64"/>
      <c r="F104" s="64"/>
      <c r="G104" s="64"/>
      <c r="H104" s="64"/>
      <c r="I104" s="64"/>
      <c r="J104" s="64"/>
      <c r="K104" s="64"/>
      <c r="L104" s="96"/>
    </row>
    <row r="105" spans="2:12" ht="12.75" customHeight="1">
      <c r="B105" s="95"/>
      <c r="C105" s="64"/>
      <c r="D105" s="64"/>
      <c r="E105" s="64"/>
      <c r="F105" s="64"/>
      <c r="G105" s="64"/>
      <c r="H105" s="64"/>
      <c r="I105" s="64"/>
      <c r="J105" s="64"/>
      <c r="K105" s="64"/>
      <c r="L105" s="96"/>
    </row>
    <row r="106" spans="2:12" ht="12.75" customHeight="1">
      <c r="B106" s="95"/>
      <c r="C106" s="64"/>
      <c r="D106" s="64"/>
      <c r="E106" s="64"/>
      <c r="F106" s="64"/>
      <c r="G106" s="64"/>
      <c r="H106" s="64"/>
      <c r="I106" s="64"/>
      <c r="J106" s="64"/>
      <c r="K106" s="64"/>
      <c r="L106" s="96"/>
    </row>
    <row r="107" spans="2:12" ht="12.75" customHeight="1">
      <c r="B107" s="95"/>
      <c r="C107" s="64"/>
      <c r="D107" s="64"/>
      <c r="E107" s="64"/>
      <c r="F107" s="64"/>
      <c r="G107" s="64"/>
      <c r="H107" s="64"/>
      <c r="I107" s="64"/>
      <c r="J107" s="64"/>
      <c r="K107" s="64"/>
      <c r="L107" s="96"/>
    </row>
    <row r="108" spans="2:12" ht="12.75" customHeight="1">
      <c r="B108" s="95"/>
      <c r="C108" s="64"/>
      <c r="D108" s="64"/>
      <c r="E108" s="64"/>
      <c r="F108" s="64"/>
      <c r="G108" s="64"/>
      <c r="H108" s="64"/>
      <c r="I108" s="64"/>
      <c r="J108" s="64"/>
      <c r="K108" s="64"/>
      <c r="L108" s="96"/>
    </row>
    <row r="109" spans="2:12" ht="12.75" customHeight="1">
      <c r="B109" s="95"/>
      <c r="C109" s="64"/>
      <c r="D109" s="64"/>
      <c r="E109" s="64"/>
      <c r="F109" s="64"/>
      <c r="G109" s="64"/>
      <c r="H109" s="64"/>
      <c r="I109" s="64"/>
      <c r="J109" s="64"/>
      <c r="K109" s="64"/>
      <c r="L109" s="96"/>
    </row>
    <row r="110" spans="2:12" ht="12.75" customHeight="1">
      <c r="B110" s="95"/>
      <c r="C110" s="64"/>
      <c r="D110" s="64"/>
      <c r="E110" s="64"/>
      <c r="F110" s="64"/>
      <c r="G110" s="64"/>
      <c r="H110" s="64"/>
      <c r="I110" s="64"/>
      <c r="J110" s="64"/>
      <c r="K110" s="64"/>
      <c r="L110" s="96"/>
    </row>
    <row r="111" spans="2:12" ht="12.75" customHeight="1">
      <c r="B111" s="95"/>
      <c r="C111" s="64"/>
      <c r="D111" s="64"/>
      <c r="E111" s="64"/>
      <c r="F111" s="64"/>
      <c r="G111" s="64"/>
      <c r="H111" s="64"/>
      <c r="I111" s="64"/>
      <c r="J111" s="64"/>
      <c r="K111" s="64"/>
      <c r="L111" s="96"/>
    </row>
    <row r="112" spans="2:12" ht="12.75" customHeight="1">
      <c r="B112" s="95"/>
      <c r="C112" s="64"/>
      <c r="D112" s="64"/>
      <c r="E112" s="64"/>
      <c r="F112" s="64"/>
      <c r="G112" s="64"/>
      <c r="H112" s="64"/>
      <c r="I112" s="64"/>
      <c r="J112" s="64"/>
      <c r="K112" s="64"/>
      <c r="L112" s="96"/>
    </row>
    <row r="113" spans="2:12" ht="12.75" customHeight="1">
      <c r="B113" s="95"/>
      <c r="C113" s="64"/>
      <c r="D113" s="64"/>
      <c r="E113" s="64"/>
      <c r="F113" s="64"/>
      <c r="G113" s="64"/>
      <c r="H113" s="64"/>
      <c r="I113" s="64"/>
      <c r="J113" s="64"/>
      <c r="K113" s="64"/>
      <c r="L113" s="96"/>
    </row>
    <row r="114" spans="2:12" ht="12.75" customHeight="1">
      <c r="B114" s="95"/>
      <c r="C114" s="64"/>
      <c r="D114" s="64"/>
      <c r="E114" s="64"/>
      <c r="F114" s="64"/>
      <c r="G114" s="64"/>
      <c r="H114" s="64"/>
      <c r="I114" s="64"/>
      <c r="J114" s="64"/>
      <c r="K114" s="64"/>
      <c r="L114" s="96"/>
    </row>
    <row r="115" spans="2:12" ht="12.75" customHeight="1">
      <c r="B115" s="95"/>
      <c r="C115" s="64"/>
      <c r="D115" s="64"/>
      <c r="E115" s="64"/>
      <c r="F115" s="64"/>
      <c r="G115" s="64"/>
      <c r="H115" s="64"/>
      <c r="I115" s="64"/>
      <c r="J115" s="64"/>
      <c r="K115" s="64"/>
      <c r="L115" s="96"/>
    </row>
    <row r="116" spans="2:12" ht="12.75" customHeight="1">
      <c r="B116" s="95"/>
      <c r="C116" s="64"/>
      <c r="D116" s="64"/>
      <c r="E116" s="64"/>
      <c r="F116" s="64"/>
      <c r="G116" s="64"/>
      <c r="H116" s="64"/>
      <c r="I116" s="64"/>
      <c r="J116" s="64"/>
      <c r="K116" s="64"/>
      <c r="L116" s="96"/>
    </row>
    <row r="117" spans="2:12" ht="12.75" customHeight="1">
      <c r="B117" s="95"/>
      <c r="C117" s="64"/>
      <c r="D117" s="64"/>
      <c r="E117" s="64"/>
      <c r="F117" s="64"/>
      <c r="G117" s="64"/>
      <c r="H117" s="64"/>
      <c r="I117" s="64"/>
      <c r="J117" s="64"/>
      <c r="K117" s="64"/>
      <c r="L117" s="96"/>
    </row>
    <row r="118" spans="2:12" ht="12.75" customHeight="1">
      <c r="B118" s="95"/>
      <c r="C118" s="64"/>
      <c r="D118" s="64"/>
      <c r="E118" s="64"/>
      <c r="F118" s="64"/>
      <c r="G118" s="64"/>
      <c r="H118" s="64"/>
      <c r="I118" s="64"/>
      <c r="J118" s="64"/>
      <c r="K118" s="64"/>
      <c r="L118" s="96"/>
    </row>
    <row r="119" spans="2:12" ht="12.75" customHeight="1">
      <c r="B119" s="95"/>
      <c r="C119" s="64"/>
      <c r="D119" s="64"/>
      <c r="E119" s="64"/>
      <c r="F119" s="64"/>
      <c r="G119" s="64"/>
      <c r="H119" s="64"/>
      <c r="I119" s="64"/>
      <c r="J119" s="64"/>
      <c r="K119" s="64"/>
      <c r="L119" s="96"/>
    </row>
    <row r="120" spans="2:12" ht="12.75" customHeight="1">
      <c r="B120" s="95"/>
      <c r="C120" s="64"/>
      <c r="D120" s="64"/>
      <c r="E120" s="64"/>
      <c r="F120" s="64"/>
      <c r="G120" s="64"/>
      <c r="H120" s="64"/>
      <c r="I120" s="64"/>
      <c r="J120" s="64"/>
      <c r="K120" s="64"/>
      <c r="L120" s="96"/>
    </row>
    <row r="121" spans="2:12" ht="12.75" customHeight="1">
      <c r="B121" s="95"/>
      <c r="C121" s="64"/>
      <c r="D121" s="64"/>
      <c r="E121" s="64"/>
      <c r="F121" s="64"/>
      <c r="G121" s="64"/>
      <c r="H121" s="64"/>
      <c r="I121" s="64"/>
      <c r="J121" s="64"/>
      <c r="K121" s="64"/>
      <c r="L121" s="96"/>
    </row>
    <row r="122" spans="2:12" ht="12.75" customHeight="1">
      <c r="B122" s="95"/>
      <c r="C122" s="64"/>
      <c r="D122" s="64"/>
      <c r="E122" s="64"/>
      <c r="F122" s="64"/>
      <c r="G122" s="64"/>
      <c r="H122" s="64"/>
      <c r="I122" s="64"/>
      <c r="J122" s="64"/>
      <c r="K122" s="64"/>
      <c r="L122" s="96"/>
    </row>
    <row r="123" spans="2:12" ht="12.75" customHeight="1">
      <c r="B123" s="95"/>
      <c r="C123" s="64"/>
      <c r="D123" s="64"/>
      <c r="E123" s="64"/>
      <c r="F123" s="64"/>
      <c r="G123" s="64"/>
      <c r="H123" s="64"/>
      <c r="I123" s="64"/>
      <c r="J123" s="64"/>
      <c r="K123" s="64"/>
      <c r="L123" s="96"/>
    </row>
    <row r="124" spans="2:12" ht="12.75" customHeight="1">
      <c r="B124" s="95"/>
      <c r="C124" s="64"/>
      <c r="D124" s="64"/>
      <c r="E124" s="64"/>
      <c r="F124" s="64"/>
      <c r="G124" s="64"/>
      <c r="H124" s="64"/>
      <c r="I124" s="64"/>
      <c r="J124" s="64"/>
      <c r="K124" s="64"/>
      <c r="L124" s="96"/>
    </row>
    <row r="125" spans="2:12" ht="12.75" customHeight="1">
      <c r="B125" s="95"/>
      <c r="C125" s="64"/>
      <c r="D125" s="64"/>
      <c r="E125" s="64"/>
      <c r="F125" s="64"/>
      <c r="G125" s="64"/>
      <c r="H125" s="64"/>
      <c r="I125" s="64"/>
      <c r="J125" s="64"/>
      <c r="K125" s="64"/>
      <c r="L125" s="96"/>
    </row>
    <row r="126" spans="2:12" ht="12.75" customHeight="1">
      <c r="B126" s="95"/>
      <c r="C126" s="64"/>
      <c r="D126" s="64"/>
      <c r="E126" s="64"/>
      <c r="F126" s="64"/>
      <c r="G126" s="64"/>
      <c r="H126" s="64"/>
      <c r="I126" s="64"/>
      <c r="J126" s="64"/>
      <c r="K126" s="64"/>
      <c r="L126" s="96"/>
    </row>
    <row r="127" spans="2:12" ht="12.75" customHeight="1">
      <c r="B127" s="95"/>
      <c r="C127" s="64"/>
      <c r="D127" s="64"/>
      <c r="E127" s="64"/>
      <c r="F127" s="64"/>
      <c r="G127" s="64"/>
      <c r="H127" s="64"/>
      <c r="I127" s="64"/>
      <c r="J127" s="64"/>
      <c r="K127" s="64"/>
      <c r="L127" s="96"/>
    </row>
    <row r="128" spans="2:12" ht="12.75" customHeight="1">
      <c r="B128" s="95"/>
      <c r="C128" s="64"/>
      <c r="D128" s="64"/>
      <c r="E128" s="64"/>
      <c r="F128" s="64"/>
      <c r="G128" s="64"/>
      <c r="H128" s="64"/>
      <c r="I128" s="64"/>
      <c r="J128" s="64"/>
      <c r="K128" s="64"/>
      <c r="L128" s="96"/>
    </row>
    <row r="129" spans="2:12" ht="12.75" customHeight="1">
      <c r="B129" s="95"/>
      <c r="C129" s="64"/>
      <c r="D129" s="64"/>
      <c r="E129" s="64"/>
      <c r="F129" s="64"/>
      <c r="G129" s="64"/>
      <c r="H129" s="64"/>
      <c r="I129" s="64"/>
      <c r="J129" s="64"/>
      <c r="K129" s="64"/>
      <c r="L129" s="96"/>
    </row>
    <row r="130" spans="2:12" ht="12.75" customHeight="1">
      <c r="B130" s="95"/>
      <c r="C130" s="64"/>
      <c r="D130" s="64"/>
      <c r="E130" s="64"/>
      <c r="F130" s="64"/>
      <c r="G130" s="64"/>
      <c r="H130" s="64"/>
      <c r="I130" s="64"/>
      <c r="J130" s="64"/>
      <c r="K130" s="64"/>
      <c r="L130" s="96"/>
    </row>
    <row r="131" spans="2:12" ht="12.75" customHeight="1">
      <c r="B131" s="95"/>
      <c r="C131" s="64"/>
      <c r="D131" s="64"/>
      <c r="E131" s="64"/>
      <c r="F131" s="64"/>
      <c r="G131" s="64"/>
      <c r="H131" s="64"/>
      <c r="I131" s="64"/>
      <c r="J131" s="64"/>
      <c r="K131" s="64"/>
      <c r="L131" s="96"/>
    </row>
    <row r="132" spans="2:12" ht="12.75" customHeight="1">
      <c r="B132" s="95"/>
      <c r="C132" s="64"/>
      <c r="D132" s="64"/>
      <c r="E132" s="64"/>
      <c r="F132" s="64"/>
      <c r="G132" s="64"/>
      <c r="H132" s="64"/>
      <c r="I132" s="64"/>
      <c r="J132" s="64"/>
      <c r="K132" s="64"/>
      <c r="L132" s="96"/>
    </row>
    <row r="133" spans="2:12" ht="12.75" customHeight="1">
      <c r="B133" s="95"/>
      <c r="C133" s="64"/>
      <c r="D133" s="64"/>
      <c r="E133" s="64"/>
      <c r="F133" s="64"/>
      <c r="G133" s="64"/>
      <c r="H133" s="64"/>
      <c r="I133" s="64"/>
      <c r="J133" s="64"/>
      <c r="K133" s="64"/>
      <c r="L133" s="96"/>
    </row>
    <row r="134" spans="2:12" ht="12.75" customHeight="1">
      <c r="B134" s="95"/>
      <c r="C134" s="64"/>
      <c r="D134" s="64"/>
      <c r="E134" s="64"/>
      <c r="F134" s="64"/>
      <c r="G134" s="64"/>
      <c r="H134" s="64"/>
      <c r="I134" s="64"/>
      <c r="J134" s="64"/>
      <c r="K134" s="64"/>
      <c r="L134" s="96"/>
    </row>
    <row r="135" spans="2:12" ht="12.75" customHeight="1">
      <c r="B135" s="95"/>
      <c r="C135" s="64"/>
      <c r="D135" s="64"/>
      <c r="E135" s="64"/>
      <c r="F135" s="64"/>
      <c r="G135" s="64"/>
      <c r="H135" s="64"/>
      <c r="I135" s="64"/>
      <c r="J135" s="64"/>
      <c r="K135" s="64"/>
      <c r="L135" s="96"/>
    </row>
    <row r="136" spans="2:12" ht="12.75" customHeight="1">
      <c r="B136" s="95"/>
      <c r="C136" s="64"/>
      <c r="D136" s="64"/>
      <c r="E136" s="64"/>
      <c r="F136" s="64"/>
      <c r="G136" s="64"/>
      <c r="H136" s="64"/>
      <c r="I136" s="64"/>
      <c r="J136" s="64"/>
      <c r="K136" s="64"/>
      <c r="L136" s="96"/>
    </row>
    <row r="137" spans="2:12" ht="12.75" customHeight="1">
      <c r="B137" s="95"/>
      <c r="C137" s="64"/>
      <c r="D137" s="64"/>
      <c r="E137" s="64"/>
      <c r="F137" s="64"/>
      <c r="G137" s="64"/>
      <c r="H137" s="64"/>
      <c r="I137" s="64"/>
      <c r="J137" s="64"/>
      <c r="K137" s="64"/>
      <c r="L137" s="96"/>
    </row>
    <row r="138" spans="2:12" ht="12.75" customHeight="1">
      <c r="B138" s="95"/>
      <c r="C138" s="64"/>
      <c r="D138" s="64"/>
      <c r="E138" s="64"/>
      <c r="F138" s="64"/>
      <c r="G138" s="64"/>
      <c r="H138" s="64"/>
      <c r="I138" s="64"/>
      <c r="J138" s="64"/>
      <c r="K138" s="64"/>
      <c r="L138" s="96"/>
    </row>
    <row r="139" spans="2:12" ht="12.75" customHeight="1">
      <c r="B139" s="95"/>
      <c r="C139" s="64"/>
      <c r="D139" s="64"/>
      <c r="E139" s="64"/>
      <c r="F139" s="64"/>
      <c r="G139" s="64"/>
      <c r="H139" s="64"/>
      <c r="I139" s="64"/>
      <c r="J139" s="64"/>
      <c r="K139" s="64"/>
      <c r="L139" s="96"/>
    </row>
    <row r="140" spans="2:12" ht="12.75" customHeight="1">
      <c r="B140" s="95"/>
      <c r="C140" s="64"/>
      <c r="D140" s="64"/>
      <c r="E140" s="64"/>
      <c r="F140" s="64"/>
      <c r="G140" s="64"/>
      <c r="H140" s="64"/>
      <c r="I140" s="64"/>
      <c r="J140" s="64"/>
      <c r="K140" s="64"/>
      <c r="L140" s="96"/>
    </row>
    <row r="141" spans="2:12" ht="12.75" customHeight="1">
      <c r="B141" s="95"/>
      <c r="C141" s="64"/>
      <c r="D141" s="64"/>
      <c r="E141" s="64"/>
      <c r="F141" s="64"/>
      <c r="G141" s="64"/>
      <c r="H141" s="64"/>
      <c r="I141" s="64"/>
      <c r="J141" s="64"/>
      <c r="K141" s="64"/>
      <c r="L141" s="96"/>
    </row>
    <row r="142" spans="2:12" ht="12.75" customHeight="1">
      <c r="B142" s="95"/>
      <c r="C142" s="64"/>
      <c r="D142" s="64"/>
      <c r="E142" s="64"/>
      <c r="F142" s="64"/>
      <c r="G142" s="64"/>
      <c r="H142" s="64"/>
      <c r="I142" s="64"/>
      <c r="J142" s="64"/>
      <c r="K142" s="64"/>
      <c r="L142" s="96"/>
    </row>
    <row r="143" spans="2:12" ht="12.75" customHeight="1">
      <c r="B143" s="95"/>
      <c r="C143" s="64"/>
      <c r="D143" s="64"/>
      <c r="E143" s="64"/>
      <c r="F143" s="64"/>
      <c r="G143" s="64"/>
      <c r="H143" s="64"/>
      <c r="I143" s="64"/>
      <c r="J143" s="64"/>
      <c r="K143" s="64"/>
      <c r="L143" s="96"/>
    </row>
    <row r="144" spans="2:12" ht="12.75" customHeight="1">
      <c r="B144" s="95"/>
      <c r="C144" s="64"/>
      <c r="D144" s="64"/>
      <c r="E144" s="64"/>
      <c r="F144" s="64"/>
      <c r="G144" s="64"/>
      <c r="H144" s="64"/>
      <c r="I144" s="64"/>
      <c r="J144" s="64"/>
      <c r="K144" s="64"/>
      <c r="L144" s="96"/>
    </row>
    <row r="145" spans="2:12" ht="12.75" customHeight="1">
      <c r="B145" s="95"/>
      <c r="C145" s="64"/>
      <c r="D145" s="64"/>
      <c r="E145" s="64"/>
      <c r="F145" s="64"/>
      <c r="G145" s="64"/>
      <c r="H145" s="64"/>
      <c r="I145" s="64"/>
      <c r="J145" s="64"/>
      <c r="K145" s="64"/>
      <c r="L145" s="96"/>
    </row>
    <row r="146" spans="2:12" ht="12.75" customHeight="1">
      <c r="B146" s="95"/>
      <c r="C146" s="64"/>
      <c r="D146" s="64"/>
      <c r="E146" s="64"/>
      <c r="F146" s="64"/>
      <c r="G146" s="64"/>
      <c r="H146" s="64"/>
      <c r="I146" s="64"/>
      <c r="J146" s="64"/>
      <c r="K146" s="64"/>
      <c r="L146" s="96"/>
    </row>
    <row r="147" spans="2:12" ht="12.75" customHeight="1">
      <c r="B147" s="95"/>
      <c r="C147" s="64"/>
      <c r="D147" s="64"/>
      <c r="E147" s="64"/>
      <c r="F147" s="64"/>
      <c r="G147" s="64"/>
      <c r="H147" s="64"/>
      <c r="I147" s="64"/>
      <c r="J147" s="64"/>
      <c r="K147" s="64"/>
      <c r="L147" s="96"/>
    </row>
    <row r="148" spans="2:12" ht="12.75" customHeight="1">
      <c r="B148" s="95"/>
      <c r="C148" s="64"/>
      <c r="D148" s="64"/>
      <c r="E148" s="64"/>
      <c r="F148" s="64"/>
      <c r="G148" s="64"/>
      <c r="H148" s="64"/>
      <c r="I148" s="64"/>
      <c r="J148" s="64"/>
      <c r="K148" s="64"/>
      <c r="L148" s="96"/>
    </row>
    <row r="149" spans="2:12" ht="12.75" customHeight="1">
      <c r="B149" s="95"/>
      <c r="C149" s="64"/>
      <c r="D149" s="64"/>
      <c r="E149" s="64"/>
      <c r="F149" s="64"/>
      <c r="G149" s="64"/>
      <c r="H149" s="64"/>
      <c r="I149" s="64"/>
      <c r="J149" s="64"/>
      <c r="K149" s="64"/>
      <c r="L149" s="96"/>
    </row>
    <row r="150" spans="2:12" ht="12.75" customHeight="1">
      <c r="B150" s="95"/>
      <c r="C150" s="64"/>
      <c r="D150" s="64"/>
      <c r="E150" s="64"/>
      <c r="F150" s="64"/>
      <c r="G150" s="64"/>
      <c r="H150" s="64"/>
      <c r="I150" s="64"/>
      <c r="J150" s="64"/>
      <c r="K150" s="64"/>
      <c r="L150" s="96"/>
    </row>
    <row r="151" spans="2:12" ht="12.75" customHeight="1">
      <c r="B151" s="95"/>
      <c r="C151" s="64"/>
      <c r="D151" s="64"/>
      <c r="E151" s="64"/>
      <c r="F151" s="64"/>
      <c r="G151" s="64"/>
      <c r="H151" s="64"/>
      <c r="I151" s="64"/>
      <c r="J151" s="64"/>
      <c r="K151" s="64"/>
      <c r="L151" s="96"/>
    </row>
    <row r="152" spans="2:12" ht="12.75" customHeight="1">
      <c r="B152" s="95"/>
      <c r="C152" s="64"/>
      <c r="D152" s="64"/>
      <c r="E152" s="64"/>
      <c r="F152" s="64"/>
      <c r="G152" s="64"/>
      <c r="H152" s="64"/>
      <c r="I152" s="64"/>
      <c r="J152" s="64"/>
      <c r="K152" s="64"/>
      <c r="L152" s="96"/>
    </row>
    <row r="153" spans="2:12" ht="12.75" customHeight="1">
      <c r="B153" s="95"/>
      <c r="C153" s="64"/>
      <c r="D153" s="64"/>
      <c r="E153" s="64"/>
      <c r="F153" s="64"/>
      <c r="G153" s="64"/>
      <c r="H153" s="64"/>
      <c r="I153" s="64"/>
      <c r="J153" s="64"/>
      <c r="K153" s="64"/>
      <c r="L153" s="96"/>
    </row>
    <row r="154" spans="2:12" ht="12.75" customHeight="1">
      <c r="B154" s="95"/>
      <c r="C154" s="64"/>
      <c r="D154" s="64"/>
      <c r="E154" s="64"/>
      <c r="F154" s="64"/>
      <c r="G154" s="64"/>
      <c r="H154" s="64"/>
      <c r="I154" s="64"/>
      <c r="J154" s="64"/>
      <c r="K154" s="64"/>
      <c r="L154" s="96"/>
    </row>
    <row r="155" spans="2:12" ht="12.75" customHeight="1">
      <c r="B155" s="95"/>
      <c r="C155" s="64"/>
      <c r="D155" s="64"/>
      <c r="E155" s="64"/>
      <c r="F155" s="64"/>
      <c r="G155" s="64"/>
      <c r="H155" s="64"/>
      <c r="I155" s="64"/>
      <c r="J155" s="64"/>
      <c r="K155" s="64"/>
      <c r="L155" s="96"/>
    </row>
    <row r="156" spans="2:12" ht="12.75" customHeight="1">
      <c r="B156" s="95"/>
      <c r="C156" s="64"/>
      <c r="D156" s="64"/>
      <c r="E156" s="64"/>
      <c r="F156" s="64"/>
      <c r="G156" s="64"/>
      <c r="H156" s="64"/>
      <c r="I156" s="64"/>
      <c r="J156" s="64"/>
      <c r="K156" s="64"/>
      <c r="L156" s="96"/>
    </row>
    <row r="157" spans="2:12" ht="12.75" customHeight="1">
      <c r="B157" s="95"/>
      <c r="C157" s="64"/>
      <c r="D157" s="64"/>
      <c r="E157" s="64"/>
      <c r="F157" s="64"/>
      <c r="G157" s="64"/>
      <c r="H157" s="64"/>
      <c r="I157" s="64"/>
      <c r="J157" s="64"/>
      <c r="K157" s="64"/>
      <c r="L157" s="96"/>
    </row>
    <row r="158" spans="2:12" ht="12.75" customHeight="1">
      <c r="B158" s="95"/>
      <c r="C158" s="64"/>
      <c r="D158" s="64"/>
      <c r="E158" s="64"/>
      <c r="F158" s="64"/>
      <c r="G158" s="64"/>
      <c r="H158" s="64"/>
      <c r="I158" s="64"/>
      <c r="J158" s="64"/>
      <c r="K158" s="64"/>
      <c r="L158" s="96"/>
    </row>
    <row r="159" spans="2:12" ht="12.75" customHeight="1">
      <c r="B159" s="95"/>
      <c r="C159" s="64"/>
      <c r="D159" s="64"/>
      <c r="E159" s="64"/>
      <c r="F159" s="64"/>
      <c r="G159" s="64"/>
      <c r="H159" s="64"/>
      <c r="I159" s="64"/>
      <c r="J159" s="64"/>
      <c r="K159" s="64"/>
      <c r="L159" s="96"/>
    </row>
    <row r="160" spans="2:12" ht="12.75" customHeight="1">
      <c r="B160" s="95"/>
      <c r="C160" s="64"/>
      <c r="D160" s="64"/>
      <c r="E160" s="64"/>
      <c r="F160" s="64"/>
      <c r="G160" s="64"/>
      <c r="H160" s="64"/>
      <c r="I160" s="64"/>
      <c r="J160" s="64"/>
      <c r="K160" s="64"/>
      <c r="L160" s="96"/>
    </row>
    <row r="161" spans="2:12" ht="12.75" customHeight="1">
      <c r="B161" s="95"/>
      <c r="C161" s="64"/>
      <c r="D161" s="64"/>
      <c r="E161" s="64"/>
      <c r="F161" s="64"/>
      <c r="G161" s="64"/>
      <c r="H161" s="64"/>
      <c r="I161" s="64"/>
      <c r="J161" s="64"/>
      <c r="K161" s="64"/>
      <c r="L161" s="96"/>
    </row>
    <row r="162" spans="2:12" ht="12.75" customHeight="1">
      <c r="B162" s="95"/>
      <c r="C162" s="64"/>
      <c r="D162" s="64"/>
      <c r="E162" s="64"/>
      <c r="F162" s="64"/>
      <c r="G162" s="64"/>
      <c r="H162" s="64"/>
      <c r="I162" s="64"/>
      <c r="J162" s="64"/>
      <c r="K162" s="64"/>
      <c r="L162" s="96"/>
    </row>
    <row r="163" spans="2:12" ht="12.75" customHeight="1">
      <c r="B163" s="95"/>
      <c r="C163" s="64"/>
      <c r="D163" s="64"/>
      <c r="E163" s="64"/>
      <c r="F163" s="64"/>
      <c r="G163" s="64"/>
      <c r="H163" s="64"/>
      <c r="I163" s="64"/>
      <c r="J163" s="64"/>
      <c r="K163" s="64"/>
      <c r="L163" s="96"/>
    </row>
    <row r="164" spans="2:12" ht="12.75" customHeight="1">
      <c r="B164" s="95"/>
      <c r="C164" s="64"/>
      <c r="D164" s="64"/>
      <c r="E164" s="64"/>
      <c r="F164" s="64"/>
      <c r="G164" s="64"/>
      <c r="H164" s="64"/>
      <c r="I164" s="64"/>
      <c r="J164" s="64"/>
      <c r="K164" s="64"/>
      <c r="L164" s="96"/>
    </row>
    <row r="165" spans="2:12" ht="12.75" customHeight="1">
      <c r="B165" s="95"/>
      <c r="C165" s="64"/>
      <c r="D165" s="64"/>
      <c r="E165" s="64"/>
      <c r="F165" s="64"/>
      <c r="G165" s="64"/>
      <c r="H165" s="64"/>
      <c r="I165" s="64"/>
      <c r="J165" s="64"/>
      <c r="K165" s="64"/>
      <c r="L165" s="96"/>
    </row>
    <row r="166" spans="2:12" ht="12.75" customHeight="1">
      <c r="B166" s="95"/>
      <c r="C166" s="64"/>
      <c r="D166" s="64"/>
      <c r="E166" s="64"/>
      <c r="F166" s="64"/>
      <c r="G166" s="64"/>
      <c r="H166" s="64"/>
      <c r="I166" s="64"/>
      <c r="J166" s="64"/>
      <c r="K166" s="64"/>
      <c r="L166" s="96"/>
    </row>
    <row r="167" spans="2:12" ht="12.75" customHeight="1">
      <c r="B167" s="95"/>
      <c r="C167" s="64"/>
      <c r="D167" s="64"/>
      <c r="E167" s="64"/>
      <c r="F167" s="64"/>
      <c r="G167" s="64"/>
      <c r="H167" s="64"/>
      <c r="I167" s="64"/>
      <c r="J167" s="64"/>
      <c r="K167" s="64"/>
      <c r="L167" s="96"/>
    </row>
    <row r="168" spans="2:12" ht="12.75" customHeight="1">
      <c r="B168" s="95"/>
      <c r="C168" s="64"/>
      <c r="D168" s="64"/>
      <c r="E168" s="64"/>
      <c r="F168" s="64"/>
      <c r="G168" s="64"/>
      <c r="H168" s="64"/>
      <c r="I168" s="64"/>
      <c r="J168" s="64"/>
      <c r="K168" s="64"/>
      <c r="L168" s="96"/>
    </row>
    <row r="169" spans="2:12" ht="12.75" customHeight="1">
      <c r="B169" s="95"/>
      <c r="C169" s="64"/>
      <c r="D169" s="64"/>
      <c r="E169" s="64"/>
      <c r="F169" s="64"/>
      <c r="G169" s="64"/>
      <c r="H169" s="64"/>
      <c r="I169" s="64"/>
      <c r="J169" s="64"/>
      <c r="K169" s="64"/>
      <c r="L169" s="96"/>
    </row>
    <row r="170" spans="2:12" ht="12.75" customHeight="1">
      <c r="B170" s="95"/>
      <c r="C170" s="64"/>
      <c r="D170" s="64"/>
      <c r="E170" s="64"/>
      <c r="F170" s="64"/>
      <c r="G170" s="64"/>
      <c r="H170" s="64"/>
      <c r="I170" s="64"/>
      <c r="J170" s="64"/>
      <c r="K170" s="64"/>
      <c r="L170" s="96"/>
    </row>
    <row r="171" spans="2:12" ht="12.75" customHeight="1">
      <c r="B171" s="95"/>
      <c r="C171" s="64"/>
      <c r="D171" s="64"/>
      <c r="E171" s="64"/>
      <c r="F171" s="64"/>
      <c r="G171" s="64"/>
      <c r="H171" s="64"/>
      <c r="I171" s="64"/>
      <c r="J171" s="64"/>
      <c r="K171" s="64"/>
      <c r="L171" s="96"/>
    </row>
    <row r="172" spans="2:12" ht="12.75" customHeight="1">
      <c r="B172" s="95"/>
      <c r="C172" s="64"/>
      <c r="D172" s="64"/>
      <c r="E172" s="64"/>
      <c r="F172" s="64"/>
      <c r="G172" s="64"/>
      <c r="H172" s="64"/>
      <c r="I172" s="64"/>
      <c r="J172" s="64"/>
      <c r="K172" s="64"/>
      <c r="L172" s="96"/>
    </row>
    <row r="173" spans="2:12" ht="12.75" customHeight="1">
      <c r="B173" s="95"/>
      <c r="C173" s="64"/>
      <c r="D173" s="64"/>
      <c r="E173" s="64"/>
      <c r="F173" s="64"/>
      <c r="G173" s="64"/>
      <c r="H173" s="64"/>
      <c r="I173" s="64"/>
      <c r="J173" s="64"/>
      <c r="K173" s="64"/>
      <c r="L173" s="96"/>
    </row>
    <row r="174" spans="2:12" ht="12.75" customHeight="1">
      <c r="B174" s="95"/>
      <c r="C174" s="64"/>
      <c r="D174" s="64"/>
      <c r="E174" s="64"/>
      <c r="F174" s="64"/>
      <c r="G174" s="64"/>
      <c r="H174" s="64"/>
      <c r="I174" s="64"/>
      <c r="J174" s="64"/>
      <c r="K174" s="64"/>
      <c r="L174" s="96"/>
    </row>
    <row r="175" spans="2:12" ht="12.75" customHeight="1">
      <c r="B175" s="95"/>
      <c r="C175" s="64"/>
      <c r="D175" s="64"/>
      <c r="E175" s="64"/>
      <c r="F175" s="64"/>
      <c r="G175" s="64"/>
      <c r="H175" s="64"/>
      <c r="I175" s="64"/>
      <c r="J175" s="64"/>
      <c r="K175" s="64"/>
      <c r="L175" s="96"/>
    </row>
    <row r="176" spans="2:12" ht="12.75" customHeight="1">
      <c r="B176" s="95"/>
      <c r="C176" s="64"/>
      <c r="D176" s="64"/>
      <c r="E176" s="64"/>
      <c r="F176" s="64"/>
      <c r="G176" s="64"/>
      <c r="H176" s="64"/>
      <c r="I176" s="64"/>
      <c r="J176" s="64"/>
      <c r="K176" s="64"/>
      <c r="L176" s="96"/>
    </row>
    <row r="177" spans="2:12" ht="12.75" customHeight="1">
      <c r="B177" s="95"/>
      <c r="C177" s="64"/>
      <c r="D177" s="64"/>
      <c r="E177" s="64"/>
      <c r="F177" s="64"/>
      <c r="G177" s="64"/>
      <c r="H177" s="64"/>
      <c r="I177" s="64"/>
      <c r="J177" s="64"/>
      <c r="K177" s="64"/>
      <c r="L177" s="96"/>
    </row>
    <row r="178" spans="2:12" ht="12.75" customHeight="1">
      <c r="B178" s="95"/>
      <c r="C178" s="64"/>
      <c r="D178" s="64"/>
      <c r="E178" s="64"/>
      <c r="F178" s="64"/>
      <c r="G178" s="64"/>
      <c r="H178" s="64"/>
      <c r="I178" s="64"/>
      <c r="J178" s="64"/>
      <c r="K178" s="64"/>
      <c r="L178" s="96"/>
    </row>
    <row r="179" spans="2:12" ht="12.75" customHeight="1">
      <c r="B179" s="95"/>
      <c r="C179" s="64"/>
      <c r="D179" s="64"/>
      <c r="E179" s="64"/>
      <c r="F179" s="64"/>
      <c r="G179" s="64"/>
      <c r="H179" s="64"/>
      <c r="I179" s="64"/>
      <c r="J179" s="64"/>
      <c r="K179" s="64"/>
      <c r="L179" s="96"/>
    </row>
    <row r="180" spans="2:12" ht="12.75" customHeight="1">
      <c r="B180" s="95"/>
      <c r="C180" s="64"/>
      <c r="D180" s="64"/>
      <c r="E180" s="64"/>
      <c r="F180" s="64"/>
      <c r="G180" s="64"/>
      <c r="H180" s="64"/>
      <c r="I180" s="64"/>
      <c r="J180" s="64"/>
      <c r="K180" s="64"/>
      <c r="L180" s="96"/>
    </row>
    <row r="181" spans="2:12" ht="12.75" customHeight="1">
      <c r="B181" s="95"/>
      <c r="C181" s="64"/>
      <c r="D181" s="64"/>
      <c r="E181" s="64"/>
      <c r="F181" s="64"/>
      <c r="G181" s="64"/>
      <c r="H181" s="64"/>
      <c r="I181" s="64"/>
      <c r="J181" s="64"/>
      <c r="K181" s="64"/>
      <c r="L181" s="96"/>
    </row>
    <row r="182" spans="2:12" ht="12.75" customHeight="1">
      <c r="B182" s="95"/>
      <c r="C182" s="64"/>
      <c r="D182" s="64"/>
      <c r="E182" s="64"/>
      <c r="F182" s="64"/>
      <c r="G182" s="64"/>
      <c r="H182" s="64"/>
      <c r="I182" s="64"/>
      <c r="J182" s="64"/>
      <c r="K182" s="64"/>
      <c r="L182" s="96"/>
    </row>
    <row r="183" spans="2:12" ht="12.75" customHeight="1">
      <c r="B183" s="95"/>
      <c r="C183" s="64"/>
      <c r="D183" s="64"/>
      <c r="E183" s="64"/>
      <c r="F183" s="64"/>
      <c r="G183" s="64"/>
      <c r="H183" s="64"/>
      <c r="I183" s="64"/>
      <c r="J183" s="64"/>
      <c r="K183" s="64"/>
      <c r="L183" s="96"/>
    </row>
    <row r="184" spans="2:12" ht="12.75" customHeight="1">
      <c r="B184" s="95"/>
      <c r="C184" s="64"/>
      <c r="D184" s="64"/>
      <c r="E184" s="64"/>
      <c r="F184" s="64"/>
      <c r="G184" s="64"/>
      <c r="H184" s="64"/>
      <c r="I184" s="64"/>
      <c r="J184" s="64"/>
      <c r="K184" s="64"/>
      <c r="L184" s="96"/>
    </row>
    <row r="185" spans="2:12" ht="12.75" customHeight="1">
      <c r="B185" s="95"/>
      <c r="C185" s="64"/>
      <c r="D185" s="64"/>
      <c r="E185" s="64"/>
      <c r="F185" s="64"/>
      <c r="G185" s="64"/>
      <c r="H185" s="64"/>
      <c r="I185" s="64"/>
      <c r="J185" s="64"/>
      <c r="K185" s="64"/>
      <c r="L185" s="96"/>
    </row>
    <row r="186" spans="2:12" ht="12.75" customHeight="1">
      <c r="B186" s="95"/>
      <c r="C186" s="64"/>
      <c r="D186" s="64"/>
      <c r="E186" s="64"/>
      <c r="F186" s="64"/>
      <c r="G186" s="64"/>
      <c r="H186" s="64"/>
      <c r="I186" s="64"/>
      <c r="J186" s="64"/>
      <c r="K186" s="64"/>
      <c r="L186" s="96"/>
    </row>
    <row r="187" spans="2:12" ht="12.75" customHeight="1">
      <c r="B187" s="95"/>
      <c r="C187" s="64"/>
      <c r="D187" s="64"/>
      <c r="E187" s="64"/>
      <c r="F187" s="64"/>
      <c r="G187" s="64"/>
      <c r="H187" s="64"/>
      <c r="I187" s="64"/>
      <c r="J187" s="64"/>
      <c r="K187" s="64"/>
      <c r="L187" s="96"/>
    </row>
    <row r="188" spans="2:12" ht="12.75" customHeight="1">
      <c r="B188" s="95"/>
      <c r="C188" s="64"/>
      <c r="D188" s="64"/>
      <c r="E188" s="64"/>
      <c r="F188" s="64"/>
      <c r="G188" s="64"/>
      <c r="H188" s="64"/>
      <c r="I188" s="64"/>
      <c r="J188" s="64"/>
      <c r="K188" s="64"/>
      <c r="L188" s="96"/>
    </row>
    <row r="189" spans="2:12" ht="12.75" customHeight="1">
      <c r="B189" s="100"/>
      <c r="C189" s="101"/>
      <c r="D189" s="101"/>
      <c r="E189" s="101"/>
      <c r="F189" s="101"/>
      <c r="G189" s="101"/>
      <c r="H189" s="101"/>
      <c r="I189" s="101"/>
      <c r="J189" s="101"/>
      <c r="K189" s="101"/>
      <c r="L189" s="150"/>
    </row>
    <row r="190" spans="2:12" ht="12.75" customHeight="1"/>
    <row r="191" spans="2:12" ht="12.75" customHeight="1"/>
    <row r="192" spans="2:1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
    <cfRule type="cellIs" dxfId="288" priority="1" stopIfTrue="1" operator="lessThan">
      <formula>1.2</formula>
    </cfRule>
  </conditionalFormatting>
  <conditionalFormatting sqref="F20">
    <cfRule type="expression" dxfId="287" priority="2">
      <formula>AND(F20&lt;0.4*F21,F20&lt;1)</formula>
    </cfRule>
  </conditionalFormatting>
  <conditionalFormatting sqref="F21">
    <cfRule type="expression" dxfId="286" priority="3">
      <formula>AND(F21&lt;0.4*F20,F21&lt;1)</formula>
    </cfRule>
  </conditionalFormatting>
  <conditionalFormatting sqref="H27">
    <cfRule type="expression" dxfId="285" priority="4">
      <formula>AND($H$27 &gt;= 60, $H$27 &lt; 100)</formula>
    </cfRule>
  </conditionalFormatting>
  <conditionalFormatting sqref="H27:H33 H35">
    <cfRule type="cellIs" dxfId="284" priority="5" stopIfTrue="1" operator="greaterThanOrEqual">
      <formula>100</formula>
    </cfRule>
    <cfRule type="cellIs" dxfId="283" priority="6" stopIfTrue="1" operator="notBetween">
      <formula>60</formula>
      <formula>100</formula>
    </cfRule>
  </conditionalFormatting>
  <conditionalFormatting sqref="H34">
    <cfRule type="expression" dxfId="282" priority="7">
      <formula>AND($H$34 &gt; 100, $H$34 &lt;= 166.667)</formula>
    </cfRule>
    <cfRule type="cellIs" dxfId="281" priority="8" stopIfTrue="1" operator="greaterThanOrEqual">
      <formula>166.667</formula>
    </cfRule>
    <cfRule type="cellIs" dxfId="280" priority="9" stopIfTrue="1" operator="lessThanOrEqual">
      <formula>100</formula>
    </cfRule>
  </conditionalFormatting>
  <dataValidations count="5">
    <dataValidation type="list" allowBlank="1" showErrorMessage="1" sqref="F2" xr:uid="{00000000-0002-0000-1000-000000000000}">
      <formula1>ConstructionType</formula1>
    </dataValidation>
    <dataValidation type="list" allowBlank="1" showInputMessage="1" showErrorMessage="1" prompt="Select Material" sqref="E5" xr:uid="{00000000-0002-0000-1000-000001000000}">
      <formula1>Metallic_Mats</formula1>
    </dataValidation>
    <dataValidation type="list" allowBlank="1" showInputMessage="1" showErrorMessage="1" prompt="Select Material" sqref="C5:D5 D6" xr:uid="{00000000-0002-0000-1000-000002000000}">
      <formula1>Materials</formula1>
    </dataValidation>
    <dataValidation type="list" allowBlank="1" showInputMessage="1" showErrorMessage="1" prompt="Select Material" sqref="F5" xr:uid="{00000000-0002-0000-1000-000003000000}">
      <formula1>Material</formula1>
    </dataValidation>
    <dataValidation type="list" allowBlank="1" showInputMessage="1" showErrorMessage="1" prompt="Select Material" sqref="E6" xr:uid="{00000000-0002-0000-1000-000004000000}">
      <formula1>Tube_Type</formula1>
    </dataValidation>
  </dataValidations>
  <hyperlinks>
    <hyperlink ref="B14" location="'T1.1 Guidance Notes'!A1" display="Number of tubes" xr:uid="{00000000-0004-0000-1000-000000000000}"/>
    <hyperlink ref="J36" location="'Cover Sheet'!A1" display="BACK to COVER SHEET" xr:uid="{00000000-0004-0000-1000-000001000000}"/>
    <hyperlink ref="B38" location="'T3.10.5 T3.5 Guidance Notes'!A1" display="Link to Guidance Notes" xr:uid="{00000000-0004-0000-1000-000002000000}"/>
    <hyperlink ref="B39" location="'T3.5 Guidance Notes'!A1" display="Link to GUIDANCE NOTES for anisotropic laminates" xr:uid="{00000000-0004-0000-1000-000003000000}"/>
  </hyperlinks>
  <pageMargins left="0.75" right="0.75" top="1" bottom="1" header="0" footer="0"/>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CCFF99"/>
    <pageSetUpPr fitToPage="1"/>
  </sheetPr>
  <dimension ref="A1:Z1000"/>
  <sheetViews>
    <sheetView showGridLines="0" workbookViewId="0"/>
  </sheetViews>
  <sheetFormatPr baseColWidth="10" defaultColWidth="12.5703125" defaultRowHeight="15" customHeight="1"/>
  <cols>
    <col min="1" max="1" width="3.42578125" customWidth="1"/>
    <col min="2" max="2" width="45.42578125" customWidth="1"/>
    <col min="3" max="3" width="11.42578125" customWidth="1"/>
    <col min="4" max="4" width="3.42578125" customWidth="1"/>
    <col min="5" max="5" width="11.5703125" customWidth="1"/>
    <col min="6" max="6" width="15.42578125" customWidth="1"/>
    <col min="7" max="7" width="11.5703125" customWidth="1"/>
    <col min="8" max="8" width="6.5703125" customWidth="1"/>
    <col min="9" max="9" width="11.140625" customWidth="1"/>
    <col min="10" max="12" width="11.42578125" customWidth="1"/>
    <col min="13" max="13" width="3.42578125" customWidth="1"/>
    <col min="14" max="26" width="11.42578125" customWidth="1"/>
  </cols>
  <sheetData>
    <row r="1" spans="1:26" ht="12.75" customHeight="1">
      <c r="A1" s="34"/>
      <c r="B1" s="213" t="s">
        <v>488</v>
      </c>
      <c r="C1" s="34"/>
      <c r="D1" s="34"/>
      <c r="E1" s="34"/>
      <c r="F1" s="34"/>
      <c r="G1" s="34"/>
      <c r="H1" s="34"/>
      <c r="I1" s="34"/>
      <c r="J1" s="34"/>
      <c r="K1" s="34"/>
      <c r="L1" s="34"/>
      <c r="M1" s="34"/>
      <c r="N1" s="34"/>
      <c r="O1" s="34"/>
      <c r="P1" s="34"/>
      <c r="Q1" s="34"/>
      <c r="R1" s="34"/>
      <c r="S1" s="34"/>
      <c r="T1" s="34"/>
      <c r="U1" s="34"/>
      <c r="V1" s="34"/>
      <c r="W1" s="34"/>
      <c r="X1" s="34"/>
      <c r="Y1" s="34"/>
      <c r="Z1" s="34"/>
    </row>
    <row r="2" spans="1:26" ht="12.75" customHeight="1">
      <c r="A2" s="34"/>
      <c r="B2" s="34"/>
      <c r="C2" s="690" t="s">
        <v>461</v>
      </c>
      <c r="D2" s="587"/>
      <c r="E2" s="588"/>
      <c r="F2" s="697" t="s">
        <v>240</v>
      </c>
      <c r="G2" s="588"/>
      <c r="H2" s="34"/>
      <c r="I2" s="34"/>
      <c r="J2" s="34"/>
      <c r="K2" s="34"/>
      <c r="L2" s="34"/>
      <c r="M2" s="34"/>
      <c r="N2" s="34"/>
      <c r="O2" s="34"/>
      <c r="P2" s="34"/>
      <c r="Q2" s="34"/>
      <c r="R2" s="34"/>
      <c r="S2" s="34"/>
      <c r="T2" s="34"/>
      <c r="U2" s="34"/>
      <c r="V2" s="34"/>
      <c r="W2" s="34"/>
      <c r="X2" s="34"/>
      <c r="Y2" s="34"/>
      <c r="Z2" s="34"/>
    </row>
    <row r="3" spans="1:26"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row>
    <row r="4" spans="1:26" ht="12.75" customHeight="1">
      <c r="A4" s="34"/>
      <c r="B4" s="27" t="s">
        <v>436</v>
      </c>
      <c r="C4" s="27" t="s">
        <v>437</v>
      </c>
      <c r="D4" s="31"/>
      <c r="E4" s="27" t="s">
        <v>438</v>
      </c>
      <c r="F4" s="239" t="s">
        <v>462</v>
      </c>
      <c r="G4" s="27" t="s">
        <v>463</v>
      </c>
      <c r="H4" s="34"/>
      <c r="I4" s="31"/>
      <c r="J4" s="32" t="s">
        <v>464</v>
      </c>
      <c r="K4" s="32" t="s">
        <v>465</v>
      </c>
      <c r="M4" s="34"/>
      <c r="N4" s="34"/>
      <c r="O4" s="34"/>
      <c r="P4" s="34"/>
      <c r="Q4" s="34"/>
      <c r="R4" s="34"/>
      <c r="S4" s="34"/>
      <c r="T4" s="34"/>
      <c r="U4" s="34"/>
      <c r="V4" s="34"/>
      <c r="W4" s="34"/>
      <c r="X4" s="34"/>
      <c r="Y4" s="34"/>
      <c r="Z4" s="34"/>
    </row>
    <row r="5" spans="1:26" ht="12.75" customHeight="1">
      <c r="A5" s="34"/>
      <c r="B5" s="43" t="s">
        <v>439</v>
      </c>
      <c r="C5" s="109" t="s">
        <v>202</v>
      </c>
      <c r="D5" s="34"/>
      <c r="E5" s="214" t="s">
        <v>202</v>
      </c>
      <c r="F5" s="233" t="s">
        <v>208</v>
      </c>
      <c r="G5" s="227"/>
      <c r="H5" s="34"/>
      <c r="I5" s="225" t="s">
        <v>466</v>
      </c>
      <c r="J5" s="67">
        <f>F22/1000</f>
        <v>0</v>
      </c>
      <c r="K5" s="225">
        <f>J5</f>
        <v>0</v>
      </c>
      <c r="M5" s="34"/>
      <c r="N5" s="34"/>
      <c r="O5" s="34"/>
      <c r="P5" s="34"/>
      <c r="Q5" s="34"/>
      <c r="R5" s="34"/>
      <c r="S5" s="34"/>
      <c r="T5" s="34"/>
      <c r="U5" s="34"/>
      <c r="V5" s="34"/>
      <c r="W5" s="34"/>
      <c r="X5" s="34"/>
      <c r="Y5" s="34"/>
      <c r="Z5" s="34"/>
    </row>
    <row r="6" spans="1:26" ht="12.75" customHeight="1">
      <c r="A6" s="34"/>
      <c r="B6" s="43" t="s">
        <v>467</v>
      </c>
      <c r="C6" s="109" t="s">
        <v>247</v>
      </c>
      <c r="D6" s="67"/>
      <c r="E6" s="214" t="s">
        <v>247</v>
      </c>
      <c r="F6" s="226" t="s">
        <v>113</v>
      </c>
      <c r="G6" s="227"/>
      <c r="I6" s="225" t="s">
        <v>468</v>
      </c>
      <c r="J6" s="67">
        <f>F21/1000</f>
        <v>0</v>
      </c>
      <c r="K6" s="225">
        <f>F20/1000</f>
        <v>0</v>
      </c>
      <c r="M6" s="34"/>
      <c r="N6" s="34"/>
      <c r="O6" s="34"/>
      <c r="P6" s="34"/>
      <c r="Q6" s="34"/>
      <c r="R6" s="34"/>
      <c r="S6" s="34"/>
      <c r="T6" s="34"/>
      <c r="U6" s="34"/>
      <c r="V6" s="34"/>
      <c r="W6" s="34"/>
      <c r="X6" s="34"/>
      <c r="Y6" s="34"/>
      <c r="Z6" s="34"/>
    </row>
    <row r="7" spans="1:26" ht="12.75" customHeight="1">
      <c r="A7" s="34"/>
      <c r="B7" s="43" t="s">
        <v>441</v>
      </c>
      <c r="C7" s="126" t="str">
        <f>HLOOKUP(C5,MaterialData!$C$3:$P$4,2,FALSE)</f>
        <v>Steel</v>
      </c>
      <c r="D7" s="131"/>
      <c r="E7" s="126" t="str">
        <f>HLOOKUP(E5,MaterialData!$C$3:$S$4,2,FALSE)</f>
        <v>Steel</v>
      </c>
      <c r="F7" s="126" t="str">
        <f>HLOOKUP(F5,MaterialData!$C$3:$S$4,2,FALSE)</f>
        <v>25CrMo4</v>
      </c>
      <c r="G7" s="228"/>
      <c r="M7" s="34"/>
      <c r="N7" s="34"/>
      <c r="O7" s="34"/>
      <c r="P7" s="34"/>
      <c r="Q7" s="34"/>
      <c r="R7" s="34"/>
      <c r="S7" s="34"/>
      <c r="T7" s="34"/>
      <c r="U7" s="34"/>
      <c r="V7" s="34"/>
      <c r="W7" s="34"/>
      <c r="X7" s="34"/>
      <c r="Y7" s="34"/>
      <c r="Z7" s="34"/>
    </row>
    <row r="8" spans="1:26" ht="12.75" customHeight="1">
      <c r="A8" s="34"/>
      <c r="B8" s="43" t="s">
        <v>223</v>
      </c>
      <c r="C8" s="126">
        <f t="array" ref="C8">INDEX(Innertable,MATCH($B8,MaterialData!$B$6:$B$11,0),MATCH(C$7,MaterialData!$C$4:$P$4,0))</f>
        <v>200000000000</v>
      </c>
      <c r="D8" s="131"/>
      <c r="E8" s="126">
        <f t="array" ref="E8">INDEX(Innertable,MATCH($B8,MaterialData!$B$6:$B$11,0),MATCH(E$7,MaterialData!$C$4:$S$4,0))</f>
        <v>200000000000</v>
      </c>
      <c r="F8" s="126" t="str">
        <f t="array" ref="F8">INDEX(Innertable,MATCH($B8,MaterialData!$B$6:$B$11,0),MATCH(F$7,MaterialData!$C$4:$S$4,0))</f>
        <v>2.10E+11</v>
      </c>
      <c r="G8" s="227"/>
      <c r="I8" s="225" t="s">
        <v>489</v>
      </c>
      <c r="J8" s="131">
        <f>J5*J6</f>
        <v>0</v>
      </c>
      <c r="K8" s="225" t="s">
        <v>490</v>
      </c>
      <c r="L8" s="131">
        <f>(J5*J6^3)/12</f>
        <v>0</v>
      </c>
      <c r="M8" s="34"/>
      <c r="N8" s="34"/>
      <c r="O8" s="34"/>
      <c r="P8" s="34"/>
      <c r="Q8" s="34"/>
      <c r="R8" s="34"/>
      <c r="S8" s="34"/>
      <c r="T8" s="34"/>
      <c r="U8" s="34"/>
      <c r="V8" s="34"/>
      <c r="W8" s="34"/>
      <c r="X8" s="34"/>
      <c r="Y8" s="34"/>
      <c r="Z8" s="34"/>
    </row>
    <row r="9" spans="1:26" ht="12.75" customHeight="1">
      <c r="A9" s="34"/>
      <c r="B9" s="43" t="s">
        <v>225</v>
      </c>
      <c r="C9" s="126">
        <f t="array" ref="C9">INDEX(Innertable,MATCH($B9,MaterialData!$B$6:$B$11,0),MATCH(C$7,MaterialData!$C$4:$P$4,0))</f>
        <v>305000000</v>
      </c>
      <c r="D9" s="131"/>
      <c r="E9" s="126">
        <f t="array" ref="E9">INDEX(Innertable,MATCH($B9,MaterialData!$B$6:$B$11,0),MATCH(E$7,MaterialData!$C$4:$S$4,0))</f>
        <v>305000000</v>
      </c>
      <c r="F9" s="126" t="str">
        <f t="array" ref="F9">INDEX(Innertable,MATCH($B9,MaterialData!$B$6:$B$11,0),MATCH(F$7,MaterialData!$C$4:$S$4,0))</f>
        <v>7.81E+08</v>
      </c>
      <c r="G9" s="227"/>
      <c r="I9" s="225" t="s">
        <v>491</v>
      </c>
      <c r="J9" s="131">
        <f>K5*K6</f>
        <v>0</v>
      </c>
      <c r="K9" s="225" t="s">
        <v>492</v>
      </c>
      <c r="L9" s="131">
        <f>(K5*K6^3)/12</f>
        <v>0</v>
      </c>
      <c r="M9" s="34"/>
      <c r="N9" s="34"/>
      <c r="O9" s="34"/>
      <c r="P9" s="34"/>
      <c r="Q9" s="34"/>
      <c r="R9" s="34"/>
      <c r="S9" s="34"/>
      <c r="T9" s="34"/>
      <c r="U9" s="34"/>
      <c r="V9" s="34"/>
      <c r="W9" s="34"/>
      <c r="X9" s="34"/>
      <c r="Y9" s="34"/>
      <c r="Z9" s="34"/>
    </row>
    <row r="10" spans="1:26" ht="12.75" customHeight="1">
      <c r="A10" s="34"/>
      <c r="B10" s="43" t="s">
        <v>227</v>
      </c>
      <c r="C10" s="126">
        <f t="array" ref="C10">INDEX(Innertable,MATCH($B10,MaterialData!$B$6:$B$11,0),MATCH(C$7,MaterialData!$C$4:$P$4,0))</f>
        <v>365000000</v>
      </c>
      <c r="D10" s="131"/>
      <c r="E10" s="126">
        <f t="array" ref="E10">INDEX(Innertable,MATCH($B10,MaterialData!$B$6:$B$11,0),MATCH(E$7,MaterialData!$C$4:$S$4,0))</f>
        <v>365000000</v>
      </c>
      <c r="F10" s="126" t="str">
        <f t="array" ref="F10">INDEX(Innertable,MATCH($B10,MaterialData!$B$6:$B$11,0),MATCH(F$7,MaterialData!$C$4:$S$4,0))</f>
        <v>8.84E+08</v>
      </c>
      <c r="G10" s="228"/>
      <c r="I10" s="225" t="s">
        <v>493</v>
      </c>
      <c r="J10" s="67">
        <f>J6/2</f>
        <v>0</v>
      </c>
      <c r="K10" s="225" t="s">
        <v>494</v>
      </c>
      <c r="L10" s="131" t="e">
        <f t="shared" ref="L10:L11" si="0">L8+(J8*($J$12-J10)^2)</f>
        <v>#DIV/0!</v>
      </c>
      <c r="M10" s="34"/>
      <c r="N10" s="34"/>
      <c r="O10" s="34"/>
      <c r="P10" s="34"/>
      <c r="Q10" s="34"/>
      <c r="R10" s="34"/>
      <c r="S10" s="34"/>
      <c r="T10" s="34"/>
      <c r="U10" s="34"/>
      <c r="V10" s="34"/>
      <c r="W10" s="34"/>
      <c r="X10" s="34"/>
      <c r="Y10" s="34"/>
      <c r="Z10" s="34"/>
    </row>
    <row r="11" spans="1:26" ht="12.75" customHeight="1">
      <c r="A11" s="34"/>
      <c r="B11" s="43" t="s">
        <v>229</v>
      </c>
      <c r="C11" s="126">
        <f t="array" ref="C11">INDEX(Innertable,MATCH($B11,MaterialData!$B$6:$B$11,0),MATCH(C$7,MaterialData!$C$4:$P$4,0))</f>
        <v>180000000</v>
      </c>
      <c r="D11" s="131"/>
      <c r="E11" s="126">
        <f t="array" ref="E11">INDEX(Innertable,MATCH($B11,MaterialData!$B$6:$B$11,0),MATCH(E$7,MaterialData!$C$4:$S$4,0))</f>
        <v>180000000</v>
      </c>
      <c r="F11" s="126" t="str">
        <f t="array" ref="F11">INDEX(Innertable,MATCH($B11,MaterialData!$B$6:$B$11,0),MATCH(F$7,MaterialData!$C$4:$S$4,0))</f>
        <v>N/A</v>
      </c>
      <c r="G11" s="228"/>
      <c r="I11" s="225" t="s">
        <v>495</v>
      </c>
      <c r="J11" s="67">
        <f>(F18-0.5*F20)*0.001</f>
        <v>0</v>
      </c>
      <c r="K11" s="225" t="s">
        <v>496</v>
      </c>
      <c r="L11" s="131" t="e">
        <f t="shared" si="0"/>
        <v>#DIV/0!</v>
      </c>
      <c r="M11" s="34"/>
      <c r="N11" s="34"/>
      <c r="O11" s="34"/>
      <c r="P11" s="34"/>
      <c r="Q11" s="34"/>
      <c r="R11" s="34"/>
      <c r="S11" s="34"/>
      <c r="T11" s="34"/>
      <c r="U11" s="34"/>
      <c r="V11" s="34"/>
      <c r="W11" s="34"/>
      <c r="X11" s="34"/>
      <c r="Y11" s="34"/>
      <c r="Z11" s="34"/>
    </row>
    <row r="12" spans="1:26" ht="12.75" customHeight="1">
      <c r="A12" s="34"/>
      <c r="B12" s="43" t="s">
        <v>230</v>
      </c>
      <c r="C12" s="126">
        <f t="array" ref="C12">INDEX(Innertable,MATCH($B12,MaterialData!$B$6:$B$11,0),MATCH(C$7,MaterialData!$C$4:$P$4,0))</f>
        <v>300000000</v>
      </c>
      <c r="D12" s="131"/>
      <c r="E12" s="126">
        <f t="array" ref="E12">INDEX(Innertable,MATCH($B12,MaterialData!$B$6:$B$11,0),MATCH(E$7,MaterialData!$C$4:$S$4,0))</f>
        <v>300000000</v>
      </c>
      <c r="F12" s="126" t="str">
        <f t="array" ref="F12">INDEX(Innertable,MATCH($B12,MaterialData!$B$6:$B$11,0),MATCH(F$7,MaterialData!$C$4:$S$4,0))</f>
        <v>N/A</v>
      </c>
      <c r="G12" s="228"/>
      <c r="I12" s="225" t="s">
        <v>477</v>
      </c>
      <c r="J12" s="229" t="e">
        <f>(J8*J10+J9*J11)/(J8+J9)</f>
        <v>#DIV/0!</v>
      </c>
      <c r="K12" s="225" t="s">
        <v>497</v>
      </c>
      <c r="L12" s="128" t="e">
        <f>SUM(L10:L11)</f>
        <v>#DIV/0!</v>
      </c>
      <c r="M12" s="34"/>
      <c r="N12" s="34"/>
      <c r="O12" s="34"/>
      <c r="P12" s="34"/>
      <c r="Q12" s="34"/>
      <c r="R12" s="34"/>
      <c r="S12" s="34"/>
      <c r="T12" s="34"/>
      <c r="U12" s="34"/>
      <c r="V12" s="34"/>
      <c r="W12" s="34"/>
      <c r="X12" s="34"/>
      <c r="Y12" s="34"/>
      <c r="Z12" s="34"/>
    </row>
    <row r="13" spans="1:26" ht="12.75" customHeight="1">
      <c r="A13" s="34"/>
      <c r="B13" s="34"/>
      <c r="E13" s="224"/>
      <c r="G13" s="227"/>
      <c r="I13" s="34"/>
      <c r="J13" s="34"/>
      <c r="K13" s="34"/>
      <c r="L13" s="131"/>
      <c r="M13" s="34"/>
      <c r="N13" s="34"/>
      <c r="O13" s="34"/>
      <c r="P13" s="34"/>
      <c r="Q13" s="34"/>
      <c r="R13" s="34"/>
      <c r="S13" s="34"/>
      <c r="T13" s="34"/>
      <c r="U13" s="34"/>
      <c r="V13" s="34"/>
      <c r="W13" s="34"/>
      <c r="X13" s="34"/>
      <c r="Y13" s="34"/>
      <c r="Z13" s="34"/>
    </row>
    <row r="14" spans="1:26" ht="12.75" customHeight="1">
      <c r="A14" s="34"/>
      <c r="B14" s="230" t="s">
        <v>479</v>
      </c>
      <c r="C14" s="109">
        <v>1</v>
      </c>
      <c r="E14" s="214">
        <v>1</v>
      </c>
      <c r="G14" s="227"/>
      <c r="I14" s="34"/>
      <c r="J14" s="34"/>
      <c r="K14" s="34"/>
      <c r="L14" s="131"/>
      <c r="M14" s="34"/>
      <c r="N14" s="34"/>
      <c r="O14" s="34"/>
      <c r="P14" s="34"/>
      <c r="Q14" s="34"/>
      <c r="R14" s="34"/>
      <c r="S14" s="34"/>
      <c r="T14" s="34"/>
      <c r="U14" s="34"/>
      <c r="V14" s="34"/>
      <c r="W14" s="34"/>
      <c r="X14" s="34"/>
      <c r="Y14" s="34"/>
      <c r="Z14" s="34"/>
    </row>
    <row r="15" spans="1:26" ht="12.75" customHeight="1">
      <c r="A15" s="34"/>
      <c r="B15" s="43" t="s">
        <v>442</v>
      </c>
      <c r="C15" s="109">
        <v>25.4</v>
      </c>
      <c r="E15" s="214">
        <v>28</v>
      </c>
      <c r="G15" s="227"/>
      <c r="I15" s="34"/>
      <c r="J15" s="34"/>
      <c r="K15" s="34"/>
      <c r="L15" s="131"/>
      <c r="M15" s="34"/>
      <c r="N15" s="34"/>
      <c r="O15" s="34"/>
      <c r="P15" s="34"/>
      <c r="Q15" s="34"/>
      <c r="R15" s="34"/>
      <c r="S15" s="34"/>
      <c r="T15" s="34"/>
      <c r="U15" s="34"/>
      <c r="V15" s="34"/>
      <c r="W15" s="34"/>
      <c r="X15" s="34"/>
      <c r="Y15" s="34"/>
      <c r="Z15" s="34"/>
    </row>
    <row r="16" spans="1:26" ht="12.75" customHeight="1">
      <c r="A16" s="34"/>
      <c r="B16" s="43" t="s">
        <v>443</v>
      </c>
      <c r="C16" s="231">
        <v>1.6</v>
      </c>
      <c r="E16" s="214">
        <v>1.5</v>
      </c>
      <c r="G16" s="227"/>
      <c r="I16" s="34"/>
      <c r="J16" s="34"/>
      <c r="K16" s="34"/>
      <c r="L16" s="131"/>
      <c r="M16" s="34"/>
      <c r="N16" s="34"/>
      <c r="O16" s="34"/>
      <c r="P16" s="34"/>
      <c r="Q16" s="34"/>
      <c r="R16" s="34"/>
      <c r="S16" s="34"/>
      <c r="T16" s="34"/>
      <c r="U16" s="34"/>
      <c r="V16" s="34"/>
      <c r="W16" s="34"/>
      <c r="X16" s="34"/>
      <c r="Y16" s="34"/>
      <c r="Z16" s="34"/>
    </row>
    <row r="17" spans="1:26" ht="12.75" customHeight="1">
      <c r="A17" s="34"/>
      <c r="B17" s="34"/>
      <c r="E17" s="227"/>
      <c r="G17" s="227"/>
      <c r="I17" s="34"/>
      <c r="J17" s="34"/>
      <c r="K17" s="34"/>
      <c r="L17" s="131"/>
      <c r="M17" s="34"/>
      <c r="N17" s="34"/>
      <c r="O17" s="34"/>
      <c r="P17" s="34"/>
      <c r="Q17" s="34"/>
      <c r="R17" s="34"/>
      <c r="S17" s="34"/>
      <c r="T17" s="34"/>
      <c r="U17" s="34"/>
      <c r="V17" s="34"/>
      <c r="W17" s="34"/>
      <c r="X17" s="34"/>
      <c r="Y17" s="34"/>
      <c r="Z17" s="34"/>
    </row>
    <row r="18" spans="1:26" ht="12.75" customHeight="1">
      <c r="A18" s="34"/>
      <c r="B18" s="43" t="s">
        <v>480</v>
      </c>
      <c r="E18" s="227"/>
      <c r="F18" s="232">
        <f>F19+F20+F21</f>
        <v>0</v>
      </c>
      <c r="G18" s="227"/>
      <c r="I18" s="34"/>
      <c r="J18" s="34"/>
      <c r="K18" s="34"/>
      <c r="L18" s="131"/>
      <c r="M18" s="34"/>
      <c r="N18" s="34"/>
      <c r="O18" s="34"/>
      <c r="P18" s="34"/>
      <c r="Q18" s="34"/>
      <c r="R18" s="34"/>
      <c r="S18" s="34"/>
      <c r="T18" s="34"/>
      <c r="U18" s="34"/>
      <c r="V18" s="34"/>
      <c r="W18" s="34"/>
      <c r="X18" s="34"/>
      <c r="Y18" s="34"/>
      <c r="Z18" s="34"/>
    </row>
    <row r="19" spans="1:26" ht="12.75" customHeight="1">
      <c r="A19" s="34"/>
      <c r="B19" s="43" t="s">
        <v>481</v>
      </c>
      <c r="E19" s="227"/>
      <c r="F19" s="233"/>
      <c r="G19" s="227"/>
      <c r="I19" s="34"/>
      <c r="J19" s="34"/>
      <c r="K19" s="34"/>
      <c r="L19" s="131"/>
      <c r="M19" s="34"/>
      <c r="N19" s="34"/>
      <c r="O19" s="34"/>
      <c r="P19" s="34"/>
      <c r="Q19" s="34"/>
      <c r="R19" s="34"/>
      <c r="S19" s="34"/>
      <c r="T19" s="34"/>
      <c r="U19" s="34"/>
      <c r="V19" s="34"/>
      <c r="W19" s="34"/>
      <c r="X19" s="34"/>
      <c r="Y19" s="34"/>
      <c r="Z19" s="34"/>
    </row>
    <row r="20" spans="1:26" ht="12.75" customHeight="1">
      <c r="A20" s="34"/>
      <c r="B20" s="43" t="s">
        <v>482</v>
      </c>
      <c r="E20" s="227"/>
      <c r="F20" s="233"/>
      <c r="G20" s="227"/>
      <c r="I20" s="23" t="str">
        <f>IF(AND(F20&lt;0.4*F21,F20&lt;1),"Asymmetrical lay-up: skin too thin in comparison, see T3.4.4.","")</f>
        <v/>
      </c>
      <c r="J20" s="34"/>
      <c r="K20" s="34"/>
      <c r="L20" s="131"/>
      <c r="M20" s="34"/>
      <c r="N20" s="34"/>
      <c r="O20" s="34"/>
      <c r="P20" s="34"/>
      <c r="Q20" s="34"/>
      <c r="R20" s="34"/>
      <c r="S20" s="34"/>
      <c r="T20" s="34"/>
      <c r="U20" s="34"/>
      <c r="V20" s="34"/>
      <c r="W20" s="34"/>
      <c r="X20" s="34"/>
      <c r="Y20" s="34"/>
      <c r="Z20" s="34"/>
    </row>
    <row r="21" spans="1:26" ht="12.75" customHeight="1">
      <c r="A21" s="34"/>
      <c r="B21" s="43" t="s">
        <v>483</v>
      </c>
      <c r="E21" s="227"/>
      <c r="F21" s="233"/>
      <c r="G21" s="227"/>
      <c r="I21" s="23" t="str">
        <f>IF(AND(F21&lt;0.4*F20,F21&lt;1),"Asymmetrical lay-up: skin too thin in comparison, see T3.4.4.","")</f>
        <v/>
      </c>
      <c r="J21" s="34"/>
      <c r="K21" s="34"/>
      <c r="L21" s="131"/>
      <c r="M21" s="34"/>
      <c r="N21" s="34"/>
      <c r="O21" s="34"/>
      <c r="P21" s="34"/>
      <c r="Q21" s="34"/>
      <c r="R21" s="34"/>
      <c r="S21" s="34"/>
      <c r="T21" s="34"/>
      <c r="U21" s="34"/>
      <c r="V21" s="34"/>
      <c r="W21" s="34"/>
      <c r="X21" s="34"/>
      <c r="Y21" s="34"/>
      <c r="Z21" s="34"/>
    </row>
    <row r="22" spans="1:26" ht="12.75" customHeight="1">
      <c r="A22" s="34"/>
      <c r="B22" s="43" t="s">
        <v>498</v>
      </c>
      <c r="E22" s="227"/>
      <c r="F22" s="233"/>
      <c r="G22" s="227"/>
      <c r="I22" s="34"/>
      <c r="J22" s="34"/>
      <c r="K22" s="34"/>
      <c r="L22" s="131"/>
      <c r="M22" s="34"/>
      <c r="N22" s="34"/>
      <c r="O22" s="34"/>
      <c r="P22" s="34"/>
      <c r="Q22" s="34"/>
      <c r="R22" s="34"/>
      <c r="S22" s="34"/>
      <c r="T22" s="34"/>
      <c r="U22" s="34"/>
      <c r="V22" s="34"/>
      <c r="W22" s="34"/>
      <c r="X22" s="34"/>
      <c r="Y22" s="34"/>
      <c r="Z22" s="34"/>
    </row>
    <row r="23" spans="1:26" ht="12.75" customHeight="1">
      <c r="A23" s="34"/>
      <c r="B23" s="34"/>
      <c r="E23" s="234"/>
      <c r="G23" s="227"/>
      <c r="I23" s="34"/>
      <c r="J23" s="34"/>
      <c r="K23" s="34"/>
      <c r="L23" s="131"/>
      <c r="M23" s="34"/>
      <c r="N23" s="34"/>
      <c r="O23" s="34"/>
      <c r="P23" s="34"/>
      <c r="Q23" s="34"/>
      <c r="R23" s="34"/>
      <c r="S23" s="34"/>
      <c r="T23" s="34"/>
      <c r="U23" s="34"/>
      <c r="V23" s="34"/>
      <c r="W23" s="34"/>
      <c r="X23" s="34"/>
      <c r="Y23" s="34"/>
      <c r="Z23" s="34"/>
    </row>
    <row r="24" spans="1:26" ht="12.75" customHeight="1">
      <c r="A24" s="34"/>
      <c r="B24" s="43" t="s">
        <v>444</v>
      </c>
      <c r="C24" s="109">
        <f t="shared" ref="C24:C25" si="1">C15/1000</f>
        <v>2.5399999999999999E-2</v>
      </c>
      <c r="E24" s="109">
        <f>IF(F2="Composite only","No tubes",E15/1000)</f>
        <v>2.8000000000000001E-2</v>
      </c>
      <c r="G24" s="227"/>
      <c r="I24" s="34"/>
      <c r="J24" s="34"/>
      <c r="K24" s="34"/>
      <c r="L24" s="131"/>
      <c r="M24" s="34"/>
      <c r="N24" s="34"/>
      <c r="O24" s="34"/>
      <c r="P24" s="34"/>
      <c r="Q24" s="34"/>
      <c r="R24" s="34"/>
      <c r="S24" s="34"/>
      <c r="T24" s="34"/>
      <c r="U24" s="34"/>
      <c r="V24" s="34"/>
      <c r="W24" s="34"/>
      <c r="X24" s="34"/>
      <c r="Y24" s="34"/>
      <c r="Z24" s="34"/>
    </row>
    <row r="25" spans="1:26" ht="12.75" customHeight="1">
      <c r="A25" s="34"/>
      <c r="B25" s="43" t="s">
        <v>445</v>
      </c>
      <c r="C25" s="109">
        <f t="shared" si="1"/>
        <v>1.6000000000000001E-3</v>
      </c>
      <c r="E25" s="109">
        <f>IF(F2="Composite only","",E16/1000)</f>
        <v>1.5E-3</v>
      </c>
      <c r="G25" s="234"/>
      <c r="I25" s="34"/>
      <c r="J25" s="34"/>
      <c r="K25" s="34"/>
      <c r="L25" s="131"/>
      <c r="M25" s="34"/>
      <c r="N25" s="34"/>
      <c r="O25" s="34"/>
      <c r="P25" s="215"/>
      <c r="Q25" s="34"/>
      <c r="R25" s="34"/>
      <c r="S25" s="34"/>
      <c r="T25" s="34"/>
      <c r="U25" s="34"/>
      <c r="V25" s="34"/>
      <c r="W25" s="34"/>
      <c r="X25" s="34"/>
      <c r="Y25" s="34"/>
      <c r="Z25" s="34"/>
    </row>
    <row r="26" spans="1:26" ht="12.75" customHeight="1">
      <c r="A26" s="34"/>
      <c r="B26" s="43" t="s">
        <v>446</v>
      </c>
      <c r="C26" s="126">
        <f>IF(C6="Round",((C24)^4-((C24-2*C25))^4)*3.142/64,((C24)^4-((C24-2*C25))^4)/12)</f>
        <v>8.5099184800000022E-9</v>
      </c>
      <c r="E26" s="126">
        <f>IF(F2="Composite only","",IF(E6="Round",((E24)^4-((E24-2*E25))^4)*3.142/64,IF(E6="Square",((E24)^4-((E24-2*E25))^4)/12,"")))</f>
        <v>1.0998521906249999E-8</v>
      </c>
      <c r="F26" s="235" t="str">
        <f>IF($F$2="Tubing only","Tubing Only",L12)</f>
        <v>Tubing Only</v>
      </c>
      <c r="G26" s="126">
        <f t="shared" ref="G26:G33" si="2">IF($F$2="Tubing only",E26,IF($F$2="Composite only",F26,IF($F$2="Tubes + Composite",E26+F26,"No Type Selected")))</f>
        <v>1.0998521906249999E-8</v>
      </c>
      <c r="I26" s="34"/>
      <c r="J26" s="34"/>
      <c r="K26" s="34"/>
      <c r="L26" s="131"/>
      <c r="M26" s="34"/>
      <c r="N26" s="34"/>
      <c r="O26" s="131"/>
      <c r="P26" s="215"/>
      <c r="Q26" s="34"/>
      <c r="R26" s="34"/>
      <c r="S26" s="34"/>
      <c r="T26" s="34"/>
      <c r="U26" s="34"/>
      <c r="V26" s="34"/>
      <c r="W26" s="34"/>
      <c r="X26" s="34"/>
      <c r="Y26" s="34"/>
      <c r="Z26" s="34"/>
    </row>
    <row r="27" spans="1:26" ht="12.75" customHeight="1">
      <c r="A27" s="34"/>
      <c r="B27" s="43" t="s">
        <v>447</v>
      </c>
      <c r="C27" s="126">
        <f>C8*C26*C14</f>
        <v>1701.9836960000005</v>
      </c>
      <c r="D27" s="131"/>
      <c r="E27" s="126">
        <f>IF(F2="Composite only","",E8*E26*E14)</f>
        <v>2199.7043812499996</v>
      </c>
      <c r="F27" s="235" t="str">
        <f>IF(F26="Tubing Only","",F26*F8)</f>
        <v/>
      </c>
      <c r="G27" s="126">
        <f t="shared" si="2"/>
        <v>2199.7043812499996</v>
      </c>
      <c r="H27" s="44">
        <f>100*G27/C27</f>
        <v>129.24356363810895</v>
      </c>
      <c r="I27" s="67" t="s">
        <v>499</v>
      </c>
      <c r="J27" s="34"/>
      <c r="K27" s="34"/>
      <c r="L27" s="34"/>
      <c r="M27" s="34"/>
      <c r="N27" s="34"/>
      <c r="O27" s="34"/>
      <c r="P27" s="34"/>
      <c r="Q27" s="34"/>
      <c r="R27" s="34"/>
      <c r="S27" s="34"/>
      <c r="T27" s="34"/>
      <c r="U27" s="34"/>
      <c r="V27" s="34"/>
      <c r="W27" s="34"/>
      <c r="X27" s="34"/>
      <c r="Y27" s="34"/>
      <c r="Z27" s="34"/>
    </row>
    <row r="28" spans="1:26" ht="12.75" customHeight="1">
      <c r="A28" s="34"/>
      <c r="B28" s="43" t="s">
        <v>448</v>
      </c>
      <c r="C28" s="216">
        <f>IF(C24="no tubes","",IF(C14=0,"",IF(C6="Round",C14*((C15^2-(C15-2*C16)^2)*PI()/4),IF(C6="Square",C14*(C15^2-(C15-2*C16)^2),""))))</f>
        <v>119.63184824869931</v>
      </c>
      <c r="D28" s="236"/>
      <c r="E28" s="216">
        <f>IF(E24="no tubes","",IF(E14=0,"",IF(E6="Round",E14*((E15^2-(E15-2*E16)^2)*PI()/4),IF(E6="Square",E14*(E15^2-(E15-2*E16)^2),""))))</f>
        <v>124.87830798019428</v>
      </c>
      <c r="F28" s="216" t="str">
        <f>IF(F26="Tubing Only","",(F18-F19)*F22)</f>
        <v/>
      </c>
      <c r="G28" s="216">
        <f t="shared" si="2"/>
        <v>124.87830798019428</v>
      </c>
      <c r="H28" s="44">
        <f>IF(AND(F2="tubing only",E5="steel"),100*G28/C28,"NA")</f>
        <v>104.38550420168067</v>
      </c>
      <c r="I28" s="34" t="str">
        <f t="shared" ref="I28:I32" si="3">IF(AND(95&lt;H28,H28&lt;100),"For tubes only, provided your actual tube measures &gt;= your nominal OD and wall this is OK","")</f>
        <v/>
      </c>
      <c r="J28" s="34"/>
      <c r="K28" s="34"/>
      <c r="L28" s="34"/>
      <c r="M28" s="34"/>
      <c r="N28" s="34"/>
      <c r="O28" s="131"/>
      <c r="P28" s="34"/>
      <c r="Q28" s="34"/>
      <c r="R28" s="34"/>
      <c r="S28" s="34"/>
      <c r="T28" s="34"/>
      <c r="U28" s="34"/>
      <c r="V28" s="34"/>
      <c r="W28" s="34"/>
      <c r="X28" s="34"/>
      <c r="Y28" s="34"/>
      <c r="Z28" s="34"/>
    </row>
    <row r="29" spans="1:26" ht="12.75" customHeight="1">
      <c r="A29" s="34"/>
      <c r="B29" s="43" t="s">
        <v>449</v>
      </c>
      <c r="C29" s="126">
        <f t="shared" ref="C29:C31" si="4">C$28*C9/1000000</f>
        <v>36487.713715853293</v>
      </c>
      <c r="D29" s="131"/>
      <c r="E29" s="126">
        <f>IF(F2="Composite only","",E$28*E9/1000000)</f>
        <v>38087.883933959252</v>
      </c>
      <c r="F29" s="126" t="str">
        <f>IF(F26="Tubing Only","",F28*F9/1000000)</f>
        <v/>
      </c>
      <c r="G29" s="126">
        <f t="shared" si="2"/>
        <v>38087.883933959252</v>
      </c>
      <c r="H29" s="44">
        <f t="shared" ref="H29:H35" si="5">100*G29/C29</f>
        <v>104.38550420168067</v>
      </c>
      <c r="I29" s="34" t="str">
        <f t="shared" si="3"/>
        <v/>
      </c>
      <c r="J29" s="34"/>
      <c r="K29" s="34"/>
      <c r="L29" s="34"/>
      <c r="M29" s="34"/>
      <c r="N29" s="34"/>
      <c r="O29" s="34"/>
      <c r="P29" s="34"/>
      <c r="Q29" s="34"/>
      <c r="R29" s="34"/>
      <c r="S29" s="34"/>
      <c r="T29" s="34"/>
      <c r="U29" s="34"/>
      <c r="V29" s="34"/>
      <c r="W29" s="34"/>
      <c r="X29" s="34"/>
      <c r="Y29" s="34"/>
      <c r="Z29" s="34"/>
    </row>
    <row r="30" spans="1:26" ht="12.75" customHeight="1">
      <c r="A30" s="34"/>
      <c r="B30" s="43" t="s">
        <v>450</v>
      </c>
      <c r="C30" s="126">
        <f t="shared" si="4"/>
        <v>43665.624610775245</v>
      </c>
      <c r="D30" s="131"/>
      <c r="E30" s="126">
        <f>IF(F2="Composite only","",E$28*E10/1000000)</f>
        <v>45580.582412770913</v>
      </c>
      <c r="F30" s="126" t="str">
        <f>IF(F26="Tubing Only","",F28*F10/1000000)</f>
        <v/>
      </c>
      <c r="G30" s="126">
        <f t="shared" si="2"/>
        <v>45580.582412770913</v>
      </c>
      <c r="H30" s="44">
        <f t="shared" si="5"/>
        <v>104.38550420168069</v>
      </c>
      <c r="I30" s="34" t="str">
        <f t="shared" si="3"/>
        <v/>
      </c>
      <c r="J30" s="34"/>
      <c r="K30" s="34"/>
      <c r="L30" s="34"/>
      <c r="M30" s="34"/>
      <c r="N30" s="34"/>
      <c r="O30" s="131"/>
      <c r="P30" s="34"/>
      <c r="Q30" s="34"/>
      <c r="R30" s="34"/>
      <c r="S30" s="34"/>
      <c r="T30" s="34"/>
      <c r="U30" s="34"/>
      <c r="V30" s="34"/>
      <c r="W30" s="34"/>
      <c r="X30" s="34"/>
      <c r="Y30" s="34"/>
      <c r="Z30" s="34"/>
    </row>
    <row r="31" spans="1:26" ht="12.75" customHeight="1">
      <c r="A31" s="34"/>
      <c r="B31" s="43" t="s">
        <v>451</v>
      </c>
      <c r="C31" s="126">
        <f t="shared" si="4"/>
        <v>21533.732684765877</v>
      </c>
      <c r="D31" s="131"/>
      <c r="E31" s="126">
        <f>IF(F2="Composite only","",E$28*E11/1000000)</f>
        <v>22478.095436434971</v>
      </c>
      <c r="F31" s="126" t="str">
        <f>IF(F26="Tubing Only","",F28*F9/1000000)</f>
        <v/>
      </c>
      <c r="G31" s="126">
        <f t="shared" si="2"/>
        <v>22478.095436434971</v>
      </c>
      <c r="H31" s="44">
        <f t="shared" si="5"/>
        <v>104.38550420168067</v>
      </c>
      <c r="I31" s="34" t="str">
        <f t="shared" si="3"/>
        <v/>
      </c>
      <c r="J31" s="34"/>
      <c r="K31" s="34"/>
      <c r="L31" s="34"/>
      <c r="M31" s="34"/>
      <c r="N31" s="34"/>
      <c r="O31" s="131"/>
      <c r="P31" s="34"/>
      <c r="Q31" s="34"/>
      <c r="R31" s="34"/>
      <c r="S31" s="34"/>
      <c r="T31" s="34"/>
      <c r="U31" s="34"/>
      <c r="V31" s="34"/>
      <c r="W31" s="34"/>
      <c r="X31" s="34"/>
      <c r="Y31" s="34"/>
      <c r="Z31" s="34"/>
    </row>
    <row r="32" spans="1:26" ht="12.75" customHeight="1">
      <c r="A32" s="34"/>
      <c r="B32" s="43" t="s">
        <v>452</v>
      </c>
      <c r="C32" s="126">
        <f>IF(C14=0,"",C$28*C12/1000000)</f>
        <v>35889.554474609795</v>
      </c>
      <c r="D32" s="131"/>
      <c r="E32" s="126">
        <f>IF(F2="Composite only","",E$28*E12/1000000)</f>
        <v>37463.492394058281</v>
      </c>
      <c r="F32" s="126" t="str">
        <f>IF(F26="tubing only","",F28*F10/1000000)</f>
        <v/>
      </c>
      <c r="G32" s="126">
        <f t="shared" si="2"/>
        <v>37463.492394058281</v>
      </c>
      <c r="H32" s="44">
        <f t="shared" si="5"/>
        <v>104.38550420168067</v>
      </c>
      <c r="I32" s="34" t="str">
        <f t="shared" si="3"/>
        <v/>
      </c>
      <c r="J32" s="34"/>
      <c r="K32" s="34"/>
      <c r="L32" s="34"/>
      <c r="M32" s="34"/>
      <c r="N32" s="34"/>
      <c r="O32" s="131"/>
      <c r="P32" s="34"/>
      <c r="Q32" s="34"/>
      <c r="R32" s="34"/>
      <c r="S32" s="34"/>
      <c r="T32" s="34"/>
      <c r="U32" s="34"/>
      <c r="V32" s="34"/>
      <c r="W32" s="34"/>
      <c r="X32" s="34"/>
      <c r="Y32" s="34"/>
      <c r="Z32" s="34"/>
    </row>
    <row r="33" spans="1:26" ht="12.75" customHeight="1">
      <c r="A33" s="34"/>
      <c r="B33" s="43" t="s">
        <v>453</v>
      </c>
      <c r="C33" s="126">
        <f>C14*4*C10*C26/(0.5*C24*1)</f>
        <v>978.30558903937037</v>
      </c>
      <c r="E33" s="126">
        <f>IF(F2="Composite only","",E14*4*E10*E26/(0.5*E24*1))</f>
        <v>1146.988713080357</v>
      </c>
      <c r="F33" s="126" t="str">
        <f>IF(F26="tubing only","",4*F10*F26/(0.001*0.5*F18*1))</f>
        <v/>
      </c>
      <c r="G33" s="126">
        <f t="shared" si="2"/>
        <v>1146.988713080357</v>
      </c>
      <c r="H33" s="44">
        <f t="shared" si="5"/>
        <v>117.24237558599884</v>
      </c>
      <c r="I33" s="67" t="str">
        <f>IF((99.9&gt;H33)*AND(H33&gt;60),"For Composites Only, Additional Proof Required","")</f>
        <v/>
      </c>
      <c r="J33" s="34"/>
      <c r="K33" s="34"/>
      <c r="L33" s="34"/>
      <c r="M33" s="34"/>
      <c r="N33" s="34"/>
      <c r="O33" s="34"/>
      <c r="P33" s="34"/>
      <c r="Q33" s="34"/>
      <c r="R33" s="34"/>
      <c r="S33" s="34"/>
      <c r="T33" s="34"/>
      <c r="U33" s="34"/>
      <c r="V33" s="34"/>
      <c r="W33" s="34"/>
      <c r="X33" s="34"/>
      <c r="Y33" s="34"/>
      <c r="Z33" s="34"/>
    </row>
    <row r="34" spans="1:26" ht="12.75" customHeight="1">
      <c r="A34" s="34"/>
      <c r="B34" s="43" t="s">
        <v>454</v>
      </c>
      <c r="C34" s="126">
        <f>IF(C14=0,"",C33*1^3/(48*C27))</f>
        <v>1.1975065616797899E-2</v>
      </c>
      <c r="E34" s="126">
        <f>IF($F$2="tubing only",$C$33*1^3/(48*E27),"")</f>
        <v>9.2655024975393935E-3</v>
      </c>
      <c r="F34" s="126" t="str">
        <f>IF($F$2="tubing only","",$C$33*1^3/(48*F27))</f>
        <v/>
      </c>
      <c r="G34" s="126">
        <f>$C$33*1^3/(48*G27)</f>
        <v>9.2655024975393935E-3</v>
      </c>
      <c r="H34" s="44">
        <f t="shared" si="5"/>
        <v>77.3732920890413</v>
      </c>
      <c r="I34" s="67" t="str">
        <f>IF((100&lt;H34)*AND(H34&lt;=166.667),"For Composites Only, Additional Proof Required","")</f>
        <v/>
      </c>
      <c r="J34" s="34"/>
      <c r="K34" s="34"/>
      <c r="L34" s="34"/>
      <c r="M34" s="34"/>
      <c r="N34" s="34"/>
      <c r="O34" s="34"/>
      <c r="P34" s="34"/>
      <c r="Q34" s="34"/>
      <c r="R34" s="34"/>
      <c r="S34" s="34"/>
      <c r="T34" s="34"/>
      <c r="U34" s="34"/>
      <c r="V34" s="34"/>
      <c r="W34" s="34"/>
      <c r="X34" s="34"/>
      <c r="Y34" s="34"/>
      <c r="Z34" s="34"/>
    </row>
    <row r="35" spans="1:26" ht="12.75" customHeight="1">
      <c r="A35" s="34"/>
      <c r="B35" s="43" t="s">
        <v>455</v>
      </c>
      <c r="C35" s="126">
        <f>0.5*C33*(C33*1^3/(48*C27))</f>
        <v>5.8576368110132897</v>
      </c>
      <c r="D35" s="228"/>
      <c r="E35" s="126">
        <f>IF(E24="no tubes","",0.5*E33*(E33*1^3/(48*E27)))</f>
        <v>6.2299238136061055</v>
      </c>
      <c r="F35" s="126" t="str">
        <f>IF(F26="tubing only","",0.5*F33*(F33*1^3/(48*F27)))</f>
        <v/>
      </c>
      <c r="G35" s="126">
        <f>IF($F$2="Tubing only",E35,IF($F$2="Composite only",F35,IF($F$2="Tubes + Composite",E35+F35,"No Type Selected")))</f>
        <v>6.2299238136061055</v>
      </c>
      <c r="H35" s="44">
        <f t="shared" si="5"/>
        <v>106.35558356729896</v>
      </c>
      <c r="I35" s="67" t="str">
        <f>IF((99.9&gt;H35)*AND(H35&gt;60),"For Composites Only, Additional Proof Required","")</f>
        <v/>
      </c>
      <c r="J35" s="34"/>
      <c r="K35" s="39"/>
      <c r="L35" s="39"/>
      <c r="M35" s="34"/>
      <c r="N35" s="34"/>
      <c r="O35" s="34"/>
      <c r="P35" s="34"/>
      <c r="Q35" s="34"/>
      <c r="R35" s="34"/>
      <c r="S35" s="34"/>
      <c r="T35" s="34"/>
      <c r="U35" s="34"/>
      <c r="V35" s="34"/>
      <c r="W35" s="34"/>
      <c r="X35" s="34"/>
      <c r="Y35" s="34"/>
      <c r="Z35" s="34"/>
    </row>
    <row r="36" spans="1:26" ht="12.75" customHeight="1">
      <c r="A36" s="34"/>
      <c r="B36" s="34"/>
      <c r="C36" s="34"/>
      <c r="D36" s="34"/>
      <c r="E36" s="34"/>
      <c r="F36" s="34"/>
      <c r="G36" s="34"/>
      <c r="H36" s="34"/>
      <c r="I36" s="34"/>
      <c r="J36" s="39" t="s">
        <v>252</v>
      </c>
      <c r="K36" s="34"/>
      <c r="L36" s="34"/>
      <c r="M36" s="34"/>
      <c r="N36" s="34"/>
      <c r="O36" s="34"/>
      <c r="P36" s="34"/>
      <c r="Q36" s="34"/>
      <c r="R36" s="34"/>
      <c r="S36" s="34"/>
      <c r="T36" s="34"/>
      <c r="U36" s="34"/>
      <c r="V36" s="34"/>
      <c r="W36" s="34"/>
      <c r="X36" s="34"/>
      <c r="Y36" s="34"/>
      <c r="Z36" s="34"/>
    </row>
    <row r="37" spans="1:26" ht="12.75" customHeight="1">
      <c r="A37" s="34"/>
      <c r="B37" s="31" t="s">
        <v>485</v>
      </c>
      <c r="E37" s="131"/>
      <c r="I37" s="34"/>
      <c r="J37" s="34"/>
      <c r="K37" s="34"/>
      <c r="L37" s="34"/>
      <c r="M37" s="34"/>
      <c r="N37" s="34"/>
      <c r="O37" s="34"/>
      <c r="P37" s="34"/>
      <c r="Q37" s="34"/>
      <c r="R37" s="34"/>
      <c r="S37" s="34"/>
      <c r="T37" s="34"/>
      <c r="U37" s="34"/>
      <c r="V37" s="34"/>
      <c r="W37" s="34"/>
      <c r="X37" s="34"/>
      <c r="Y37" s="34"/>
      <c r="Z37" s="34"/>
    </row>
    <row r="38" spans="1:26" ht="12.75" customHeight="1">
      <c r="A38" s="34"/>
      <c r="B38" s="237" t="s">
        <v>500</v>
      </c>
      <c r="C38" s="143"/>
      <c r="D38" s="143"/>
      <c r="E38" s="143"/>
      <c r="F38" s="143"/>
      <c r="G38" s="143"/>
      <c r="H38" s="143"/>
      <c r="I38" s="143"/>
      <c r="J38" s="143"/>
      <c r="K38" s="143"/>
      <c r="L38" s="144"/>
      <c r="M38" s="34"/>
      <c r="N38" s="34"/>
      <c r="O38" s="34"/>
      <c r="P38" s="34"/>
      <c r="Q38" s="34"/>
      <c r="R38" s="34"/>
      <c r="S38" s="34"/>
      <c r="T38" s="34"/>
      <c r="U38" s="34"/>
      <c r="V38" s="34"/>
      <c r="W38" s="34"/>
      <c r="X38" s="34"/>
      <c r="Y38" s="34"/>
      <c r="Z38" s="34"/>
    </row>
    <row r="39" spans="1:26" ht="12.75" customHeight="1">
      <c r="A39" s="34"/>
      <c r="B39" s="238" t="s">
        <v>487</v>
      </c>
      <c r="C39" s="64"/>
      <c r="D39" s="64"/>
      <c r="E39" s="64"/>
      <c r="F39" s="64"/>
      <c r="G39" s="64"/>
      <c r="H39" s="64"/>
      <c r="I39" s="64"/>
      <c r="J39" s="64"/>
      <c r="K39" s="64"/>
      <c r="L39" s="96"/>
      <c r="M39" s="34"/>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96"/>
      <c r="M40" s="34"/>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96"/>
      <c r="M41" s="34"/>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96"/>
      <c r="M42" s="34"/>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96"/>
      <c r="M43" s="34"/>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96"/>
      <c r="M44" s="34"/>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96"/>
      <c r="M45" s="34"/>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96"/>
      <c r="M46" s="34"/>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96"/>
      <c r="M47" s="34"/>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100"/>
      <c r="C189" s="101"/>
      <c r="D189" s="101"/>
      <c r="E189" s="101"/>
      <c r="F189" s="101"/>
      <c r="G189" s="101"/>
      <c r="H189" s="101"/>
      <c r="I189" s="101"/>
      <c r="J189" s="101"/>
      <c r="K189" s="101"/>
      <c r="L189" s="150"/>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C2:E2"/>
    <mergeCell ref="F2:G2"/>
  </mergeCells>
  <conditionalFormatting sqref="E16">
    <cfRule type="cellIs" dxfId="279" priority="1" stopIfTrue="1" operator="lessThan">
      <formula>1.2</formula>
    </cfRule>
  </conditionalFormatting>
  <conditionalFormatting sqref="F20">
    <cfRule type="expression" dxfId="278" priority="2">
      <formula>AND(F20&lt;0.4*F21,F20&lt;1)</formula>
    </cfRule>
  </conditionalFormatting>
  <conditionalFormatting sqref="F21">
    <cfRule type="expression" dxfId="277" priority="3">
      <formula>AND(F21&lt;0.4*F20,F21&lt;1)</formula>
    </cfRule>
  </conditionalFormatting>
  <conditionalFormatting sqref="H27">
    <cfRule type="expression" dxfId="276" priority="4">
      <formula>AND($H$27 &gt;= 60, $H$27 &lt; 100)</formula>
    </cfRule>
    <cfRule type="cellIs" dxfId="275" priority="5" stopIfTrue="1" operator="notBetween">
      <formula>60</formula>
      <formula>100</formula>
    </cfRule>
  </conditionalFormatting>
  <conditionalFormatting sqref="H27:H33">
    <cfRule type="cellIs" dxfId="274" priority="6" stopIfTrue="1" operator="greaterThanOrEqual">
      <formula>100</formula>
    </cfRule>
  </conditionalFormatting>
  <conditionalFormatting sqref="H28:H33 H35">
    <cfRule type="cellIs" dxfId="273" priority="10" stopIfTrue="1" operator="lessThan">
      <formula>100</formula>
    </cfRule>
  </conditionalFormatting>
  <conditionalFormatting sqref="H34">
    <cfRule type="expression" dxfId="272" priority="7">
      <formula>AND($H$34 &gt; 100, $H$34 &lt;= 166.667)</formula>
    </cfRule>
    <cfRule type="cellIs" dxfId="271" priority="8" stopIfTrue="1" operator="greaterThanOrEqual">
      <formula>166.667</formula>
    </cfRule>
    <cfRule type="cellIs" dxfId="270" priority="9" stopIfTrue="1" operator="lessThanOrEqual">
      <formula>100</formula>
    </cfRule>
  </conditionalFormatting>
  <conditionalFormatting sqref="H35">
    <cfRule type="cellIs" dxfId="269" priority="11" stopIfTrue="1" operator="greaterThanOrEqual">
      <formula>100</formula>
    </cfRule>
  </conditionalFormatting>
  <dataValidations count="5">
    <dataValidation type="list" allowBlank="1" showErrorMessage="1" sqref="F2" xr:uid="{00000000-0002-0000-1100-000000000000}">
      <formula1>ConstructionType</formula1>
    </dataValidation>
    <dataValidation type="list" allowBlank="1" showErrorMessage="1" sqref="F5" xr:uid="{00000000-0002-0000-1100-000001000000}">
      <formula1>Material</formula1>
    </dataValidation>
    <dataValidation type="list" allowBlank="1" showInputMessage="1" showErrorMessage="1" prompt="Select Material" sqref="E5" xr:uid="{00000000-0002-0000-1100-000002000000}">
      <formula1>Metallic_Mats</formula1>
    </dataValidation>
    <dataValidation type="list" allowBlank="1" showInputMessage="1" showErrorMessage="1" prompt="Select Material" sqref="C5:D5 D6" xr:uid="{00000000-0002-0000-1100-000003000000}">
      <formula1>Materials</formula1>
    </dataValidation>
    <dataValidation type="list" allowBlank="1" showInputMessage="1" showErrorMessage="1" prompt="Select Material" sqref="E6" xr:uid="{00000000-0002-0000-1100-000004000000}">
      <formula1>Tube_Type</formula1>
    </dataValidation>
  </dataValidations>
  <hyperlinks>
    <hyperlink ref="B14" location="'T1.1 Guidance Notes'!A1" display="Number of tubes" xr:uid="{00000000-0004-0000-1100-000000000000}"/>
    <hyperlink ref="J36" location="'Cover Sheet'!A1" display="BACK to COVER SHEET" xr:uid="{00000000-0004-0000-1100-000001000000}"/>
    <hyperlink ref="B38" location="'T3.11 T3.5 Guidance Notes'!A1" display="Link to guidance notes for laminated structures" xr:uid="{00000000-0004-0000-1100-000002000000}"/>
    <hyperlink ref="B39" location="'T3.5 Guidance Notes'!A1" display="Link to GUIDANCE NOTES for anisotropic laminates" xr:uid="{00000000-0004-0000-1100-000003000000}"/>
  </hyperlinks>
  <pageMargins left="0.75" right="0.75" top="1" bottom="1" header="0" footer="0"/>
  <pageSetup paperSize="9" fitToHeight="0"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CFF99"/>
    <pageSetUpPr fitToPage="1"/>
  </sheetPr>
  <dimension ref="B1:S1000"/>
  <sheetViews>
    <sheetView showGridLines="0" tabSelected="1" workbookViewId="0">
      <selection activeCell="Q33" sqref="Q33"/>
    </sheetView>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4.42578125" customWidth="1"/>
    <col min="10" max="10" width="11.5703125" customWidth="1"/>
    <col min="11" max="11" width="8.42578125" customWidth="1"/>
    <col min="12" max="12" width="11.140625" customWidth="1"/>
    <col min="13" max="15" width="11.42578125" customWidth="1"/>
    <col min="16" max="16" width="3.42578125" customWidth="1"/>
    <col min="17" max="26" width="11.42578125" customWidth="1"/>
  </cols>
  <sheetData>
    <row r="1" spans="2:15" ht="12.75" customHeight="1">
      <c r="B1" s="213" t="s">
        <v>501</v>
      </c>
    </row>
    <row r="2" spans="2:15" ht="12.75" customHeight="1">
      <c r="C2" s="690" t="s">
        <v>461</v>
      </c>
      <c r="D2" s="587"/>
      <c r="E2" s="588"/>
      <c r="F2" s="697" t="s">
        <v>240</v>
      </c>
      <c r="G2" s="588"/>
    </row>
    <row r="3" spans="2:15" ht="12.75" customHeight="1"/>
    <row r="4" spans="2:15" ht="12.75" customHeight="1">
      <c r="B4" s="27" t="s">
        <v>436</v>
      </c>
      <c r="C4" s="27" t="s">
        <v>437</v>
      </c>
      <c r="D4" s="31"/>
      <c r="E4" s="240" t="s">
        <v>502</v>
      </c>
      <c r="F4" s="240" t="s">
        <v>503</v>
      </c>
      <c r="G4" s="240" t="s">
        <v>504</v>
      </c>
      <c r="H4" s="240" t="s">
        <v>505</v>
      </c>
      <c r="I4" s="241" t="s">
        <v>462</v>
      </c>
      <c r="J4" s="240" t="s">
        <v>463</v>
      </c>
      <c r="L4" s="31"/>
      <c r="M4" s="32" t="s">
        <v>464</v>
      </c>
      <c r="N4" s="32" t="s">
        <v>465</v>
      </c>
    </row>
    <row r="5" spans="2:15" ht="12.75" customHeight="1">
      <c r="B5" s="43" t="s">
        <v>439</v>
      </c>
      <c r="C5" s="109" t="s">
        <v>202</v>
      </c>
      <c r="D5" s="67"/>
      <c r="E5" s="214" t="s">
        <v>202</v>
      </c>
      <c r="F5" s="214" t="s">
        <v>202</v>
      </c>
      <c r="G5" s="214" t="s">
        <v>202</v>
      </c>
      <c r="H5" s="224"/>
      <c r="I5" s="233" t="s">
        <v>207</v>
      </c>
      <c r="J5" s="224"/>
      <c r="L5" s="225" t="s">
        <v>466</v>
      </c>
      <c r="M5" s="67">
        <f>I22/1000</f>
        <v>0</v>
      </c>
      <c r="N5" s="225">
        <f>M5</f>
        <v>0</v>
      </c>
    </row>
    <row r="6" spans="2:15" ht="12.75" customHeight="1">
      <c r="B6" s="43" t="s">
        <v>467</v>
      </c>
      <c r="C6" s="109" t="s">
        <v>247</v>
      </c>
      <c r="D6" s="67"/>
      <c r="E6" s="214" t="s">
        <v>247</v>
      </c>
      <c r="F6" s="214" t="s">
        <v>247</v>
      </c>
      <c r="G6" s="214" t="s">
        <v>247</v>
      </c>
      <c r="H6" s="227"/>
      <c r="I6" s="226" t="s">
        <v>113</v>
      </c>
      <c r="J6" s="227"/>
      <c r="L6" s="225" t="s">
        <v>468</v>
      </c>
      <c r="M6" s="67">
        <f>I21/1000</f>
        <v>0</v>
      </c>
      <c r="N6" s="225">
        <f>I20/1000</f>
        <v>0</v>
      </c>
    </row>
    <row r="7" spans="2:15" ht="12.75" customHeight="1">
      <c r="B7" s="43" t="s">
        <v>441</v>
      </c>
      <c r="C7" s="126" t="str">
        <f>HLOOKUP(C5,MaterialData!$C$3:$P$4,2,FALSE)</f>
        <v>Steel</v>
      </c>
      <c r="D7" s="131"/>
      <c r="E7" s="126" t="str">
        <f>HLOOKUP(E5,MaterialData!$C$3:$P$4,2,FALSE)</f>
        <v>Steel</v>
      </c>
      <c r="F7" s="126" t="str">
        <f>HLOOKUP(F5,MaterialData!$C$3:$P$4,2,FALSE)</f>
        <v>Steel</v>
      </c>
      <c r="G7" s="126" t="str">
        <f>HLOOKUP(G5,MaterialData!$C$3:$P$4,2,FALSE)</f>
        <v>Steel</v>
      </c>
      <c r="H7" s="228"/>
      <c r="I7" s="242" t="s">
        <v>165</v>
      </c>
      <c r="J7" s="228"/>
    </row>
    <row r="8" spans="2:15" ht="15.75" customHeight="1">
      <c r="B8" s="43" t="s">
        <v>223</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126">
        <f t="array" ref="I8">INDEX(Innertable,MATCH($B8,MaterialData!$B$6:$B$11,0),MATCH(I$7,MaterialData!$C$4:$S$4,0))</f>
        <v>0</v>
      </c>
      <c r="J8" s="228"/>
      <c r="L8" s="225" t="s">
        <v>506</v>
      </c>
      <c r="M8" s="131">
        <f>M5*M6</f>
        <v>0</v>
      </c>
      <c r="N8" s="225" t="s">
        <v>507</v>
      </c>
      <c r="O8" s="131">
        <f>(M5*M6^3)/12</f>
        <v>0</v>
      </c>
    </row>
    <row r="9" spans="2:15" ht="15.75" customHeight="1">
      <c r="B9" s="43" t="s">
        <v>225</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126" t="e">
        <f t="array" ref="I9">INDEX(Innertable,MATCH($B9,MaterialData!$B$6:$B$11,0),MATCH(I$7,MaterialData!$C$4:$S$4,0))</f>
        <v>#DIV/0!</v>
      </c>
      <c r="J9" s="228"/>
      <c r="L9" s="225" t="s">
        <v>508</v>
      </c>
      <c r="M9" s="131">
        <f>N5*N6</f>
        <v>0</v>
      </c>
      <c r="N9" s="225" t="s">
        <v>509</v>
      </c>
      <c r="O9" s="131">
        <f>(N5*N6^3)/12</f>
        <v>0</v>
      </c>
    </row>
    <row r="10" spans="2:15" ht="15.75" customHeight="1">
      <c r="B10" s="43" t="s">
        <v>227</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126" t="e">
        <f t="array" ref="I10">INDEX(Innertable,MATCH($B10,MaterialData!$B$6:$B$11,0),MATCH(I$7,MaterialData!$C$4:$S$4,0))</f>
        <v>#DIV/0!</v>
      </c>
      <c r="J10" s="228"/>
      <c r="L10" s="225" t="s">
        <v>510</v>
      </c>
      <c r="M10" s="67">
        <f>M6/2</f>
        <v>0</v>
      </c>
      <c r="N10" s="225" t="s">
        <v>511</v>
      </c>
      <c r="O10" s="131" t="e">
        <f t="shared" ref="O10:O11" si="0">O8+(M8*($M$12-M10)^2)</f>
        <v>#DIV/0!</v>
      </c>
    </row>
    <row r="11" spans="2:15" ht="15.75" customHeight="1">
      <c r="B11" s="43" t="s">
        <v>229</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126" t="str">
        <f t="array" ref="I11">INDEX(Innertable,MATCH($B11,MaterialData!$B$6:$B$11,0),MATCH(I$7,MaterialData!$C$4:$S$4,0))</f>
        <v>N/A</v>
      </c>
      <c r="J11" s="228"/>
      <c r="L11" s="225" t="s">
        <v>512</v>
      </c>
      <c r="M11" s="67">
        <f>(I18-0.5*I20)*0.001</f>
        <v>0</v>
      </c>
      <c r="N11" s="225" t="s">
        <v>513</v>
      </c>
      <c r="O11" s="131" t="e">
        <f t="shared" si="0"/>
        <v>#DIV/0!</v>
      </c>
    </row>
    <row r="12" spans="2:15" ht="15.75" customHeight="1">
      <c r="B12" s="43" t="s">
        <v>230</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126" t="str">
        <f t="array" ref="I12">INDEX(Innertable,MATCH($B12,MaterialData!$B$6:$B$11,0),MATCH(I$7,MaterialData!$C$4:$S$4,0))</f>
        <v>N/A</v>
      </c>
      <c r="J12" s="228"/>
      <c r="L12" s="225" t="s">
        <v>477</v>
      </c>
      <c r="M12" s="229" t="e">
        <f>(M8*M10+M9*M11)/(M8+M9)</f>
        <v>#DIV/0!</v>
      </c>
      <c r="N12" s="225" t="s">
        <v>514</v>
      </c>
      <c r="O12" s="128" t="e">
        <f>SUM(O10:O11)</f>
        <v>#DIV/0!</v>
      </c>
    </row>
    <row r="13" spans="2:15" ht="12.75" customHeight="1">
      <c r="E13" s="80"/>
      <c r="G13" s="141"/>
      <c r="H13" s="227"/>
      <c r="J13" s="227"/>
      <c r="O13" s="131"/>
    </row>
    <row r="14" spans="2:15" ht="12.75" customHeight="1">
      <c r="B14" s="230" t="s">
        <v>479</v>
      </c>
      <c r="C14" s="109">
        <v>3</v>
      </c>
      <c r="E14" s="214">
        <v>1</v>
      </c>
      <c r="F14" s="214">
        <v>2</v>
      </c>
      <c r="G14" s="214">
        <v>0</v>
      </c>
      <c r="H14" s="227"/>
      <c r="J14" s="227"/>
      <c r="O14" s="131"/>
    </row>
    <row r="15" spans="2:15" ht="12.75" customHeight="1">
      <c r="B15" s="43" t="s">
        <v>442</v>
      </c>
      <c r="C15" s="109">
        <v>25.4</v>
      </c>
      <c r="E15" s="214">
        <v>28</v>
      </c>
      <c r="F15" s="214">
        <v>25</v>
      </c>
      <c r="G15" s="214">
        <v>25.4</v>
      </c>
      <c r="H15" s="227"/>
      <c r="J15" s="227"/>
      <c r="O15" s="131"/>
    </row>
    <row r="16" spans="2:15" ht="12.75" customHeight="1">
      <c r="B16" s="43" t="s">
        <v>443</v>
      </c>
      <c r="C16" s="109">
        <v>1.2</v>
      </c>
      <c r="E16" s="214">
        <v>1.5</v>
      </c>
      <c r="F16" s="214">
        <v>1.5</v>
      </c>
      <c r="G16" s="214">
        <v>1.2</v>
      </c>
      <c r="H16" s="227"/>
      <c r="J16" s="227"/>
      <c r="L16" s="34"/>
      <c r="O16" s="131"/>
    </row>
    <row r="17" spans="2:19" ht="12.75" customHeight="1">
      <c r="E17" s="243"/>
      <c r="F17" s="244" t="s">
        <v>515</v>
      </c>
      <c r="G17" s="132" t="str">
        <f>IF(AND(K27&gt;=100,F2="tubing only",NOT(OR(E18="NO",F18="NO",G18="NO"))),"YES","NO")</f>
        <v>NO</v>
      </c>
      <c r="H17" s="227"/>
      <c r="J17" s="227"/>
      <c r="O17" s="131"/>
    </row>
    <row r="18" spans="2:19" ht="12.75" customHeight="1">
      <c r="B18" s="43" t="s">
        <v>480</v>
      </c>
      <c r="E18" s="245" t="str">
        <f t="shared" ref="E18:G18" si="1">IF(E14=0,"N/A",IF(AND(E5=$C$5,E15&gt;=25.4,E16&gt;=1.2),"YES","NO"))</f>
        <v>YES</v>
      </c>
      <c r="F18" s="246" t="str">
        <f t="shared" si="1"/>
        <v>NO</v>
      </c>
      <c r="G18" s="247" t="str">
        <f t="shared" si="1"/>
        <v>N/A</v>
      </c>
      <c r="H18" s="227"/>
      <c r="I18" s="232">
        <f>I19+I20+I21</f>
        <v>0</v>
      </c>
      <c r="J18" s="227"/>
      <c r="O18" s="131"/>
    </row>
    <row r="19" spans="2:19" ht="12.75" customHeight="1">
      <c r="B19" s="43" t="s">
        <v>481</v>
      </c>
      <c r="E19" s="248"/>
      <c r="F19" s="249"/>
      <c r="G19" s="250"/>
      <c r="H19" s="227"/>
      <c r="I19" s="233"/>
      <c r="J19" s="227"/>
      <c r="O19" s="131"/>
    </row>
    <row r="20" spans="2:19" ht="12.75" customHeight="1">
      <c r="B20" s="43" t="s">
        <v>482</v>
      </c>
      <c r="E20" s="248"/>
      <c r="F20" s="249"/>
      <c r="G20" s="250"/>
      <c r="H20" s="227"/>
      <c r="I20" s="233"/>
      <c r="J20" s="227"/>
      <c r="L20" s="23" t="str">
        <f>IF(AND(I20&lt;0.4*I21,I20&lt;1),"Asymmetrical lay-up: skin too thin in comparison, see T3.4.4.","")</f>
        <v/>
      </c>
      <c r="O20" s="131"/>
    </row>
    <row r="21" spans="2:19" ht="12.75" customHeight="1">
      <c r="B21" s="43" t="s">
        <v>483</v>
      </c>
      <c r="E21" s="248"/>
      <c r="F21" s="249"/>
      <c r="G21" s="250"/>
      <c r="H21" s="227"/>
      <c r="I21" s="233"/>
      <c r="J21" s="227"/>
      <c r="L21" s="23" t="str">
        <f>IF(AND(I21&lt;0.4*I20,I21&lt;1),"Asymmetrical lay-up: skin too thin in comparison, see T3.4.4.","")</f>
        <v/>
      </c>
      <c r="O21" s="131"/>
    </row>
    <row r="22" spans="2:19" ht="12.75" customHeight="1">
      <c r="B22" s="43" t="s">
        <v>484</v>
      </c>
      <c r="E22" s="248"/>
      <c r="F22" s="249"/>
      <c r="G22" s="250"/>
      <c r="H22" s="227"/>
      <c r="I22" s="233"/>
      <c r="J22" s="227"/>
      <c r="K22" s="34"/>
      <c r="O22" s="131"/>
    </row>
    <row r="23" spans="2:19" ht="12.75" customHeight="1">
      <c r="E23" s="251"/>
      <c r="F23" s="25"/>
      <c r="G23" s="197"/>
      <c r="H23" s="227"/>
      <c r="J23" s="227"/>
      <c r="O23" s="131"/>
    </row>
    <row r="24" spans="2:19" ht="12.75" customHeight="1">
      <c r="B24" s="43" t="s">
        <v>444</v>
      </c>
      <c r="C24" s="109">
        <f t="shared" ref="C24:C25" si="2">C15/1000</f>
        <v>2.5399999999999999E-2</v>
      </c>
      <c r="E24" s="109">
        <f t="shared" ref="E24:G24" si="3">IF($F$2="composite only","No tubes",IF(E14=0,"No tubes",E15/1000))</f>
        <v>2.8000000000000001E-2</v>
      </c>
      <c r="F24" s="109">
        <f t="shared" si="3"/>
        <v>2.5000000000000001E-2</v>
      </c>
      <c r="G24" s="109" t="str">
        <f t="shared" si="3"/>
        <v>No tubes</v>
      </c>
      <c r="H24" s="227"/>
      <c r="J24" s="227"/>
      <c r="O24" s="131"/>
    </row>
    <row r="25" spans="2:19" ht="12.75" customHeight="1">
      <c r="B25" s="43" t="s">
        <v>445</v>
      </c>
      <c r="C25" s="109">
        <f t="shared" si="2"/>
        <v>1.1999999999999999E-3</v>
      </c>
      <c r="E25" s="109">
        <f t="shared" ref="E25:G25" si="4">IF(E24="no tubes","",IF(E14=0,"",E16/1000))</f>
        <v>1.5E-3</v>
      </c>
      <c r="F25" s="109">
        <f t="shared" si="4"/>
        <v>1.5E-3</v>
      </c>
      <c r="G25" s="109" t="str">
        <f t="shared" si="4"/>
        <v/>
      </c>
      <c r="H25" s="234"/>
      <c r="J25" s="234"/>
      <c r="O25" s="131"/>
      <c r="S25" s="215"/>
    </row>
    <row r="26" spans="2:19" ht="12.75" customHeight="1">
      <c r="B26" s="43" t="s">
        <v>446</v>
      </c>
      <c r="C26" s="126">
        <f>IF(C6="Round",((C24)^4-((C24-2*C25))^4)*3.142/64,((C24)^4-((C24-2*C25))^4)/12)</f>
        <v>6.6959174567999997E-9</v>
      </c>
      <c r="E26" s="126">
        <f t="shared" ref="E26:G26" si="5">IF(E24="no tubes","",IF(E14=0,"",IF(E6="Round",(((E24)^4-((E24-2*E25))^4)*3.142/64),IF(E6="Square",(((E24)^4-((E24-2*E25))^4)/12),""))))</f>
        <v>1.0998521906249999E-8</v>
      </c>
      <c r="F26" s="126">
        <f t="shared" si="5"/>
        <v>7.6767405937500035E-9</v>
      </c>
      <c r="G26" s="126" t="str">
        <f t="shared" si="5"/>
        <v/>
      </c>
      <c r="H26" s="126">
        <f t="shared" ref="H26:H33" si="6">IF(SUM(E26:G26)&gt;0,SUM(E26:G26),"")</f>
        <v>1.8675262500000003E-8</v>
      </c>
      <c r="I26" s="235" t="str">
        <f>IF($F$2="Tubing only","Tubing Only",O12)</f>
        <v>Tubing Only</v>
      </c>
      <c r="J26" s="126">
        <f t="shared" ref="J26:J33" si="7">IF($F$2="Tubing only",H26,IF($F$2="Composite only",I26,IF($F$2="Tubes + Composite",H26+I26,"No Type Selected")))</f>
        <v>1.8675262500000003E-8</v>
      </c>
      <c r="O26" s="131"/>
      <c r="R26" s="131"/>
      <c r="S26" s="215"/>
    </row>
    <row r="27" spans="2:19" ht="12.75" customHeight="1">
      <c r="B27" s="43" t="s">
        <v>447</v>
      </c>
      <c r="C27" s="126">
        <f>C8*C26*C14</f>
        <v>4017.5504740799997</v>
      </c>
      <c r="D27" s="131"/>
      <c r="E27" s="126">
        <f t="shared" ref="E27:G27" si="8">IF(E24="no tubes","",IF(E14=0,"",E8*E26*E14))</f>
        <v>2199.7043812499996</v>
      </c>
      <c r="F27" s="126">
        <f t="shared" si="8"/>
        <v>3070.6962375000012</v>
      </c>
      <c r="G27" s="126" t="str">
        <f t="shared" si="8"/>
        <v/>
      </c>
      <c r="H27" s="126">
        <f t="shared" si="6"/>
        <v>5270.4006187500008</v>
      </c>
      <c r="I27" s="235" t="str">
        <f>IF(I26="Tubing Only","",I26*I8)</f>
        <v/>
      </c>
      <c r="J27" s="126">
        <f t="shared" si="7"/>
        <v>5270.4006187500008</v>
      </c>
      <c r="K27" s="44">
        <f>IF(AND(NOT($F$2="tubes + composite"),OR(AND($G$14&gt;0,G27&lt;(C27/3)),AND($F$14&gt;0,F27&lt;(C27/3)),AND($E$14&gt;0,E27&lt;(C27/3)))),0,100*J27/C27)</f>
        <v>131.18442824186045</v>
      </c>
      <c r="L27" s="67" t="s">
        <v>499</v>
      </c>
    </row>
    <row r="28" spans="2:19" ht="12.75" customHeight="1">
      <c r="B28" s="43" t="s">
        <v>448</v>
      </c>
      <c r="C28" s="216">
        <f>IF(C24="no tubes","",IF(C14=0,"",IF(C6="Round",C14*((C15^2-(C15-2*C16)^2)*PI()/4),IF(C6="Square",C14*(C15^2-(C15-2*C16)^2),""))))</f>
        <v>273.69555198074272</v>
      </c>
      <c r="D28" s="252"/>
      <c r="E28" s="216">
        <f t="shared" ref="E28:G28" si="9">IF(E24="no tubes","",IF(E14=0,"",IF(E6="Round",E14*((E15^2-(E15-2*E16)^2)*PI()/4),IF(E6="Square",E14*(E15^2-(E15-2*E16)^2),""))))</f>
        <v>124.87830798019428</v>
      </c>
      <c r="F28" s="216">
        <f t="shared" si="9"/>
        <v>221.4822820780804</v>
      </c>
      <c r="G28" s="216" t="str">
        <f t="shared" si="9"/>
        <v/>
      </c>
      <c r="H28" s="216">
        <f t="shared" si="6"/>
        <v>346.36059005827468</v>
      </c>
      <c r="I28" s="216" t="str">
        <f>IF(I26="Tubing Only","",(I18-I19)*I22)</f>
        <v/>
      </c>
      <c r="J28" s="216">
        <f t="shared" si="7"/>
        <v>346.36059005827468</v>
      </c>
      <c r="K28" s="44">
        <f>IF(AND($F$2="tubing only",AND(E5="steel",F5="steel",G5="steel")),100*J28/C28,"NA")</f>
        <v>126.54958677685953</v>
      </c>
      <c r="L28" s="67" t="str">
        <f t="shared" ref="L28:L32" si="10">IF(AND(95&lt;K28,K28&lt;100),"For tubes only, provided your actual tube measures &gt;= your nominal OD and wall this is OK","")</f>
        <v/>
      </c>
      <c r="R28" s="131"/>
    </row>
    <row r="29" spans="2:19" ht="12.75" customHeight="1">
      <c r="B29" s="43" t="s">
        <v>449</v>
      </c>
      <c r="C29" s="126">
        <f t="shared" ref="C29:C31" si="11">C$28*C9/1000000</f>
        <v>83477.143354126529</v>
      </c>
      <c r="D29" s="131"/>
      <c r="E29" s="126">
        <f t="shared" ref="E29:G29" si="12">IF(E24="no tubes","",IF(E14=0,"",E$28*E9/1000000))</f>
        <v>38087.883933959252</v>
      </c>
      <c r="F29" s="126">
        <f t="shared" si="12"/>
        <v>67552.096033814523</v>
      </c>
      <c r="G29" s="126" t="str">
        <f t="shared" si="12"/>
        <v/>
      </c>
      <c r="H29" s="126">
        <f t="shared" si="6"/>
        <v>105639.97996777378</v>
      </c>
      <c r="I29" s="126" t="str">
        <f>IF(I26="Tubing Only","",I28*I9/1000000)</f>
        <v/>
      </c>
      <c r="J29" s="126">
        <f t="shared" si="7"/>
        <v>105639.97996777378</v>
      </c>
      <c r="K29" s="44">
        <f>IF(AND($F$2="tubing only",OR($E$29&lt;(E14/$C$14)*$C$29,$F$29&lt;(F14/$C$14)*$C$29,$G$29&lt;(G14/$C$14)*$C$29)),0,100*J29/C29)</f>
        <v>126.54958677685953</v>
      </c>
      <c r="L29" s="67" t="str">
        <f t="shared" si="10"/>
        <v/>
      </c>
    </row>
    <row r="30" spans="2:19" ht="12.75" customHeight="1">
      <c r="B30" s="43" t="s">
        <v>450</v>
      </c>
      <c r="C30" s="126">
        <f t="shared" si="11"/>
        <v>99898.876472971097</v>
      </c>
      <c r="D30" s="131"/>
      <c r="E30" s="126">
        <f t="shared" ref="E30:G30" si="13">IF(E24="no tubes","",IF(E14=0,"",E$28*E10/1000000))</f>
        <v>45580.582412770913</v>
      </c>
      <c r="F30" s="126">
        <f t="shared" si="13"/>
        <v>80841.032958499345</v>
      </c>
      <c r="G30" s="126" t="str">
        <f t="shared" si="13"/>
        <v/>
      </c>
      <c r="H30" s="126">
        <f t="shared" si="6"/>
        <v>126421.61537127025</v>
      </c>
      <c r="I30" s="126" t="str">
        <f>IF(I26="Tubing Only","",I28*I10/1000000)</f>
        <v/>
      </c>
      <c r="J30" s="126">
        <f t="shared" si="7"/>
        <v>126421.61537127025</v>
      </c>
      <c r="K30" s="44">
        <f>IF(AND($F$2="tubing only",OR($E$30&lt;(E14/$C$14)*$C$30,$F$30&lt;(F14/$C$14)*$C$30,$G$30&lt;(G14/$C$14)*$C$30)),0,100*J30/C30)</f>
        <v>126.54958677685951</v>
      </c>
      <c r="L30" s="67" t="str">
        <f t="shared" si="10"/>
        <v/>
      </c>
      <c r="R30" s="131"/>
    </row>
    <row r="31" spans="2:19" ht="12.75" customHeight="1">
      <c r="B31" s="43" t="s">
        <v>451</v>
      </c>
      <c r="C31" s="126">
        <f t="shared" si="11"/>
        <v>49265.199356533689</v>
      </c>
      <c r="D31" s="131"/>
      <c r="E31" s="126">
        <f t="shared" ref="E31:G31" si="14">IF(E24="no tubes","",IF(E14=0,"",E$28*E11/1000000))</f>
        <v>22478.095436434971</v>
      </c>
      <c r="F31" s="126">
        <f t="shared" si="14"/>
        <v>39866.810774054473</v>
      </c>
      <c r="G31" s="126" t="str">
        <f t="shared" si="14"/>
        <v/>
      </c>
      <c r="H31" s="126">
        <f t="shared" si="6"/>
        <v>62344.90621048944</v>
      </c>
      <c r="I31" s="126" t="str">
        <f>IF(I26="Tubing Only","",I28*I9/1000000)</f>
        <v/>
      </c>
      <c r="J31" s="126">
        <f t="shared" si="7"/>
        <v>62344.90621048944</v>
      </c>
      <c r="K31" s="44">
        <f>IF(AND($F$2="tubing only",OR($E$31&lt;(E14/$C$14)*$C$31,$F$31&lt;(F14/$C$14)*$C$31,$G$31&lt;(G14/$C$14)*$C$31)),0,100*J31/C31)</f>
        <v>126.54958677685953</v>
      </c>
      <c r="L31" s="67" t="str">
        <f t="shared" si="10"/>
        <v/>
      </c>
      <c r="R31" s="131"/>
    </row>
    <row r="32" spans="2:19" ht="12.75" customHeight="1">
      <c r="B32" s="43" t="s">
        <v>452</v>
      </c>
      <c r="C32" s="126">
        <f>IF(C14=0,"",C$28*C12/1000000)</f>
        <v>82108.66559422281</v>
      </c>
      <c r="D32" s="131"/>
      <c r="E32" s="126">
        <f t="shared" ref="E32:G32" si="15">IF(E24="no tubes","",IF(E14=0,"",E$28*E12/1000000))</f>
        <v>37463.492394058281</v>
      </c>
      <c r="F32" s="126">
        <f t="shared" si="15"/>
        <v>66444.684623424124</v>
      </c>
      <c r="G32" s="126" t="str">
        <f t="shared" si="15"/>
        <v/>
      </c>
      <c r="H32" s="126">
        <f t="shared" si="6"/>
        <v>103908.17701748241</v>
      </c>
      <c r="I32" s="126" t="str">
        <f>IF(I26="tubing only","",I28*I10/1000000)</f>
        <v/>
      </c>
      <c r="J32" s="126">
        <f t="shared" si="7"/>
        <v>103908.17701748241</v>
      </c>
      <c r="K32" s="44">
        <f>IF(AND($F$2="tubing only",OR($E$32&lt;(E14/$C$14)*$C$32,$F$32&lt;(F14/$C$14)*$C$32,$G$32&lt;(G14/$C$14)*$C$32)),0,100*J32/C32)</f>
        <v>126.54958677685954</v>
      </c>
      <c r="L32" s="67" t="str">
        <f t="shared" si="10"/>
        <v/>
      </c>
      <c r="R32" s="131"/>
    </row>
    <row r="33" spans="2:15" ht="12.75" customHeight="1">
      <c r="B33" s="43" t="s">
        <v>453</v>
      </c>
      <c r="C33" s="126">
        <f>C14*4*C10*C26/(0.5*C24*1)</f>
        <v>2309.3006662034645</v>
      </c>
      <c r="E33" s="126">
        <f t="shared" ref="E33:G33" si="16">IF(E24="no tubes","",IF(E14=0,"",E14*4*E10*E26/(0.5*E24*1)))</f>
        <v>1146.988713080357</v>
      </c>
      <c r="F33" s="126">
        <f t="shared" si="16"/>
        <v>1793.2866027000007</v>
      </c>
      <c r="G33" s="126" t="str">
        <f t="shared" si="16"/>
        <v/>
      </c>
      <c r="H33" s="126">
        <f t="shared" si="6"/>
        <v>2940.2753157803577</v>
      </c>
      <c r="I33" s="126" t="str">
        <f>IF(I26="tubing only","",4*I10*(I26*2/(I18/1000))/1)</f>
        <v/>
      </c>
      <c r="J33" s="126">
        <f t="shared" si="7"/>
        <v>2940.2753157803577</v>
      </c>
      <c r="K33" s="44">
        <f>IF(AND($F$2="tubing only",OR($E$33&lt;(E14/$C$14)*$C$33,$F$33&lt;(F14/$C$14)*$C$33,$G$33&lt;(G14/$C$14)*$C$33)),0,100*J33/C33)</f>
        <v>127.32319177018331</v>
      </c>
      <c r="L33" s="67" t="str">
        <f>IF((99.9&gt;K33)*AND(K33&gt;60),"For Composites Only, Additional Proof Required","")</f>
        <v/>
      </c>
    </row>
    <row r="34" spans="2:15" ht="12.75" customHeight="1">
      <c r="B34" s="43" t="s">
        <v>454</v>
      </c>
      <c r="C34" s="126">
        <f>IF(C14=0,"",C33*1^3/(48*C27))</f>
        <v>1.1975065616797899E-2</v>
      </c>
      <c r="E34" s="126">
        <f t="shared" ref="E34:G34" si="17">IF(E24="no tubes","",IF(E14=0,"",($C$33*1^3/(48*E27))))</f>
        <v>2.1871316416875241E-2</v>
      </c>
      <c r="F34" s="126">
        <f t="shared" si="17"/>
        <v>1.5667596800481468E-2</v>
      </c>
      <c r="G34" s="126" t="str">
        <f t="shared" si="17"/>
        <v/>
      </c>
      <c r="H34" s="126">
        <f>IF(F2="composite only","",$C$33*1^3/(48*H27))</f>
        <v>9.1284200246083066E-3</v>
      </c>
      <c r="I34" s="126" t="str">
        <f>IF(NOT($F$2="tubing only"),$C$33*1^3/(48*I27),"")</f>
        <v/>
      </c>
      <c r="J34" s="126">
        <f>IF($F$2="Tubing only",H34,IF($F$2="Composite only",I34,IF($F$2="Tubes + Composite",$C$33*1^3/(48*J27),"No Type Selected")))</f>
        <v>9.1284200246083066E-3</v>
      </c>
      <c r="K34" s="44">
        <f>IF(AND($F$2="tubing only",J34&gt;1.05*C34),101,100*J34/C34)</f>
        <v>76.228559547961979</v>
      </c>
      <c r="L34" s="67" t="str">
        <f>IF((100&lt;K34)*AND(K34&lt;=166.667),"For Composites Only, Additional Proof Required","")</f>
        <v/>
      </c>
    </row>
    <row r="35" spans="2:15" ht="12.75" customHeight="1">
      <c r="B35" s="43" t="s">
        <v>455</v>
      </c>
      <c r="C35" s="126">
        <f>0.5*C33*(C33*1^3/(48*C27))</f>
        <v>13.827013503350795</v>
      </c>
      <c r="E35" s="126">
        <f t="shared" ref="E35:G35" si="18">IF(E24="no tubes","",0.5*E33*(E33*1^3/(48*E27)))</f>
        <v>6.2299238136061055</v>
      </c>
      <c r="F35" s="126">
        <f t="shared" si="18"/>
        <v>10.909160166425004</v>
      </c>
      <c r="G35" s="126" t="str">
        <f t="shared" si="18"/>
        <v/>
      </c>
      <c r="H35" s="126">
        <f>IF(SUM(E35:G35)&gt;0,SUM(E35:G35),"")</f>
        <v>17.13908398003111</v>
      </c>
      <c r="I35" s="126" t="str">
        <f>IF(I26="tubing only","",0.5*I33*(I33*1^3/(48*I27)))</f>
        <v/>
      </c>
      <c r="J35" s="126">
        <f>IF($F$2="Tubing only",H35,IF($F$2="Composite only",I35,IF($F$2="Tubes + Composite",H35+I35,"No Type Selected")))</f>
        <v>17.13908398003111</v>
      </c>
      <c r="K35" s="44">
        <f>IF(AND($F$2="tubing only",OR($E$36&lt;$C$36,$F$36&lt;$C$36,$G$36&lt;$C$36)),0,100*J35/C35)</f>
        <v>123.95362148071727</v>
      </c>
      <c r="L35" s="67" t="str">
        <f>IF((99.9&gt;K35)*AND(K35&gt;60),"For Composites Only, Additional Proof Required","")</f>
        <v/>
      </c>
      <c r="M35" s="39" t="s">
        <v>252</v>
      </c>
      <c r="N35" s="39"/>
    </row>
    <row r="36" spans="2:15" ht="12.75" customHeight="1">
      <c r="C36" s="253">
        <f>0.99*C27/C14</f>
        <v>1325.7916564463999</v>
      </c>
      <c r="D36" s="254"/>
      <c r="E36" s="253">
        <f t="shared" ref="E36:G36" si="19">IF(AND($F$2="tubing only",E14&gt;0),E27/E14,9E+99)</f>
        <v>2199.7043812499996</v>
      </c>
      <c r="F36" s="253">
        <f t="shared" si="19"/>
        <v>1535.3481187500006</v>
      </c>
      <c r="G36" s="253">
        <f t="shared" si="19"/>
        <v>8.9999999999999999E+99</v>
      </c>
      <c r="H36" s="34"/>
      <c r="O36" s="39"/>
    </row>
    <row r="37" spans="2:15" ht="12.75" customHeight="1">
      <c r="B37" s="31" t="s">
        <v>485</v>
      </c>
      <c r="E37" s="131"/>
    </row>
    <row r="38" spans="2:15" ht="12.75" customHeight="1">
      <c r="B38" s="255" t="s">
        <v>407</v>
      </c>
      <c r="C38" s="256" t="s">
        <v>516</v>
      </c>
      <c r="D38" s="143"/>
      <c r="E38" s="143"/>
      <c r="F38" s="143"/>
      <c r="G38" s="143"/>
      <c r="H38" s="143"/>
      <c r="I38" s="143"/>
      <c r="J38" s="143"/>
      <c r="K38" s="143"/>
      <c r="L38" s="143"/>
      <c r="M38" s="143"/>
      <c r="N38" s="143"/>
      <c r="O38" s="144"/>
    </row>
    <row r="39" spans="2:15" ht="12.75" customHeight="1">
      <c r="B39" s="238" t="s">
        <v>487</v>
      </c>
      <c r="C39" s="257" t="s">
        <v>517</v>
      </c>
      <c r="D39" s="64"/>
      <c r="E39" s="64"/>
      <c r="F39" s="64"/>
      <c r="G39" s="64"/>
      <c r="H39" s="64"/>
      <c r="I39" s="64"/>
      <c r="J39" s="64"/>
      <c r="K39" s="64"/>
      <c r="L39" s="64"/>
      <c r="M39" s="64"/>
      <c r="N39" s="64"/>
      <c r="O39" s="96"/>
    </row>
    <row r="40" spans="2:15" ht="12.75" customHeight="1">
      <c r="B40" s="95"/>
      <c r="C40" s="257"/>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4"/>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95"/>
      <c r="C188" s="64"/>
      <c r="D188" s="64"/>
      <c r="E188" s="64"/>
      <c r="F188" s="64"/>
      <c r="G188" s="64"/>
      <c r="H188" s="64"/>
      <c r="I188" s="64"/>
      <c r="J188" s="64"/>
      <c r="K188" s="64"/>
      <c r="L188" s="64"/>
      <c r="M188" s="64"/>
      <c r="N188" s="64"/>
      <c r="O188" s="96"/>
    </row>
    <row r="189" spans="2:15" ht="12.75" customHeight="1">
      <c r="B189" s="95"/>
      <c r="C189" s="64"/>
      <c r="D189" s="64"/>
      <c r="E189" s="64"/>
      <c r="F189" s="64"/>
      <c r="G189" s="64"/>
      <c r="H189" s="64"/>
      <c r="I189" s="64"/>
      <c r="J189" s="64"/>
      <c r="K189" s="64"/>
      <c r="L189" s="64"/>
      <c r="M189" s="64"/>
      <c r="N189" s="64"/>
      <c r="O189" s="96"/>
    </row>
    <row r="190" spans="2:15" ht="12.75" customHeight="1">
      <c r="B190" s="100"/>
      <c r="C190" s="101"/>
      <c r="D190" s="101"/>
      <c r="E190" s="101"/>
      <c r="F190" s="101"/>
      <c r="G190" s="101"/>
      <c r="H190" s="101"/>
      <c r="I190" s="101"/>
      <c r="J190" s="101"/>
      <c r="K190" s="101"/>
      <c r="L190" s="101"/>
      <c r="M190" s="101"/>
      <c r="N190" s="101"/>
      <c r="O190" s="150"/>
    </row>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27:G33">
    <cfRule type="cellIs" dxfId="268" priority="1" stopIfTrue="1" operator="lessThan">
      <formula>0.95*$C27*(E$14/$C$14)</formula>
    </cfRule>
  </conditionalFormatting>
  <conditionalFormatting sqref="E35:G35">
    <cfRule type="cellIs" dxfId="267" priority="2" stopIfTrue="1" operator="lessThan">
      <formula>0.95*$C35*(E$14/$C$14)</formula>
    </cfRule>
  </conditionalFormatting>
  <conditionalFormatting sqref="I20">
    <cfRule type="expression" dxfId="266" priority="3">
      <formula>AND(I20&lt;0.4*I21,I20&lt;1)</formula>
    </cfRule>
  </conditionalFormatting>
  <conditionalFormatting sqref="I21">
    <cfRule type="expression" dxfId="265" priority="4">
      <formula>AND(I21&lt;0.4*I20,I21&lt;1)</formula>
    </cfRule>
  </conditionalFormatting>
  <conditionalFormatting sqref="K27">
    <cfRule type="expression" dxfId="264" priority="5">
      <formula>AND($H$27 &gt;= 60, $H$27 &lt; 100)</formula>
    </cfRule>
    <cfRule type="cellIs" dxfId="263" priority="6" stopIfTrue="1" operator="notBetween">
      <formula>60</formula>
      <formula>100</formula>
    </cfRule>
  </conditionalFormatting>
  <conditionalFormatting sqref="K27:K33">
    <cfRule type="cellIs" dxfId="262" priority="7" stopIfTrue="1" operator="greaterThanOrEqual">
      <formula>100</formula>
    </cfRule>
  </conditionalFormatting>
  <conditionalFormatting sqref="K28:K32">
    <cfRule type="cellIs" dxfId="261" priority="8" stopIfTrue="1" operator="lessThan">
      <formula>100</formula>
    </cfRule>
  </conditionalFormatting>
  <conditionalFormatting sqref="K33">
    <cfRule type="cellIs" dxfId="260" priority="9" stopIfTrue="1" operator="lessThan">
      <formula>33.3</formula>
    </cfRule>
    <cfRule type="cellIs" dxfId="259" priority="10" stopIfTrue="1" operator="between">
      <formula>33.3</formula>
      <formula>100</formula>
    </cfRule>
  </conditionalFormatting>
  <conditionalFormatting sqref="K34">
    <cfRule type="expression" dxfId="258" priority="11">
      <formula>AND($H$34 &gt; 100, $H$34 &lt;= 166.667)</formula>
    </cfRule>
    <cfRule type="cellIs" dxfId="257" priority="12" stopIfTrue="1" operator="greaterThanOrEqual">
      <formula>166.667</formula>
    </cfRule>
    <cfRule type="cellIs" dxfId="256" priority="13" stopIfTrue="1" operator="lessThanOrEqual">
      <formula>100</formula>
    </cfRule>
  </conditionalFormatting>
  <conditionalFormatting sqref="K35">
    <cfRule type="cellIs" dxfId="255" priority="14" stopIfTrue="1" operator="greaterThanOrEqual">
      <formula>100</formula>
    </cfRule>
    <cfRule type="cellIs" dxfId="254" priority="15" stopIfTrue="1" operator="lessThan">
      <formula>33.3</formula>
    </cfRule>
    <cfRule type="cellIs" dxfId="253" priority="16" stopIfTrue="1" operator="between">
      <formula>33.3</formula>
      <formula>100</formula>
    </cfRule>
  </conditionalFormatting>
  <dataValidations count="5">
    <dataValidation type="list" allowBlank="1" showErrorMessage="1" sqref="F2" xr:uid="{00000000-0002-0000-1200-000000000000}">
      <formula1>ConstructionType</formula1>
    </dataValidation>
    <dataValidation type="list" allowBlank="1" showErrorMessage="1" sqref="I5" xr:uid="{00000000-0002-0000-1200-000001000000}">
      <formula1>Material</formula1>
    </dataValidation>
    <dataValidation type="list" allowBlank="1" showInputMessage="1" showErrorMessage="1" prompt="Select Material" sqref="E5:G5" xr:uid="{00000000-0002-0000-1200-000002000000}">
      <formula1>Metallic_Mats</formula1>
    </dataValidation>
    <dataValidation type="list" allowBlank="1" showInputMessage="1" showErrorMessage="1" prompt="Select Material" sqref="C5:D5 D6 J13:J14" xr:uid="{00000000-0002-0000-1200-000003000000}">
      <formula1>Materials</formula1>
    </dataValidation>
    <dataValidation type="list" allowBlank="1" showInputMessage="1" showErrorMessage="1" prompt="Select Material" sqref="E6:G6" xr:uid="{00000000-0002-0000-1200-000004000000}">
      <formula1>Tube_Type</formula1>
    </dataValidation>
  </dataValidations>
  <hyperlinks>
    <hyperlink ref="I7" location="'T3.5 FBH'!A1" display="FBH" xr:uid="{00000000-0004-0000-1200-000000000000}"/>
    <hyperlink ref="B14" location="'T1.1 Guidance Notes'!A1" display="Number of tubes" xr:uid="{00000000-0004-0000-1200-000001000000}"/>
    <hyperlink ref="M35" location="'Cover Sheet'!A1" display="BACK to COVER SHEET" xr:uid="{00000000-0004-0000-1200-000002000000}"/>
    <hyperlink ref="B38" location="'T3.13 T3.5 Guidance Notes'!A1" display="Link to GUIDANCE NOTES for laminated structures" xr:uid="{00000000-0004-0000-1200-000003000000}"/>
    <hyperlink ref="B39" location="'T3.5 Guidance Notes'!A1" display="Link to GUIDANCE NOTES for anisotropic laminates" xr:uid="{00000000-0004-0000-1200-000004000000}"/>
  </hyperlinks>
  <pageMargins left="0.75" right="0.75" top="1" bottom="1" header="0" footer="0"/>
  <pageSetup paperSize="9" fitToHeight="0"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CCFF99"/>
  </sheetPr>
  <dimension ref="A1:AA1000"/>
  <sheetViews>
    <sheetView showGridLines="0" workbookViewId="0"/>
  </sheetViews>
  <sheetFormatPr baseColWidth="10" defaultColWidth="12.5703125" defaultRowHeight="15" customHeight="1"/>
  <cols>
    <col min="1" max="1" width="3.42578125" customWidth="1"/>
    <col min="2" max="2" width="45.42578125" customWidth="1"/>
    <col min="3" max="3" width="11.42578125" customWidth="1"/>
    <col min="4" max="4" width="3.42578125" customWidth="1"/>
    <col min="5" max="5" width="11.5703125" customWidth="1"/>
    <col min="6" max="6" width="15.42578125" customWidth="1"/>
    <col min="7" max="7" width="11.5703125" customWidth="1"/>
    <col min="8" max="8" width="6.5703125" customWidth="1"/>
    <col min="9" max="9" width="8.5703125" customWidth="1"/>
    <col min="10" max="10" width="4.42578125" customWidth="1"/>
    <col min="11" max="11" width="12.140625" customWidth="1"/>
    <col min="12" max="12" width="3.85546875" customWidth="1"/>
    <col min="13" max="13" width="4.42578125" customWidth="1"/>
    <col min="14" max="14" width="3.42578125" customWidth="1"/>
    <col min="15" max="15" width="11.42578125" customWidth="1"/>
    <col min="16" max="16" width="12.42578125" customWidth="1"/>
    <col min="17" max="19" width="11.42578125" customWidth="1"/>
    <col min="20" max="20" width="3.140625" customWidth="1"/>
    <col min="21" max="21" width="3.42578125" customWidth="1"/>
    <col min="22" max="22" width="11.42578125" customWidth="1"/>
    <col min="23" max="23" width="3.42578125" customWidth="1"/>
    <col min="24" max="27" width="11.42578125" customWidth="1"/>
  </cols>
  <sheetData>
    <row r="1" spans="1:27" ht="12.75" customHeight="1">
      <c r="A1" s="34"/>
      <c r="B1" s="213" t="s">
        <v>518</v>
      </c>
      <c r="C1" s="34"/>
      <c r="D1" s="34"/>
      <c r="E1" s="34"/>
      <c r="F1" s="34"/>
      <c r="G1" s="34"/>
      <c r="H1" s="34"/>
      <c r="I1" s="34"/>
      <c r="J1" s="34"/>
      <c r="K1" s="34"/>
      <c r="L1" s="34"/>
      <c r="M1" s="34"/>
      <c r="N1" s="34"/>
      <c r="O1" s="34"/>
      <c r="P1" s="34"/>
      <c r="Q1" s="34"/>
      <c r="R1" s="34"/>
      <c r="S1" s="34"/>
      <c r="T1" s="34"/>
      <c r="U1" s="34"/>
      <c r="V1" s="34"/>
      <c r="W1" s="34"/>
      <c r="X1" s="34"/>
      <c r="Y1" s="34"/>
      <c r="Z1" s="34"/>
      <c r="AA1" s="34"/>
    </row>
    <row r="2" spans="1:27" ht="12.75" customHeight="1">
      <c r="A2" s="34"/>
      <c r="B2" s="34"/>
      <c r="C2" s="690" t="s">
        <v>461</v>
      </c>
      <c r="D2" s="587"/>
      <c r="E2" s="588"/>
      <c r="F2" s="697" t="s">
        <v>240</v>
      </c>
      <c r="G2" s="588"/>
      <c r="H2" s="34"/>
      <c r="I2" s="34"/>
      <c r="J2" s="34"/>
      <c r="K2" s="34"/>
      <c r="L2" s="34"/>
      <c r="M2" s="34"/>
      <c r="N2" s="34"/>
      <c r="O2" s="34"/>
      <c r="P2" s="34"/>
      <c r="Q2" s="34"/>
      <c r="R2" s="34"/>
      <c r="S2" s="34"/>
      <c r="T2" s="34"/>
      <c r="U2" s="34"/>
      <c r="V2" s="34"/>
      <c r="W2" s="34"/>
      <c r="X2" s="34"/>
      <c r="Y2" s="34"/>
      <c r="Z2" s="34"/>
      <c r="AA2" s="34"/>
    </row>
    <row r="3" spans="1:27" ht="12.75" customHeight="1">
      <c r="A3" s="34"/>
      <c r="B3" s="34"/>
      <c r="C3" s="34"/>
      <c r="D3" s="34"/>
      <c r="E3" s="34"/>
      <c r="F3" s="34"/>
      <c r="G3" s="34"/>
      <c r="H3" s="34"/>
      <c r="I3" s="34"/>
      <c r="J3" s="34"/>
      <c r="K3" s="34"/>
      <c r="L3" s="34"/>
      <c r="M3" s="34"/>
      <c r="N3" s="34"/>
      <c r="O3" s="34"/>
      <c r="P3" s="34"/>
      <c r="Q3" s="34"/>
      <c r="R3" s="34"/>
      <c r="S3" s="34"/>
      <c r="T3" s="34"/>
      <c r="U3" s="34"/>
      <c r="V3" s="34"/>
      <c r="W3" s="34"/>
      <c r="X3" s="34"/>
      <c r="Y3" s="34"/>
      <c r="Z3" s="34"/>
      <c r="AA3" s="34"/>
    </row>
    <row r="4" spans="1:27" ht="12.75" customHeight="1">
      <c r="A4" s="34"/>
      <c r="B4" s="27" t="s">
        <v>436</v>
      </c>
      <c r="C4" s="27" t="s">
        <v>437</v>
      </c>
      <c r="D4" s="31"/>
      <c r="E4" s="27" t="s">
        <v>438</v>
      </c>
      <c r="F4" s="239" t="s">
        <v>462</v>
      </c>
      <c r="G4" s="27" t="s">
        <v>463</v>
      </c>
      <c r="H4" s="34"/>
      <c r="I4" s="34"/>
      <c r="J4" s="258" t="s">
        <v>519</v>
      </c>
      <c r="K4" s="258"/>
      <c r="L4" s="258"/>
      <c r="M4" s="258"/>
      <c r="N4" s="258"/>
      <c r="O4" s="258"/>
      <c r="P4" s="31"/>
      <c r="Q4" s="32" t="s">
        <v>520</v>
      </c>
      <c r="R4" s="32" t="s">
        <v>166</v>
      </c>
      <c r="S4" s="34"/>
      <c r="T4" s="34"/>
      <c r="U4" s="34"/>
      <c r="V4" s="34"/>
      <c r="W4" s="34"/>
      <c r="X4" s="34"/>
      <c r="Y4" s="34"/>
      <c r="Z4" s="34"/>
      <c r="AA4" s="34"/>
    </row>
    <row r="5" spans="1:27" ht="12.75" customHeight="1">
      <c r="A5" s="59"/>
      <c r="B5" s="58" t="s">
        <v>439</v>
      </c>
      <c r="C5" s="259" t="s">
        <v>202</v>
      </c>
      <c r="D5" s="59"/>
      <c r="E5" s="214" t="s">
        <v>202</v>
      </c>
      <c r="F5" s="233" t="s">
        <v>207</v>
      </c>
      <c r="G5" s="260"/>
      <c r="H5" s="59"/>
      <c r="I5" s="59"/>
      <c r="J5" s="261"/>
      <c r="K5" s="262"/>
      <c r="L5" s="262"/>
      <c r="M5" s="263"/>
      <c r="N5" s="699" t="s">
        <v>521</v>
      </c>
      <c r="O5" s="59"/>
      <c r="P5" s="264" t="s">
        <v>466</v>
      </c>
      <c r="Q5" s="59">
        <f>F25/2000</f>
        <v>2.5000000000000001E-2</v>
      </c>
      <c r="R5" s="264">
        <f>'T3.13 T3.5 FBH Spt Structure'!I21/1000</f>
        <v>0</v>
      </c>
      <c r="S5" s="265" t="s">
        <v>522</v>
      </c>
      <c r="T5" s="59"/>
      <c r="U5" s="266"/>
      <c r="V5" s="267"/>
      <c r="W5" s="266"/>
      <c r="X5" s="268"/>
      <c r="Y5" s="269">
        <v>3</v>
      </c>
      <c r="Z5" s="270"/>
      <c r="AA5" s="59"/>
    </row>
    <row r="6" spans="1:27" ht="12.75" customHeight="1">
      <c r="A6" s="59"/>
      <c r="B6" s="58" t="s">
        <v>467</v>
      </c>
      <c r="C6" s="259" t="s">
        <v>247</v>
      </c>
      <c r="D6" s="59"/>
      <c r="E6" s="271" t="s">
        <v>247</v>
      </c>
      <c r="F6" s="272" t="s">
        <v>113</v>
      </c>
      <c r="G6" s="260"/>
      <c r="H6" s="59"/>
      <c r="I6" s="59"/>
      <c r="J6" s="273"/>
      <c r="K6" s="267"/>
      <c r="L6" s="700" t="s">
        <v>523</v>
      </c>
      <c r="M6" s="274"/>
      <c r="N6" s="597"/>
      <c r="O6" s="59"/>
      <c r="P6" s="264" t="s">
        <v>524</v>
      </c>
      <c r="Q6" s="59">
        <f>F24/1000</f>
        <v>0</v>
      </c>
      <c r="R6" s="59">
        <f>'T3.13 T3.5 FBH Spt Structure'!I20/1000</f>
        <v>0</v>
      </c>
      <c r="S6" s="59" t="s">
        <v>525</v>
      </c>
      <c r="T6" s="59"/>
      <c r="U6" s="260"/>
      <c r="V6" s="275"/>
      <c r="W6" s="260"/>
      <c r="X6" s="267"/>
      <c r="Y6" s="276"/>
      <c r="Z6" s="277"/>
      <c r="AA6" s="59"/>
    </row>
    <row r="7" spans="1:27" ht="12.75" customHeight="1">
      <c r="A7" s="59"/>
      <c r="B7" s="58" t="s">
        <v>441</v>
      </c>
      <c r="C7" s="278" t="str">
        <f>HLOOKUP(C5,MaterialData!$C$3:$P$4,2,FALSE)</f>
        <v>Steel</v>
      </c>
      <c r="D7" s="279"/>
      <c r="E7" s="278" t="str">
        <f>HLOOKUP(E5,MaterialData!$C$3:$S$4,2,FALSE)</f>
        <v>Steel</v>
      </c>
      <c r="F7" s="280" t="s">
        <v>165</v>
      </c>
      <c r="G7" s="281"/>
      <c r="H7" s="59"/>
      <c r="I7" s="59"/>
      <c r="J7" s="273"/>
      <c r="K7" s="275"/>
      <c r="L7" s="599"/>
      <c r="M7" s="274"/>
      <c r="N7" s="597"/>
      <c r="O7" s="59"/>
      <c r="P7" s="264" t="s">
        <v>526</v>
      </c>
      <c r="Q7" s="59">
        <f>F23/1000</f>
        <v>0</v>
      </c>
      <c r="R7" s="264">
        <f>25.4/1000</f>
        <v>2.5399999999999999E-2</v>
      </c>
      <c r="S7" s="59" t="s">
        <v>468</v>
      </c>
      <c r="T7" s="59"/>
      <c r="U7" s="260"/>
      <c r="V7" s="275"/>
      <c r="W7" s="260"/>
      <c r="X7" s="275"/>
      <c r="Y7" s="59"/>
      <c r="Z7" s="282"/>
      <c r="AA7" s="59"/>
    </row>
    <row r="8" spans="1:27" ht="15.75" customHeight="1">
      <c r="A8" s="34"/>
      <c r="B8" s="43" t="s">
        <v>223</v>
      </c>
      <c r="C8" s="126">
        <f t="array" ref="C8">INDEX('T3.12 T3.5 Ft Bulkhead'!Innertable,MATCH($B8,MaterialData!$B$6:$B$11,0),MATCH(C$7,MaterialData!$C$4:$P$4,0))</f>
        <v>200000000000</v>
      </c>
      <c r="D8" s="131"/>
      <c r="E8" s="126">
        <f t="array" ref="E8">INDEX('T3.12 T3.5 Ft Bulkhead'!Innertable,MATCH($B8,MaterialData!$B$6:$B$11,0),MATCH(E$7,MaterialData!$C$4:$S$4,0))</f>
        <v>200000000000</v>
      </c>
      <c r="F8" s="126">
        <f t="array" ref="F8">INDEX('T3.12 T3.5 Ft Bulkhead'!Innertable,MATCH($B8,MaterialData!$B$6:$B$11,0),MATCH(F$7,MaterialData!$C$4:$S$4,0))</f>
        <v>0</v>
      </c>
      <c r="G8" s="228"/>
      <c r="H8" s="34"/>
      <c r="I8" s="34"/>
      <c r="J8" s="283"/>
      <c r="K8" s="80"/>
      <c r="L8" s="599"/>
      <c r="M8" s="284"/>
      <c r="N8" s="597"/>
      <c r="O8" s="34"/>
      <c r="P8" s="225" t="s">
        <v>527</v>
      </c>
      <c r="Q8" s="131">
        <f>Q5*Q6</f>
        <v>0</v>
      </c>
      <c r="R8" s="225" t="s">
        <v>528</v>
      </c>
      <c r="S8" s="131">
        <f>(Q5*Q6^3)/12</f>
        <v>0</v>
      </c>
      <c r="T8" s="34"/>
      <c r="U8" s="227"/>
      <c r="V8" s="80"/>
      <c r="W8" s="227"/>
      <c r="X8" s="251"/>
      <c r="Y8" s="25"/>
      <c r="Z8" s="197"/>
      <c r="AA8" s="34"/>
    </row>
    <row r="9" spans="1:27" ht="12.75" customHeight="1">
      <c r="A9" s="34"/>
      <c r="B9" s="43" t="s">
        <v>225</v>
      </c>
      <c r="C9" s="126">
        <f t="array" ref="C9">INDEX('T3.12 T3.5 Ft Bulkhead'!Innertable,MATCH($B9,MaterialData!$B$6:$B$11,0),MATCH(C$7,MaterialData!$C$4:$P$4,0))</f>
        <v>305000000</v>
      </c>
      <c r="D9" s="131"/>
      <c r="E9" s="126">
        <f t="array" ref="E9">INDEX('T3.12 T3.5 Ft Bulkhead'!Innertable,MATCH($B9,MaterialData!$B$6:$B$11,0),MATCH(E$7,MaterialData!$C$4:$S$4,0))</f>
        <v>305000000</v>
      </c>
      <c r="F9" s="126" t="e">
        <f t="array" ref="F9">INDEX('T3.12 T3.5 Ft Bulkhead'!Innertable,MATCH($B9,MaterialData!$B$6:$B$11,0),MATCH(F$7,MaterialData!$C$4:$S$4,0))</f>
        <v>#DIV/0!</v>
      </c>
      <c r="G9" s="228"/>
      <c r="H9" s="34"/>
      <c r="I9" s="34"/>
      <c r="J9" s="283"/>
      <c r="K9" s="80"/>
      <c r="L9" s="599"/>
      <c r="M9" s="284"/>
      <c r="N9" s="597"/>
      <c r="O9" s="34"/>
      <c r="P9" s="225" t="s">
        <v>529</v>
      </c>
      <c r="Q9" s="131">
        <f>Q5*Q7</f>
        <v>0</v>
      </c>
      <c r="R9" s="225" t="s">
        <v>530</v>
      </c>
      <c r="S9" s="131">
        <f>(Q5*Q7^3)/12</f>
        <v>0</v>
      </c>
      <c r="T9" s="34"/>
      <c r="U9" s="285">
        <v>1</v>
      </c>
      <c r="V9" s="80"/>
      <c r="W9" s="285">
        <v>2</v>
      </c>
      <c r="X9" s="243"/>
      <c r="Y9" s="286">
        <v>4</v>
      </c>
      <c r="Z9" s="287"/>
      <c r="AA9" s="34"/>
    </row>
    <row r="10" spans="1:27" ht="12.75" customHeight="1">
      <c r="A10" s="34"/>
      <c r="B10" s="43" t="s">
        <v>227</v>
      </c>
      <c r="C10" s="126">
        <f t="array" ref="C10">INDEX('T3.12 T3.5 Ft Bulkhead'!Innertable,MATCH($B10,MaterialData!$B$6:$B$11,0),MATCH(C$7,MaterialData!$C$4:$P$4,0))</f>
        <v>365000000</v>
      </c>
      <c r="D10" s="131"/>
      <c r="E10" s="126">
        <f t="array" ref="E10">INDEX('T3.12 T3.5 Ft Bulkhead'!Innertable,MATCH($B10,MaterialData!$B$6:$B$11,0),MATCH(E$7,MaterialData!$C$4:$S$4,0))</f>
        <v>365000000</v>
      </c>
      <c r="F10" s="126" t="e">
        <f t="array" ref="F10">INDEX('T3.12 T3.5 Ft Bulkhead'!Innertable,MATCH($B10,MaterialData!$B$6:$B$11,0),MATCH(F$7,MaterialData!$C$4:$S$4,0))</f>
        <v>#DIV/0!</v>
      </c>
      <c r="G10" s="228"/>
      <c r="H10" s="34"/>
      <c r="I10" s="34"/>
      <c r="J10" s="283"/>
      <c r="K10" s="80"/>
      <c r="L10" s="599"/>
      <c r="M10" s="284"/>
      <c r="N10" s="597"/>
      <c r="O10" s="34"/>
      <c r="P10" s="225" t="s">
        <v>531</v>
      </c>
      <c r="Q10" s="131">
        <f>R5*R7</f>
        <v>0</v>
      </c>
      <c r="R10" s="225" t="s">
        <v>532</v>
      </c>
      <c r="S10" s="131">
        <f>(R5*R7^3)/12</f>
        <v>0</v>
      </c>
      <c r="T10" s="34"/>
      <c r="U10" s="227"/>
      <c r="V10" s="80"/>
      <c r="W10" s="227"/>
      <c r="X10" s="34"/>
      <c r="Y10" s="34"/>
      <c r="Z10" s="34"/>
      <c r="AA10" s="34"/>
    </row>
    <row r="11" spans="1:27" ht="12.75" customHeight="1">
      <c r="A11" s="34"/>
      <c r="B11" s="43" t="s">
        <v>229</v>
      </c>
      <c r="C11" s="126">
        <f t="array" ref="C11">INDEX('T3.12 T3.5 Ft Bulkhead'!Innertable,MATCH($B11,MaterialData!$B$6:$B$11,0),MATCH(C$7,MaterialData!$C$4:$P$4,0))</f>
        <v>180000000</v>
      </c>
      <c r="D11" s="131"/>
      <c r="E11" s="126">
        <f t="array" ref="E11">INDEX('T3.12 T3.5 Ft Bulkhead'!Innertable,MATCH($B11,MaterialData!$B$6:$B$11,0),MATCH(E$7,MaterialData!$C$4:$S$4,0))</f>
        <v>180000000</v>
      </c>
      <c r="F11" s="126" t="str">
        <f t="array" ref="F11">INDEX('T3.12 T3.5 Ft Bulkhead'!Innertable,MATCH($B11,MaterialData!$B$6:$B$11,0),MATCH(F$7,MaterialData!$C$4:$S$4,0))</f>
        <v>N/A</v>
      </c>
      <c r="G11" s="228"/>
      <c r="H11" s="34"/>
      <c r="I11" s="34"/>
      <c r="J11" s="283"/>
      <c r="K11" s="88" t="s">
        <v>533</v>
      </c>
      <c r="L11" s="602"/>
      <c r="M11" s="284"/>
      <c r="N11" s="597"/>
      <c r="O11" s="34"/>
      <c r="P11" s="225" t="s">
        <v>534</v>
      </c>
      <c r="Q11" s="131">
        <f>R6*R7</f>
        <v>0</v>
      </c>
      <c r="R11" s="225" t="s">
        <v>535</v>
      </c>
      <c r="S11" s="131">
        <f>(R6*R7^3)/12</f>
        <v>0</v>
      </c>
      <c r="T11" s="34"/>
      <c r="U11" s="227"/>
      <c r="V11" s="80"/>
      <c r="W11" s="227"/>
      <c r="X11" s="34"/>
      <c r="Y11" s="34"/>
      <c r="Z11" s="34"/>
      <c r="AA11" s="34"/>
    </row>
    <row r="12" spans="1:27" ht="12.75" customHeight="1">
      <c r="A12" s="34"/>
      <c r="B12" s="43" t="s">
        <v>230</v>
      </c>
      <c r="C12" s="288">
        <f t="array" ref="C12">INDEX('T3.12 T3.5 Ft Bulkhead'!Innertable,MATCH($B12,MaterialData!$B$6:$B$11,0),MATCH(C$7,MaterialData!$C$4:$P$4,0))</f>
        <v>300000000</v>
      </c>
      <c r="D12" s="131"/>
      <c r="E12" s="126">
        <f t="array" ref="E12">INDEX('T3.12 T3.5 Ft Bulkhead'!Innertable,MATCH($B12,MaterialData!$B$6:$B$11,0),MATCH(E$7,MaterialData!$C$4:$S$4,0))</f>
        <v>300000000</v>
      </c>
      <c r="F12" s="126" t="str">
        <f t="array" ref="F12">INDEX('T3.12 T3.5 Ft Bulkhead'!Innertable,MATCH($B12,MaterialData!$B$6:$B$11,0),MATCH(F$7,MaterialData!$C$4:$S$4,0))</f>
        <v>N/A</v>
      </c>
      <c r="G12" s="228"/>
      <c r="H12" s="34"/>
      <c r="I12" s="34"/>
      <c r="J12" s="289"/>
      <c r="K12" s="290"/>
      <c r="L12" s="291"/>
      <c r="M12" s="292"/>
      <c r="N12" s="597"/>
      <c r="O12" s="34"/>
      <c r="P12" s="225" t="s">
        <v>536</v>
      </c>
      <c r="Q12" s="34">
        <f>Q6/2</f>
        <v>0</v>
      </c>
      <c r="R12" s="225" t="s">
        <v>537</v>
      </c>
      <c r="S12" s="131" t="e">
        <f t="shared" ref="S12:S15" si="0">S8+(Q8*($Q$16-Q12)^2)</f>
        <v>#DIV/0!</v>
      </c>
      <c r="T12" s="34"/>
      <c r="U12" s="227"/>
      <c r="V12" s="80"/>
      <c r="W12" s="227"/>
      <c r="X12" s="34"/>
      <c r="Y12" s="34"/>
      <c r="Z12" s="34"/>
      <c r="AA12" s="34"/>
    </row>
    <row r="13" spans="1:27" ht="12.75" customHeight="1">
      <c r="A13" s="59"/>
      <c r="B13" s="58" t="s">
        <v>231</v>
      </c>
      <c r="C13" s="293">
        <f>MaterialData!C11</f>
        <v>219000000</v>
      </c>
      <c r="D13" s="59"/>
      <c r="E13" s="260"/>
      <c r="F13" s="278">
        <f t="array" ref="F13">INDEX('T3.12 T3.5 Ft Bulkhead'!Innertable,MATCH($B13,MaterialData!$B$6:$B$11,0),MATCH(F$7,MaterialData!$C$4:$S$4,0))</f>
        <v>0</v>
      </c>
      <c r="G13" s="260"/>
      <c r="H13" s="59"/>
      <c r="I13" s="59"/>
      <c r="J13" s="701" t="s">
        <v>538</v>
      </c>
      <c r="K13" s="595"/>
      <c r="L13" s="595"/>
      <c r="M13" s="595"/>
      <c r="N13" s="59"/>
      <c r="O13" s="59"/>
      <c r="P13" s="264" t="s">
        <v>539</v>
      </c>
      <c r="Q13" s="59">
        <f>(F24+F22+0.5*F23)/1000</f>
        <v>0</v>
      </c>
      <c r="R13" s="264" t="s">
        <v>540</v>
      </c>
      <c r="S13" s="279" t="e">
        <f t="shared" si="0"/>
        <v>#DIV/0!</v>
      </c>
      <c r="T13" s="59"/>
      <c r="U13" s="294"/>
      <c r="V13" s="295"/>
      <c r="W13" s="294"/>
      <c r="X13" s="59"/>
      <c r="Y13" s="59"/>
      <c r="Z13" s="59"/>
      <c r="AA13" s="59"/>
    </row>
    <row r="14" spans="1:27" ht="12.75" customHeight="1">
      <c r="A14" s="59"/>
      <c r="B14" s="59"/>
      <c r="C14" s="279"/>
      <c r="D14" s="59"/>
      <c r="E14" s="260"/>
      <c r="F14" s="279"/>
      <c r="G14" s="260"/>
      <c r="H14" s="59"/>
      <c r="I14" s="59"/>
      <c r="J14" s="59"/>
      <c r="K14" s="59"/>
      <c r="L14" s="279"/>
      <c r="M14" s="59"/>
      <c r="N14" s="59"/>
      <c r="O14" s="59"/>
      <c r="P14" s="264" t="s">
        <v>541</v>
      </c>
      <c r="Q14" s="59">
        <f>(F21*0.001)+(0.5*R7)</f>
        <v>1.2699999999999999E-2</v>
      </c>
      <c r="R14" s="264" t="s">
        <v>542</v>
      </c>
      <c r="S14" s="279" t="e">
        <f t="shared" si="0"/>
        <v>#DIV/0!</v>
      </c>
      <c r="T14" s="59"/>
      <c r="U14" s="59"/>
      <c r="V14" s="59"/>
      <c r="W14" s="59"/>
      <c r="X14" s="59"/>
      <c r="Y14" s="59"/>
      <c r="Z14" s="59"/>
      <c r="AA14" s="59"/>
    </row>
    <row r="15" spans="1:27" ht="12.75" customHeight="1">
      <c r="A15" s="59"/>
      <c r="B15" s="58" t="s">
        <v>543</v>
      </c>
      <c r="C15" s="59"/>
      <c r="D15" s="59"/>
      <c r="E15" s="271">
        <v>388</v>
      </c>
      <c r="F15" s="279"/>
      <c r="G15" s="260"/>
      <c r="H15" s="59"/>
      <c r="I15" s="59"/>
      <c r="J15" s="59"/>
      <c r="K15" s="264" t="s">
        <v>544</v>
      </c>
      <c r="L15" s="698">
        <v>400</v>
      </c>
      <c r="M15" s="587"/>
      <c r="N15" s="588"/>
      <c r="O15" s="59"/>
      <c r="P15" s="264" t="s">
        <v>545</v>
      </c>
      <c r="Q15" s="59">
        <f>Q14</f>
        <v>1.2699999999999999E-2</v>
      </c>
      <c r="R15" s="264" t="s">
        <v>546</v>
      </c>
      <c r="S15" s="279" t="e">
        <f t="shared" si="0"/>
        <v>#DIV/0!</v>
      </c>
      <c r="T15" s="59"/>
      <c r="U15" s="702" t="s">
        <v>547</v>
      </c>
      <c r="V15" s="598"/>
      <c r="W15" s="598"/>
      <c r="X15" s="702" t="s">
        <v>548</v>
      </c>
      <c r="Y15" s="598"/>
      <c r="Z15" s="598"/>
      <c r="AA15" s="59"/>
    </row>
    <row r="16" spans="1:27" ht="12.75" customHeight="1">
      <c r="A16" s="59"/>
      <c r="B16" s="58" t="s">
        <v>549</v>
      </c>
      <c r="C16" s="59"/>
      <c r="D16" s="59"/>
      <c r="E16" s="271">
        <v>388</v>
      </c>
      <c r="F16" s="279"/>
      <c r="G16" s="260"/>
      <c r="H16" s="59"/>
      <c r="I16" s="59"/>
      <c r="J16" s="59"/>
      <c r="K16" s="264" t="s">
        <v>550</v>
      </c>
      <c r="L16" s="698">
        <v>350</v>
      </c>
      <c r="M16" s="587"/>
      <c r="N16" s="588"/>
      <c r="O16" s="59"/>
      <c r="P16" s="264" t="s">
        <v>477</v>
      </c>
      <c r="Q16" s="296" t="e">
        <f>(Q8*Q12+Q9*Q13+Q10*Q14+Q11*Q15)/(Q8+Q9+Q10+Q11)</f>
        <v>#DIV/0!</v>
      </c>
      <c r="R16" s="59"/>
      <c r="S16" s="59"/>
      <c r="T16" s="59"/>
      <c r="U16" s="59"/>
      <c r="V16" s="59"/>
      <c r="W16" s="59"/>
      <c r="X16" s="59"/>
      <c r="Y16" s="59"/>
      <c r="Z16" s="59"/>
      <c r="AA16" s="59"/>
    </row>
    <row r="17" spans="1:27" ht="12.75" customHeight="1">
      <c r="A17" s="59"/>
      <c r="B17" s="230" t="s">
        <v>479</v>
      </c>
      <c r="C17" s="259">
        <v>2</v>
      </c>
      <c r="D17" s="59"/>
      <c r="E17" s="271">
        <v>2.5</v>
      </c>
      <c r="F17" s="59"/>
      <c r="G17" s="260"/>
      <c r="H17" s="59"/>
      <c r="I17" s="59"/>
      <c r="J17" s="59"/>
      <c r="K17" s="264" t="s">
        <v>551</v>
      </c>
      <c r="L17" s="698">
        <v>350</v>
      </c>
      <c r="M17" s="587"/>
      <c r="N17" s="588"/>
      <c r="O17" s="59"/>
      <c r="P17" s="59"/>
      <c r="Q17" s="59"/>
      <c r="R17" s="264" t="s">
        <v>552</v>
      </c>
      <c r="S17" s="293" t="e">
        <f>SUM(S12:S13)</f>
        <v>#DIV/0!</v>
      </c>
      <c r="T17" s="59"/>
      <c r="U17" s="59"/>
      <c r="V17" s="59"/>
      <c r="W17" s="59"/>
      <c r="X17" s="59"/>
      <c r="Y17" s="59"/>
      <c r="Z17" s="59"/>
      <c r="AA17" s="59"/>
    </row>
    <row r="18" spans="1:27" ht="12.75" customHeight="1">
      <c r="A18" s="59"/>
      <c r="B18" s="58" t="s">
        <v>442</v>
      </c>
      <c r="C18" s="297">
        <v>25.4</v>
      </c>
      <c r="D18" s="59"/>
      <c r="E18" s="271">
        <v>28</v>
      </c>
      <c r="F18" s="59"/>
      <c r="G18" s="260"/>
      <c r="H18" s="59"/>
      <c r="I18" s="59"/>
      <c r="J18" s="59"/>
      <c r="K18" s="264" t="s">
        <v>553</v>
      </c>
      <c r="L18" s="698">
        <v>200</v>
      </c>
      <c r="M18" s="587"/>
      <c r="N18" s="588"/>
      <c r="O18" s="59"/>
      <c r="P18" s="59"/>
      <c r="Q18" s="59"/>
      <c r="R18" s="264" t="s">
        <v>554</v>
      </c>
      <c r="S18" s="293" t="e">
        <f>SUM(S14:S15)</f>
        <v>#DIV/0!</v>
      </c>
      <c r="T18" s="59"/>
      <c r="U18" s="59"/>
      <c r="V18" s="59"/>
      <c r="W18" s="59"/>
      <c r="X18" s="59"/>
      <c r="Y18" s="59"/>
      <c r="Z18" s="59"/>
      <c r="AA18" s="59"/>
    </row>
    <row r="19" spans="1:27" ht="12.75" customHeight="1">
      <c r="A19" s="59"/>
      <c r="B19" s="58" t="s">
        <v>443</v>
      </c>
      <c r="C19" s="259">
        <v>1.6</v>
      </c>
      <c r="D19" s="59"/>
      <c r="E19" s="271">
        <v>1.5</v>
      </c>
      <c r="F19" s="59"/>
      <c r="G19" s="260"/>
      <c r="H19" s="59"/>
      <c r="I19" s="59"/>
      <c r="J19" s="298"/>
      <c r="K19" s="298"/>
      <c r="L19" s="298"/>
      <c r="M19" s="298"/>
      <c r="N19" s="298"/>
      <c r="O19" s="59"/>
      <c r="P19" s="59"/>
      <c r="Q19" s="59"/>
      <c r="R19" s="264" t="s">
        <v>555</v>
      </c>
      <c r="S19" s="293">
        <f>'T3.13 T3.5 FBH Spt Structure'!I8</f>
        <v>0</v>
      </c>
      <c r="T19" s="59"/>
      <c r="U19" s="59"/>
      <c r="V19" s="59"/>
      <c r="W19" s="59"/>
      <c r="X19" s="59"/>
      <c r="Y19" s="59"/>
      <c r="Z19" s="59"/>
      <c r="AA19" s="59"/>
    </row>
    <row r="20" spans="1:27" ht="12.75" customHeight="1">
      <c r="A20" s="59"/>
      <c r="B20" s="59"/>
      <c r="C20" s="59"/>
      <c r="D20" s="59"/>
      <c r="E20" s="260"/>
      <c r="F20" s="59"/>
      <c r="G20" s="260"/>
      <c r="H20" s="59"/>
      <c r="I20" s="59"/>
      <c r="J20" s="59"/>
      <c r="K20" s="59"/>
      <c r="L20" s="59"/>
      <c r="M20" s="59"/>
      <c r="N20" s="59"/>
      <c r="O20" s="59"/>
      <c r="P20" s="59"/>
      <c r="Q20" s="59"/>
      <c r="R20" s="59"/>
      <c r="S20" s="59"/>
      <c r="T20" s="59"/>
      <c r="U20" s="59"/>
      <c r="V20" s="59"/>
      <c r="W20" s="59"/>
      <c r="X20" s="59"/>
      <c r="Y20" s="59"/>
      <c r="Z20" s="59"/>
      <c r="AA20" s="59"/>
    </row>
    <row r="21" spans="1:27" ht="12.75" customHeight="1">
      <c r="A21" s="59"/>
      <c r="B21" s="58" t="s">
        <v>480</v>
      </c>
      <c r="C21" s="59"/>
      <c r="D21" s="59"/>
      <c r="E21" s="260"/>
      <c r="F21" s="299">
        <f>F22+F23+F24</f>
        <v>0</v>
      </c>
      <c r="G21" s="260"/>
      <c r="H21" s="59"/>
      <c r="I21" s="59"/>
      <c r="J21" s="59"/>
      <c r="K21" s="59"/>
      <c r="L21" s="59"/>
      <c r="M21" s="59"/>
      <c r="N21" s="59"/>
      <c r="O21" s="59"/>
      <c r="P21" s="59"/>
      <c r="Q21" s="59"/>
      <c r="R21" s="59"/>
      <c r="S21" s="59"/>
      <c r="T21" s="59"/>
      <c r="U21" s="59"/>
      <c r="V21" s="59"/>
      <c r="W21" s="59"/>
      <c r="X21" s="59"/>
      <c r="Y21" s="59"/>
      <c r="Z21" s="59"/>
      <c r="AA21" s="59"/>
    </row>
    <row r="22" spans="1:27" ht="12.75" customHeight="1">
      <c r="A22" s="59"/>
      <c r="B22" s="58" t="s">
        <v>481</v>
      </c>
      <c r="C22" s="59"/>
      <c r="D22" s="59"/>
      <c r="E22" s="260"/>
      <c r="F22" s="300"/>
      <c r="G22" s="260"/>
      <c r="H22" s="59"/>
      <c r="I22" s="59"/>
      <c r="J22" s="59"/>
      <c r="K22" s="59"/>
      <c r="L22" s="59"/>
      <c r="M22" s="59"/>
      <c r="N22" s="59"/>
      <c r="O22" s="59"/>
      <c r="P22" s="59"/>
      <c r="Q22" s="59"/>
      <c r="R22" s="59"/>
      <c r="S22" s="59"/>
      <c r="T22" s="59"/>
      <c r="U22" s="59"/>
      <c r="V22" s="59"/>
      <c r="W22" s="59"/>
      <c r="X22" s="59"/>
      <c r="Y22" s="59"/>
      <c r="Z22" s="59"/>
      <c r="AA22" s="59"/>
    </row>
    <row r="23" spans="1:27" ht="12.75" customHeight="1">
      <c r="A23" s="59"/>
      <c r="B23" s="58" t="s">
        <v>482</v>
      </c>
      <c r="C23" s="59"/>
      <c r="D23" s="59"/>
      <c r="E23" s="260"/>
      <c r="F23" s="233"/>
      <c r="G23" s="227"/>
      <c r="I23" s="23" t="str">
        <f>IF(AND(F23&lt;0.4*F24,F23&lt;1),"Asymmetrical lay-up: skin too thin in comparison, see T3.4.4.","")</f>
        <v/>
      </c>
      <c r="J23" s="59"/>
      <c r="K23" s="59"/>
      <c r="L23" s="59"/>
      <c r="M23" s="59"/>
      <c r="N23" s="59"/>
      <c r="O23" s="59"/>
      <c r="P23" s="59"/>
      <c r="Q23" s="59"/>
      <c r="R23" s="59"/>
      <c r="S23" s="59"/>
      <c r="T23" s="59"/>
      <c r="U23" s="59"/>
      <c r="V23" s="59"/>
      <c r="W23" s="59"/>
      <c r="X23" s="59"/>
      <c r="Y23" s="59"/>
      <c r="Z23" s="59"/>
      <c r="AA23" s="59"/>
    </row>
    <row r="24" spans="1:27" ht="12.75" customHeight="1">
      <c r="A24" s="59"/>
      <c r="B24" s="58" t="s">
        <v>483</v>
      </c>
      <c r="C24" s="59"/>
      <c r="D24" s="59"/>
      <c r="E24" s="260"/>
      <c r="F24" s="233"/>
      <c r="G24" s="227"/>
      <c r="I24" s="23" t="str">
        <f>IF(AND(F24&lt;0.4*F23,F24&lt;1),"Asymmetrical lay-up: skin too thin in comparison, see T3.4.4.","")</f>
        <v/>
      </c>
      <c r="J24" s="59"/>
      <c r="K24" s="59"/>
      <c r="L24" s="59"/>
      <c r="M24" s="59"/>
      <c r="N24" s="59"/>
      <c r="O24" s="59"/>
      <c r="P24" s="258"/>
      <c r="Q24" s="301"/>
      <c r="R24" s="301"/>
      <c r="S24" s="59"/>
      <c r="T24" s="59"/>
      <c r="U24" s="59"/>
      <c r="V24" s="59"/>
      <c r="W24" s="59"/>
      <c r="X24" s="59"/>
      <c r="Y24" s="59"/>
      <c r="Z24" s="59"/>
      <c r="AA24" s="59"/>
    </row>
    <row r="25" spans="1:27" ht="12.75" customHeight="1">
      <c r="A25" s="59"/>
      <c r="B25" s="58" t="s">
        <v>484</v>
      </c>
      <c r="C25" s="59"/>
      <c r="D25" s="59"/>
      <c r="E25" s="260"/>
      <c r="F25" s="299">
        <f>MIN(L15-L17,L16-L18)</f>
        <v>50</v>
      </c>
      <c r="G25" s="260"/>
      <c r="H25" s="59"/>
      <c r="I25" s="59"/>
      <c r="J25" s="59"/>
      <c r="K25" s="59"/>
      <c r="L25" s="59"/>
      <c r="M25" s="59"/>
      <c r="N25" s="59"/>
      <c r="O25" s="59"/>
      <c r="P25" s="264"/>
      <c r="Q25" s="59"/>
      <c r="R25" s="264"/>
      <c r="S25" s="59"/>
      <c r="T25" s="59"/>
      <c r="U25" s="59"/>
      <c r="V25" s="59"/>
      <c r="W25" s="59"/>
      <c r="X25" s="59"/>
      <c r="Y25" s="59"/>
      <c r="Z25" s="59"/>
      <c r="AA25" s="59"/>
    </row>
    <row r="26" spans="1:27" ht="12.75" customHeight="1">
      <c r="A26" s="34"/>
      <c r="B26" s="34"/>
      <c r="C26" s="34"/>
      <c r="D26" s="34"/>
      <c r="E26" s="234"/>
      <c r="F26" s="34"/>
      <c r="G26" s="227"/>
      <c r="H26" s="34"/>
      <c r="I26" s="34"/>
      <c r="J26" s="34"/>
      <c r="K26" s="34"/>
      <c r="L26" s="34"/>
      <c r="M26" s="34"/>
      <c r="N26" s="34"/>
      <c r="O26" s="34"/>
      <c r="P26" s="225"/>
      <c r="Q26" s="34"/>
      <c r="R26" s="225"/>
      <c r="S26" s="34"/>
      <c r="T26" s="34"/>
      <c r="U26" s="34"/>
      <c r="V26" s="34"/>
      <c r="W26" s="34"/>
      <c r="X26" s="34"/>
      <c r="Y26" s="34"/>
      <c r="Z26" s="34"/>
      <c r="AA26" s="34"/>
    </row>
    <row r="27" spans="1:27" ht="12.75" customHeight="1">
      <c r="A27" s="34"/>
      <c r="B27" s="43" t="s">
        <v>444</v>
      </c>
      <c r="C27" s="109">
        <f t="shared" ref="C27:C28" si="1">C18/1000</f>
        <v>2.5399999999999999E-2</v>
      </c>
      <c r="D27" s="34"/>
      <c r="E27" s="109">
        <f>IF($F$2="Composite only","No tubes",$E$18/1000)</f>
        <v>2.8000000000000001E-2</v>
      </c>
      <c r="F27" s="34"/>
      <c r="G27" s="227"/>
      <c r="H27" s="34"/>
      <c r="I27" s="34"/>
      <c r="J27" s="34"/>
      <c r="K27" s="34"/>
      <c r="L27" s="34"/>
      <c r="M27" s="34"/>
      <c r="N27" s="34"/>
      <c r="O27" s="34"/>
      <c r="P27" s="34"/>
      <c r="Q27" s="34"/>
      <c r="R27" s="34"/>
      <c r="S27" s="34"/>
      <c r="T27" s="34"/>
      <c r="U27" s="34"/>
      <c r="V27" s="34"/>
      <c r="W27" s="34"/>
      <c r="X27" s="34"/>
      <c r="Y27" s="34"/>
      <c r="Z27" s="34"/>
      <c r="AA27" s="34"/>
    </row>
    <row r="28" spans="1:27" ht="12.75" customHeight="1">
      <c r="A28" s="34"/>
      <c r="B28" s="43" t="s">
        <v>445</v>
      </c>
      <c r="C28" s="109">
        <f t="shared" si="1"/>
        <v>1.6000000000000001E-3</v>
      </c>
      <c r="D28" s="34"/>
      <c r="E28" s="109">
        <f>IF($F$2="Composite only","",$E$19/1000)</f>
        <v>1.5E-3</v>
      </c>
      <c r="F28" s="34"/>
      <c r="G28" s="234"/>
      <c r="H28" s="34"/>
      <c r="I28" s="34"/>
      <c r="J28" s="34"/>
      <c r="K28" s="34"/>
      <c r="L28" s="34"/>
      <c r="M28" s="34"/>
      <c r="N28" s="34"/>
      <c r="O28" s="34"/>
      <c r="P28" s="225"/>
      <c r="Q28" s="131"/>
      <c r="R28" s="225"/>
      <c r="S28" s="131"/>
      <c r="T28" s="34"/>
      <c r="U28" s="34"/>
      <c r="V28" s="34"/>
      <c r="W28" s="34"/>
      <c r="X28" s="34"/>
      <c r="Y28" s="34"/>
      <c r="Z28" s="34"/>
      <c r="AA28" s="34"/>
    </row>
    <row r="29" spans="1:27" ht="12.75" customHeight="1">
      <c r="A29" s="34"/>
      <c r="B29" s="43" t="s">
        <v>446</v>
      </c>
      <c r="C29" s="126">
        <f>IF(C6="Round",((C27)^4-((C27-2*C28))^4)*3.142/64,((C27)^4-((C27-2*C28))^4)/12)</f>
        <v>8.5099184800000022E-9</v>
      </c>
      <c r="D29" s="34"/>
      <c r="E29" s="126">
        <f>IF($F$2="Composite only","",IF($E$6="Round",(($E$27)^4-(($E$27-2*$E$28))^4)*3.142/64,IF($E$6="Square",(($E$27)^4-(($E$27-2*$E$28))^4)/12,"")))</f>
        <v>1.0998521906249999E-8</v>
      </c>
      <c r="F29" s="235" t="str">
        <f>IF($F$2="Tubing only","Tubing Only",2*(S17+S18))</f>
        <v>Tubing Only</v>
      </c>
      <c r="G29" s="126">
        <f t="shared" ref="G29:G36" si="2">IF($F$2="Tubing only",E29,IF($F$2="Composite only",F29,IF($F$2="Tubes + Composite",E29+F29,"No Type Selected")))</f>
        <v>1.0998521906249999E-8</v>
      </c>
      <c r="H29" s="34"/>
      <c r="I29" s="34"/>
      <c r="J29" s="34"/>
      <c r="K29" s="34"/>
      <c r="L29" s="34"/>
      <c r="M29" s="34"/>
      <c r="N29" s="34"/>
      <c r="O29" s="34"/>
      <c r="P29" s="225"/>
      <c r="Q29" s="131"/>
      <c r="R29" s="225"/>
      <c r="S29" s="131"/>
      <c r="T29" s="34"/>
      <c r="U29" s="34"/>
      <c r="V29" s="34"/>
      <c r="W29" s="34"/>
      <c r="X29" s="34"/>
      <c r="Y29" s="34"/>
      <c r="Z29" s="34"/>
      <c r="AA29" s="34"/>
    </row>
    <row r="30" spans="1:27" ht="12.75" customHeight="1">
      <c r="A30" s="34"/>
      <c r="B30" s="43" t="s">
        <v>447</v>
      </c>
      <c r="C30" s="126">
        <f>C8*C29*C17</f>
        <v>3403.9673920000009</v>
      </c>
      <c r="D30" s="131"/>
      <c r="E30" s="126">
        <f>IF($F$2="Composite only","",$E$8*$E$29*$E$17)</f>
        <v>5499.2609531249991</v>
      </c>
      <c r="F30" s="235" t="str">
        <f>IF(F29="Tubing Only","",2*((F8*S17)+(S18*S19)))</f>
        <v/>
      </c>
      <c r="G30" s="126">
        <f t="shared" si="2"/>
        <v>5499.2609531249991</v>
      </c>
      <c r="H30" s="44">
        <f>100*G30/C30</f>
        <v>161.5544545476362</v>
      </c>
      <c r="I30" s="34"/>
      <c r="J30" s="34"/>
      <c r="K30" s="34"/>
      <c r="L30" s="34"/>
      <c r="M30" s="34"/>
      <c r="N30" s="34"/>
      <c r="O30" s="34"/>
      <c r="P30" s="34"/>
      <c r="Q30" s="34"/>
      <c r="R30" s="225"/>
      <c r="S30" s="131"/>
      <c r="T30" s="34"/>
      <c r="U30" s="34"/>
      <c r="V30" s="34"/>
      <c r="W30" s="34"/>
      <c r="X30" s="34"/>
      <c r="Y30" s="34"/>
      <c r="Z30" s="34"/>
      <c r="AA30" s="34"/>
    </row>
    <row r="31" spans="1:27" ht="12.75" customHeight="1">
      <c r="A31" s="34"/>
      <c r="B31" s="43" t="s">
        <v>448</v>
      </c>
      <c r="C31" s="216">
        <f>IF(C27="no tubes","",IF(C17=0,"",IF(C6="Round",C17*((C18^2-(C18-2*C19)^2)*PI()/4),IF(C6="Square",C17*(C18^2-(C18-2*C19)^2),""))))</f>
        <v>239.26369649739863</v>
      </c>
      <c r="D31" s="236"/>
      <c r="E31" s="216">
        <f>IF($E$27="no tubes","",IF($E$17=0,"",IF($E$6="Round",$E$17*(($E$18^2-($E$18-2*$E$19)^2)*PI()/4),IF($E$6="Square",$E$17*($E$18^2-($E$18-2*$E$19)^2),""))))</f>
        <v>312.19576995048567</v>
      </c>
      <c r="F31" s="216" t="str">
        <f>IF(F29="Tubing Only","",(F21-F22)*F25)</f>
        <v/>
      </c>
      <c r="G31" s="216">
        <f t="shared" si="2"/>
        <v>312.19576995048567</v>
      </c>
      <c r="H31" s="44">
        <f>IF(AND(F2="tubing only",E5="steel"),100*G31/C31,"NA")</f>
        <v>130.48188025210084</v>
      </c>
      <c r="I31" s="34" t="str">
        <f t="shared" ref="I31:I35" si="3">IF(AND(95&lt;H31,H31&lt;100),"For tubes only, provided your actual tube measures &gt;= your nominal OD and wall this is OK","")</f>
        <v/>
      </c>
      <c r="J31" s="34"/>
      <c r="K31" s="34"/>
      <c r="L31" s="34"/>
      <c r="M31" s="34"/>
      <c r="N31" s="34"/>
      <c r="O31" s="34"/>
      <c r="P31" s="34"/>
      <c r="Q31" s="34"/>
      <c r="R31" s="225"/>
      <c r="S31" s="131"/>
      <c r="T31" s="34"/>
      <c r="U31" s="34"/>
      <c r="V31" s="34"/>
      <c r="W31" s="34"/>
      <c r="X31" s="34"/>
      <c r="Y31" s="34"/>
      <c r="Z31" s="34"/>
      <c r="AA31" s="34"/>
    </row>
    <row r="32" spans="1:27" ht="12.75" customHeight="1">
      <c r="A32" s="34"/>
      <c r="B32" s="43" t="s">
        <v>449</v>
      </c>
      <c r="C32" s="126">
        <f t="shared" ref="C32:C34" si="4">C$31*C9/1000000</f>
        <v>72975.427431706587</v>
      </c>
      <c r="D32" s="131"/>
      <c r="E32" s="126">
        <f>IF($F$2="Composite only","",$E$31*$E$9/1000000)</f>
        <v>95219.709834898138</v>
      </c>
      <c r="F32" s="126" t="str">
        <f>IF(F29="Tubing Only","",F31*F9/1000000)</f>
        <v/>
      </c>
      <c r="G32" s="126">
        <f t="shared" si="2"/>
        <v>95219.709834898138</v>
      </c>
      <c r="H32" s="44">
        <f t="shared" ref="H32:H38" si="5">100*G32/C32</f>
        <v>130.48188025210084</v>
      </c>
      <c r="I32" s="34" t="str">
        <f t="shared" si="3"/>
        <v/>
      </c>
      <c r="J32" s="34"/>
      <c r="K32" s="34"/>
      <c r="L32" s="34"/>
      <c r="M32" s="34"/>
      <c r="N32" s="34"/>
      <c r="O32" s="34"/>
      <c r="P32" s="34"/>
      <c r="Q32" s="229"/>
      <c r="R32" s="225"/>
      <c r="S32" s="131"/>
      <c r="T32" s="34"/>
      <c r="U32" s="34"/>
      <c r="V32" s="34"/>
      <c r="W32" s="34"/>
      <c r="X32" s="34"/>
      <c r="Y32" s="34"/>
      <c r="Z32" s="34"/>
      <c r="AA32" s="34"/>
    </row>
    <row r="33" spans="1:27" ht="12.75" customHeight="1">
      <c r="A33" s="34"/>
      <c r="B33" s="43" t="s">
        <v>450</v>
      </c>
      <c r="C33" s="126">
        <f t="shared" si="4"/>
        <v>87331.24922155049</v>
      </c>
      <c r="D33" s="131"/>
      <c r="E33" s="126">
        <f>IF($F$2="Composite only","",$E$31*$E$10/1000000)</f>
        <v>113951.45603192727</v>
      </c>
      <c r="F33" s="126" t="str">
        <f>IF(F29="Tubing Only","",F31*F10/1000000)</f>
        <v/>
      </c>
      <c r="G33" s="126">
        <f t="shared" si="2"/>
        <v>113951.45603192727</v>
      </c>
      <c r="H33" s="44">
        <f t="shared" si="5"/>
        <v>130.48188025210086</v>
      </c>
      <c r="I33" s="34" t="str">
        <f t="shared" si="3"/>
        <v/>
      </c>
      <c r="J33" s="34"/>
      <c r="K33" s="34"/>
      <c r="L33" s="34"/>
      <c r="M33" s="34"/>
      <c r="N33" s="34"/>
      <c r="O33" s="34"/>
      <c r="P33" s="34"/>
      <c r="Q33" s="34"/>
      <c r="R33" s="34"/>
      <c r="S33" s="34"/>
      <c r="T33" s="34"/>
      <c r="U33" s="34"/>
      <c r="V33" s="34"/>
      <c r="W33" s="34"/>
      <c r="X33" s="34"/>
      <c r="Y33" s="34"/>
      <c r="Z33" s="34"/>
      <c r="AA33" s="34"/>
    </row>
    <row r="34" spans="1:27" ht="12.75" customHeight="1">
      <c r="A34" s="34"/>
      <c r="B34" s="43" t="s">
        <v>451</v>
      </c>
      <c r="C34" s="126">
        <f t="shared" si="4"/>
        <v>43067.465369531754</v>
      </c>
      <c r="D34" s="131"/>
      <c r="E34" s="126">
        <f>IF($F$2="Composite only","",$E$31*$E$11/1000000)</f>
        <v>56195.238591087415</v>
      </c>
      <c r="F34" s="126" t="str">
        <f>IF(F29="Tubing Only","",F31*F9/1000000)</f>
        <v/>
      </c>
      <c r="G34" s="126">
        <f t="shared" si="2"/>
        <v>56195.238591087415</v>
      </c>
      <c r="H34" s="44">
        <f t="shared" si="5"/>
        <v>130.48188025210084</v>
      </c>
      <c r="I34" s="34" t="str">
        <f t="shared" si="3"/>
        <v/>
      </c>
      <c r="J34" s="34"/>
      <c r="K34" s="34"/>
      <c r="L34" s="34"/>
      <c r="M34" s="34"/>
      <c r="N34" s="34"/>
      <c r="O34" s="34"/>
      <c r="P34" s="34"/>
      <c r="Q34" s="34"/>
      <c r="R34" s="34"/>
      <c r="S34" s="34"/>
      <c r="T34" s="34"/>
      <c r="U34" s="34"/>
      <c r="V34" s="34"/>
      <c r="W34" s="34"/>
      <c r="X34" s="34"/>
      <c r="Y34" s="34"/>
      <c r="Z34" s="34"/>
      <c r="AA34" s="34"/>
    </row>
    <row r="35" spans="1:27" ht="12.75" customHeight="1">
      <c r="A35" s="34"/>
      <c r="B35" s="43" t="s">
        <v>452</v>
      </c>
      <c r="C35" s="126">
        <f>IF(C17=0,"",C$31*C12/1000000)</f>
        <v>71779.10894921959</v>
      </c>
      <c r="D35" s="131"/>
      <c r="E35" s="126">
        <f>IF($F$2="Composite only","",$E$31*$E$12/1000000)</f>
        <v>93658.73098514571</v>
      </c>
      <c r="F35" s="126" t="str">
        <f>IF(F29="tubing only","",F31*F10/1000000)</f>
        <v/>
      </c>
      <c r="G35" s="126">
        <f t="shared" si="2"/>
        <v>93658.73098514571</v>
      </c>
      <c r="H35" s="44">
        <f t="shared" si="5"/>
        <v>130.48188025210086</v>
      </c>
      <c r="I35" s="34" t="str">
        <f t="shared" si="3"/>
        <v/>
      </c>
      <c r="J35" s="34"/>
      <c r="K35" s="34"/>
      <c r="L35" s="34"/>
      <c r="M35" s="34"/>
      <c r="N35" s="34"/>
      <c r="O35" s="34"/>
      <c r="P35" s="34"/>
      <c r="Q35" s="34"/>
      <c r="R35" s="34"/>
      <c r="S35" s="34"/>
      <c r="T35" s="34"/>
      <c r="U35" s="34"/>
      <c r="V35" s="34"/>
      <c r="W35" s="34"/>
      <c r="X35" s="34"/>
      <c r="Y35" s="34"/>
      <c r="Z35" s="34"/>
      <c r="AA35" s="34"/>
    </row>
    <row r="36" spans="1:27" ht="12.75" customHeight="1">
      <c r="A36" s="34"/>
      <c r="B36" s="43" t="s">
        <v>453</v>
      </c>
      <c r="C36" s="126">
        <f>C17*4*C10*C29/(0.5*C27*1)</f>
        <v>1956.6111780787407</v>
      </c>
      <c r="D36" s="34"/>
      <c r="E36" s="126">
        <f>IF($F$2="Composite only","",$E$17*4*$E$10*$E$29/(0.5*$E$27*1))</f>
        <v>2867.4717827008926</v>
      </c>
      <c r="F36" s="126" t="str">
        <f>IF(F29="tubing only","",4*F10*F29/(0.001*0.5*F21*1))</f>
        <v/>
      </c>
      <c r="G36" s="126">
        <f t="shared" si="2"/>
        <v>2867.4717827008926</v>
      </c>
      <c r="H36" s="44">
        <f t="shared" si="5"/>
        <v>146.55296948249858</v>
      </c>
      <c r="I36" s="34"/>
      <c r="J36" s="34"/>
      <c r="K36" s="34"/>
      <c r="L36" s="34"/>
      <c r="M36" s="34"/>
      <c r="N36" s="34"/>
      <c r="O36" s="34"/>
      <c r="P36" s="34"/>
      <c r="Q36" s="34"/>
      <c r="R36" s="34"/>
      <c r="S36" s="34"/>
      <c r="T36" s="34"/>
      <c r="U36" s="34"/>
      <c r="V36" s="34"/>
      <c r="W36" s="34"/>
      <c r="X36" s="34"/>
      <c r="Y36" s="34"/>
      <c r="Z36" s="34"/>
      <c r="AA36" s="34"/>
    </row>
    <row r="37" spans="1:27" ht="12.75" customHeight="1">
      <c r="A37" s="34"/>
      <c r="B37" s="43" t="s">
        <v>454</v>
      </c>
      <c r="C37" s="126">
        <f>IF(C17=0,"",C36*1^3/(48*C30))</f>
        <v>1.1975065616797899E-2</v>
      </c>
      <c r="D37" s="34"/>
      <c r="E37" s="126">
        <f>IF($F$2="tubing only",$C$36*1^3/(48*$E$30),"")</f>
        <v>7.4124019980315141E-3</v>
      </c>
      <c r="F37" s="126" t="str">
        <f>IF($F$2="tubing only","",$C$36*1^3/(48*F30))</f>
        <v/>
      </c>
      <c r="G37" s="126">
        <f>$C$36*1^3/(48*G30)</f>
        <v>7.4124019980315141E-3</v>
      </c>
      <c r="H37" s="44">
        <f t="shared" si="5"/>
        <v>61.898633671233029</v>
      </c>
      <c r="I37" s="34"/>
      <c r="J37" s="34"/>
      <c r="K37" s="34"/>
      <c r="L37" s="34"/>
      <c r="M37" s="34"/>
      <c r="N37" s="34"/>
      <c r="O37" s="34"/>
      <c r="P37" s="34"/>
      <c r="Q37" s="34"/>
      <c r="R37" s="34"/>
      <c r="S37" s="34"/>
      <c r="T37" s="34"/>
      <c r="U37" s="34"/>
      <c r="V37" s="34"/>
      <c r="W37" s="34"/>
      <c r="X37" s="34"/>
      <c r="Y37" s="34"/>
      <c r="Z37" s="34"/>
      <c r="AA37" s="34"/>
    </row>
    <row r="38" spans="1:27" ht="12.75" customHeight="1">
      <c r="A38" s="34"/>
      <c r="B38" s="43" t="s">
        <v>455</v>
      </c>
      <c r="C38" s="126">
        <f>0.5*C36*(C36*1^3/(48*C30))</f>
        <v>11.715273622026579</v>
      </c>
      <c r="D38" s="228"/>
      <c r="E38" s="126">
        <f>IF($E$27="no tubes","",0.5*$E$36*($E$36*1^3/(48*$E$30)))</f>
        <v>15.574809534015264</v>
      </c>
      <c r="F38" s="126" t="str">
        <f>IF(F29="tubing only","",0.5*F36*(F36*1^3/(48*F30)))</f>
        <v/>
      </c>
      <c r="G38" s="126">
        <f>IF($F$2="Tubing only",E38,IF($F$2="Composite only",F38,IF($F$2="Tubes + Composite",E38+F38,"No Type Selected")))</f>
        <v>15.574809534015264</v>
      </c>
      <c r="H38" s="44">
        <f t="shared" si="5"/>
        <v>132.94447945912373</v>
      </c>
      <c r="I38" s="34"/>
      <c r="J38" s="34"/>
      <c r="K38" s="34"/>
      <c r="L38" s="34"/>
      <c r="M38" s="34"/>
      <c r="N38" s="34"/>
      <c r="O38" s="34"/>
      <c r="P38" s="34"/>
      <c r="Q38" s="34"/>
      <c r="R38" s="34"/>
      <c r="S38" s="34"/>
      <c r="T38" s="34"/>
      <c r="U38" s="34"/>
      <c r="V38" s="34"/>
      <c r="W38" s="34"/>
      <c r="X38" s="34"/>
      <c r="Y38" s="34"/>
      <c r="Z38" s="34"/>
      <c r="AA38" s="34"/>
    </row>
    <row r="39" spans="1:27" ht="12.75" customHeight="1">
      <c r="A39" s="34"/>
      <c r="B39" s="43" t="s">
        <v>556</v>
      </c>
      <c r="C39" s="126">
        <f>(L15+L16)*0.002*0.0015*C13</f>
        <v>492750.00000000006</v>
      </c>
      <c r="D39" s="131"/>
      <c r="E39" s="302" t="s">
        <v>129</v>
      </c>
      <c r="F39" s="126" t="str">
        <f>IF(F29="tubing only","",(L15+L16)*0.002*(F24/1000)*F13)</f>
        <v/>
      </c>
      <c r="G39" s="302" t="str">
        <f>IF(F2="tubing only","N/A",F39)</f>
        <v>N/A</v>
      </c>
      <c r="H39" s="303" t="str">
        <f>IF(F2="tubing only","NA",100*G39/C39)</f>
        <v>NA</v>
      </c>
      <c r="I39" s="34"/>
      <c r="J39" s="34"/>
      <c r="K39" s="39" t="s">
        <v>252</v>
      </c>
      <c r="L39" s="34"/>
      <c r="M39" s="34"/>
      <c r="N39" s="34"/>
      <c r="O39" s="34"/>
      <c r="P39" s="34"/>
      <c r="Q39" s="39"/>
      <c r="R39" s="39"/>
      <c r="S39" s="39"/>
      <c r="T39" s="34"/>
      <c r="U39" s="34"/>
      <c r="V39" s="34"/>
      <c r="W39" s="34"/>
      <c r="X39" s="34"/>
      <c r="Y39" s="34"/>
      <c r="Z39" s="34"/>
      <c r="AA39" s="34"/>
    </row>
    <row r="40" spans="1:27" ht="12.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row>
    <row r="41" spans="1:27" ht="12.75" customHeight="1">
      <c r="A41" s="34"/>
      <c r="B41" s="31" t="s">
        <v>557</v>
      </c>
      <c r="C41" s="34"/>
      <c r="D41" s="34"/>
      <c r="E41" s="131"/>
      <c r="F41" s="34"/>
      <c r="G41" s="34"/>
      <c r="H41" s="34"/>
      <c r="I41" s="34"/>
      <c r="J41" s="34"/>
      <c r="K41" s="34"/>
      <c r="L41" s="34"/>
      <c r="M41" s="34"/>
      <c r="N41" s="34"/>
      <c r="O41" s="34"/>
      <c r="P41" s="34"/>
      <c r="Q41" s="34"/>
      <c r="R41" s="34"/>
      <c r="S41" s="34"/>
      <c r="T41" s="34"/>
      <c r="U41" s="34"/>
      <c r="V41" s="34"/>
      <c r="W41" s="34"/>
      <c r="X41" s="34"/>
      <c r="Y41" s="34"/>
      <c r="Z41" s="34"/>
      <c r="AA41" s="34"/>
    </row>
    <row r="42" spans="1:27" ht="12.75" customHeight="1">
      <c r="A42" s="34"/>
      <c r="B42" s="142"/>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4"/>
      <c r="AA42" s="34"/>
    </row>
    <row r="43" spans="1:27"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96"/>
      <c r="AA43" s="34"/>
    </row>
    <row r="44" spans="1:27"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96"/>
      <c r="AA44" s="34"/>
    </row>
    <row r="45" spans="1:27"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96"/>
      <c r="AA45" s="34"/>
    </row>
    <row r="46" spans="1:27"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96"/>
      <c r="AA46" s="34"/>
    </row>
    <row r="47" spans="1:27"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96"/>
      <c r="AA47" s="34"/>
    </row>
    <row r="48" spans="1:27"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96"/>
      <c r="AA48" s="34"/>
    </row>
    <row r="49" spans="1:27"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96"/>
      <c r="AA49" s="34"/>
    </row>
    <row r="50" spans="1:27"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96"/>
      <c r="AA50" s="34"/>
    </row>
    <row r="51" spans="1:27"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96"/>
      <c r="AA51" s="34"/>
    </row>
    <row r="52" spans="1:27"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96"/>
      <c r="AA52" s="34"/>
    </row>
    <row r="53" spans="1:27"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96"/>
      <c r="AA53" s="34"/>
    </row>
    <row r="54" spans="1:27"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96"/>
      <c r="AA54" s="34"/>
    </row>
    <row r="55" spans="1:27"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96"/>
      <c r="AA55" s="34"/>
    </row>
    <row r="56" spans="1:27"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96"/>
      <c r="AA56" s="34"/>
    </row>
    <row r="57" spans="1:27"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96"/>
      <c r="AA57" s="34"/>
    </row>
    <row r="58" spans="1:27"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96"/>
      <c r="AA58" s="34"/>
    </row>
    <row r="59" spans="1:27"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96"/>
      <c r="AA59" s="34"/>
    </row>
    <row r="60" spans="1:27"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96"/>
      <c r="AA60" s="34"/>
    </row>
    <row r="61" spans="1:27"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96"/>
      <c r="AA61" s="34"/>
    </row>
    <row r="62" spans="1:27"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96"/>
      <c r="AA62" s="34"/>
    </row>
    <row r="63" spans="1:27"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96"/>
      <c r="AA63" s="34"/>
    </row>
    <row r="64" spans="1:27"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96"/>
      <c r="AA64" s="34"/>
    </row>
    <row r="65" spans="1:27"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96"/>
      <c r="AA65" s="34"/>
    </row>
    <row r="66" spans="1:27"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96"/>
      <c r="AA66" s="34"/>
    </row>
    <row r="67" spans="1:27"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96"/>
      <c r="AA67" s="34"/>
    </row>
    <row r="68" spans="1:27"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96"/>
      <c r="AA68" s="34"/>
    </row>
    <row r="69" spans="1:27"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96"/>
      <c r="AA69" s="34"/>
    </row>
    <row r="70" spans="1:27"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96"/>
      <c r="AA70" s="34"/>
    </row>
    <row r="71" spans="1:27"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96"/>
      <c r="AA71" s="34"/>
    </row>
    <row r="72" spans="1:27"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96"/>
      <c r="AA72" s="34"/>
    </row>
    <row r="73" spans="1:27"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96"/>
      <c r="AA73" s="34"/>
    </row>
    <row r="74" spans="1:27"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96"/>
      <c r="AA74" s="34"/>
    </row>
    <row r="75" spans="1:27"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96"/>
      <c r="AA75" s="34"/>
    </row>
    <row r="76" spans="1:27"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96"/>
      <c r="AA76" s="34"/>
    </row>
    <row r="77" spans="1:27"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96"/>
      <c r="AA77" s="34"/>
    </row>
    <row r="78" spans="1:27"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96"/>
      <c r="AA78" s="34"/>
    </row>
    <row r="79" spans="1:27"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96"/>
      <c r="AA79" s="34"/>
    </row>
    <row r="80" spans="1:27"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96"/>
      <c r="AA80" s="34"/>
    </row>
    <row r="81" spans="1:27"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96"/>
      <c r="AA81" s="34"/>
    </row>
    <row r="82" spans="1:27"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96"/>
      <c r="AA82" s="34"/>
    </row>
    <row r="83" spans="1:27"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96"/>
      <c r="AA83" s="34"/>
    </row>
    <row r="84" spans="1:27"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96"/>
      <c r="AA84" s="34"/>
    </row>
    <row r="85" spans="1:27"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96"/>
      <c r="AA85" s="34"/>
    </row>
    <row r="86" spans="1:27"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96"/>
      <c r="AA86" s="34"/>
    </row>
    <row r="87" spans="1:27"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96"/>
      <c r="AA87" s="34"/>
    </row>
    <row r="88" spans="1:27"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96"/>
      <c r="AA88" s="34"/>
    </row>
    <row r="89" spans="1:27"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96"/>
      <c r="AA89" s="34"/>
    </row>
    <row r="90" spans="1:27"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96"/>
      <c r="AA90" s="34"/>
    </row>
    <row r="91" spans="1:27"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96"/>
      <c r="AA91" s="34"/>
    </row>
    <row r="92" spans="1:27"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96"/>
      <c r="AA92" s="34"/>
    </row>
    <row r="93" spans="1:27"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96"/>
      <c r="AA93" s="34"/>
    </row>
    <row r="94" spans="1:27"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96"/>
      <c r="AA94" s="34"/>
    </row>
    <row r="95" spans="1:27"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96"/>
      <c r="AA95" s="34"/>
    </row>
    <row r="96" spans="1:27"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96"/>
      <c r="AA96" s="34"/>
    </row>
    <row r="97" spans="1:27"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96"/>
      <c r="AA97" s="34"/>
    </row>
    <row r="98" spans="1:27"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96"/>
      <c r="AA98" s="34"/>
    </row>
    <row r="99" spans="1:27"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96"/>
      <c r="AA99" s="34"/>
    </row>
    <row r="100" spans="1:27" ht="12.75" customHeight="1">
      <c r="A100" s="34"/>
      <c r="B100" s="95"/>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96"/>
      <c r="AA100" s="34"/>
    </row>
    <row r="101" spans="1:27" ht="12.75" customHeight="1">
      <c r="A101" s="34"/>
      <c r="B101" s="95"/>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96"/>
      <c r="AA101" s="34"/>
    </row>
    <row r="102" spans="1:27" ht="12.75" customHeight="1">
      <c r="A102" s="34"/>
      <c r="B102" s="95"/>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96"/>
      <c r="AA102" s="34"/>
    </row>
    <row r="103" spans="1:27" ht="12.75" customHeight="1">
      <c r="A103" s="34"/>
      <c r="B103" s="95"/>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96"/>
      <c r="AA103" s="34"/>
    </row>
    <row r="104" spans="1:27" ht="12.75" customHeight="1">
      <c r="A104" s="34"/>
      <c r="B104" s="95"/>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96"/>
      <c r="AA104" s="34"/>
    </row>
    <row r="105" spans="1:27" ht="12.75" customHeight="1">
      <c r="A105" s="34"/>
      <c r="B105" s="95"/>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96"/>
      <c r="AA105" s="34"/>
    </row>
    <row r="106" spans="1:27" ht="12.75" customHeight="1">
      <c r="A106" s="34"/>
      <c r="B106" s="95"/>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96"/>
      <c r="AA106" s="34"/>
    </row>
    <row r="107" spans="1:27" ht="12.75" customHeight="1">
      <c r="A107" s="34"/>
      <c r="B107" s="95"/>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96"/>
      <c r="AA107" s="34"/>
    </row>
    <row r="108" spans="1:27" ht="12.75" customHeight="1">
      <c r="A108" s="34"/>
      <c r="B108" s="95"/>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96"/>
      <c r="AA108" s="34"/>
    </row>
    <row r="109" spans="1:27" ht="12.75" customHeight="1">
      <c r="A109" s="34"/>
      <c r="B109" s="95"/>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96"/>
      <c r="AA109" s="34"/>
    </row>
    <row r="110" spans="1:27" ht="12.75" customHeight="1">
      <c r="A110" s="34"/>
      <c r="B110" s="95"/>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96"/>
      <c r="AA110" s="34"/>
    </row>
    <row r="111" spans="1:27" ht="12.75" customHeight="1">
      <c r="A111" s="34"/>
      <c r="B111" s="95"/>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96"/>
      <c r="AA111" s="34"/>
    </row>
    <row r="112" spans="1:27" ht="12.75" customHeight="1">
      <c r="A112" s="34"/>
      <c r="B112" s="95"/>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96"/>
      <c r="AA112" s="34"/>
    </row>
    <row r="113" spans="1:27" ht="12.75" customHeight="1">
      <c r="A113" s="34"/>
      <c r="B113" s="95"/>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96"/>
      <c r="AA113" s="34"/>
    </row>
    <row r="114" spans="1:27" ht="12.75" customHeight="1">
      <c r="A114" s="34"/>
      <c r="B114" s="95"/>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96"/>
      <c r="AA114" s="34"/>
    </row>
    <row r="115" spans="1:27" ht="12.75" customHeight="1">
      <c r="A115" s="34"/>
      <c r="B115" s="95"/>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96"/>
      <c r="AA115" s="34"/>
    </row>
    <row r="116" spans="1:27" ht="12.75" customHeight="1">
      <c r="A116" s="34"/>
      <c r="B116" s="95"/>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96"/>
      <c r="AA116" s="34"/>
    </row>
    <row r="117" spans="1:27" ht="12.75" customHeight="1">
      <c r="A117" s="34"/>
      <c r="B117" s="95"/>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96"/>
      <c r="AA117" s="34"/>
    </row>
    <row r="118" spans="1:27" ht="12.75" customHeight="1">
      <c r="A118" s="34"/>
      <c r="B118" s="95"/>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96"/>
      <c r="AA118" s="34"/>
    </row>
    <row r="119" spans="1:27" ht="12.75" customHeight="1">
      <c r="A119" s="34"/>
      <c r="B119" s="95"/>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96"/>
      <c r="AA119" s="34"/>
    </row>
    <row r="120" spans="1:27" ht="12.75" customHeight="1">
      <c r="A120" s="34"/>
      <c r="B120" s="95"/>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96"/>
      <c r="AA120" s="34"/>
    </row>
    <row r="121" spans="1:27" ht="12.75" customHeight="1">
      <c r="A121" s="34"/>
      <c r="B121" s="95"/>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96"/>
      <c r="AA121" s="34"/>
    </row>
    <row r="122" spans="1:27" ht="12.75" customHeight="1">
      <c r="A122" s="34"/>
      <c r="B122" s="95"/>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96"/>
      <c r="AA122" s="34"/>
    </row>
    <row r="123" spans="1:27" ht="12.75" customHeight="1">
      <c r="A123" s="34"/>
      <c r="B123" s="95"/>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96"/>
      <c r="AA123" s="34"/>
    </row>
    <row r="124" spans="1:27" ht="12.75" customHeight="1">
      <c r="A124" s="34"/>
      <c r="B124" s="95"/>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96"/>
      <c r="AA124" s="34"/>
    </row>
    <row r="125" spans="1:27" ht="12.75" customHeight="1">
      <c r="A125" s="34"/>
      <c r="B125" s="95"/>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96"/>
      <c r="AA125" s="34"/>
    </row>
    <row r="126" spans="1:27" ht="12.75" customHeight="1">
      <c r="A126" s="34"/>
      <c r="B126" s="95"/>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96"/>
      <c r="AA126" s="34"/>
    </row>
    <row r="127" spans="1:27" ht="12.75" customHeight="1">
      <c r="A127" s="34"/>
      <c r="B127" s="95"/>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96"/>
      <c r="AA127" s="34"/>
    </row>
    <row r="128" spans="1:27" ht="12.75" customHeight="1">
      <c r="A128" s="34"/>
      <c r="B128" s="95"/>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96"/>
      <c r="AA128" s="34"/>
    </row>
    <row r="129" spans="1:27" ht="12.75" customHeight="1">
      <c r="A129" s="34"/>
      <c r="B129" s="95"/>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96"/>
      <c r="AA129" s="34"/>
    </row>
    <row r="130" spans="1:27" ht="12.75" customHeight="1">
      <c r="A130" s="34"/>
      <c r="B130" s="95"/>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96"/>
      <c r="AA130" s="34"/>
    </row>
    <row r="131" spans="1:27" ht="12.75" customHeight="1">
      <c r="A131" s="34"/>
      <c r="B131" s="95"/>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96"/>
      <c r="AA131" s="34"/>
    </row>
    <row r="132" spans="1:27" ht="12.75" customHeight="1">
      <c r="A132" s="34"/>
      <c r="B132" s="95"/>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96"/>
      <c r="AA132" s="34"/>
    </row>
    <row r="133" spans="1:27" ht="12.75" customHeight="1">
      <c r="A133" s="34"/>
      <c r="B133" s="95"/>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96"/>
      <c r="AA133" s="34"/>
    </row>
    <row r="134" spans="1:27" ht="12.75" customHeight="1">
      <c r="A134" s="34"/>
      <c r="B134" s="95"/>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96"/>
      <c r="AA134" s="34"/>
    </row>
    <row r="135" spans="1:27" ht="12.75" customHeight="1">
      <c r="A135" s="34"/>
      <c r="B135" s="95"/>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96"/>
      <c r="AA135" s="34"/>
    </row>
    <row r="136" spans="1:27" ht="12.75" customHeight="1">
      <c r="A136" s="34"/>
      <c r="B136" s="95"/>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96"/>
      <c r="AA136" s="34"/>
    </row>
    <row r="137" spans="1:27" ht="12.75" customHeight="1">
      <c r="A137" s="34"/>
      <c r="B137" s="95"/>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96"/>
      <c r="AA137" s="34"/>
    </row>
    <row r="138" spans="1:27" ht="12.75" customHeight="1">
      <c r="A138" s="34"/>
      <c r="B138" s="95"/>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96"/>
      <c r="AA138" s="34"/>
    </row>
    <row r="139" spans="1:27" ht="12.75" customHeight="1">
      <c r="A139" s="34"/>
      <c r="B139" s="95"/>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96"/>
      <c r="AA139" s="34"/>
    </row>
    <row r="140" spans="1:27" ht="12.75" customHeight="1">
      <c r="A140" s="34"/>
      <c r="B140" s="95"/>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96"/>
      <c r="AA140" s="34"/>
    </row>
    <row r="141" spans="1:27" ht="12.75" customHeight="1">
      <c r="A141" s="34"/>
      <c r="B141" s="95"/>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96"/>
      <c r="AA141" s="34"/>
    </row>
    <row r="142" spans="1:27" ht="12.75" customHeight="1">
      <c r="A142" s="34"/>
      <c r="B142" s="95"/>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96"/>
      <c r="AA142" s="34"/>
    </row>
    <row r="143" spans="1:27" ht="12.75" customHeight="1">
      <c r="A143" s="34"/>
      <c r="B143" s="95"/>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96"/>
      <c r="AA143" s="34"/>
    </row>
    <row r="144" spans="1:27" ht="12.75" customHeight="1">
      <c r="A144" s="34"/>
      <c r="B144" s="95"/>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96"/>
      <c r="AA144" s="34"/>
    </row>
    <row r="145" spans="1:27" ht="12.75" customHeight="1">
      <c r="A145" s="34"/>
      <c r="B145" s="95"/>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96"/>
      <c r="AA145" s="34"/>
    </row>
    <row r="146" spans="1:27" ht="12.75" customHeight="1">
      <c r="A146" s="34"/>
      <c r="B146" s="95"/>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96"/>
      <c r="AA146" s="34"/>
    </row>
    <row r="147" spans="1:27" ht="12.75" customHeight="1">
      <c r="A147" s="34"/>
      <c r="B147" s="95"/>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96"/>
      <c r="AA147" s="34"/>
    </row>
    <row r="148" spans="1:27" ht="12.75" customHeight="1">
      <c r="A148" s="34"/>
      <c r="B148" s="95"/>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96"/>
      <c r="AA148" s="34"/>
    </row>
    <row r="149" spans="1:27" ht="12.75" customHeight="1">
      <c r="A149" s="34"/>
      <c r="B149" s="95"/>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96"/>
      <c r="AA149" s="34"/>
    </row>
    <row r="150" spans="1:27" ht="12.75" customHeight="1">
      <c r="A150" s="34"/>
      <c r="B150" s="95"/>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96"/>
      <c r="AA150" s="34"/>
    </row>
    <row r="151" spans="1:27" ht="12.75" customHeight="1">
      <c r="A151" s="34"/>
      <c r="B151" s="95"/>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96"/>
      <c r="AA151" s="34"/>
    </row>
    <row r="152" spans="1:27" ht="12.75" customHeight="1">
      <c r="A152" s="34"/>
      <c r="B152" s="95"/>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96"/>
      <c r="AA152" s="34"/>
    </row>
    <row r="153" spans="1:27" ht="12.75" customHeight="1">
      <c r="A153" s="34"/>
      <c r="B153" s="95"/>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96"/>
      <c r="AA153" s="34"/>
    </row>
    <row r="154" spans="1:27" ht="12.75" customHeight="1">
      <c r="A154" s="34"/>
      <c r="B154" s="95"/>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96"/>
      <c r="AA154" s="34"/>
    </row>
    <row r="155" spans="1:27" ht="12.75" customHeight="1">
      <c r="A155" s="34"/>
      <c r="B155" s="95"/>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96"/>
      <c r="AA155" s="34"/>
    </row>
    <row r="156" spans="1:27" ht="12.75" customHeight="1">
      <c r="A156" s="34"/>
      <c r="B156" s="95"/>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96"/>
      <c r="AA156" s="34"/>
    </row>
    <row r="157" spans="1:27" ht="12.75" customHeight="1">
      <c r="A157" s="34"/>
      <c r="B157" s="95"/>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96"/>
      <c r="AA157" s="34"/>
    </row>
    <row r="158" spans="1:27" ht="12.75" customHeight="1">
      <c r="A158" s="34"/>
      <c r="B158" s="95"/>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96"/>
      <c r="AA158" s="34"/>
    </row>
    <row r="159" spans="1:27" ht="12.75" customHeight="1">
      <c r="A159" s="34"/>
      <c r="B159" s="95"/>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96"/>
      <c r="AA159" s="34"/>
    </row>
    <row r="160" spans="1:27" ht="12.75" customHeight="1">
      <c r="A160" s="34"/>
      <c r="B160" s="95"/>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96"/>
      <c r="AA160" s="34"/>
    </row>
    <row r="161" spans="1:27" ht="12.75" customHeight="1">
      <c r="A161" s="34"/>
      <c r="B161" s="95"/>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96"/>
      <c r="AA161" s="34"/>
    </row>
    <row r="162" spans="1:27" ht="12.75" customHeight="1">
      <c r="A162" s="34"/>
      <c r="B162" s="95"/>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96"/>
      <c r="AA162" s="34"/>
    </row>
    <row r="163" spans="1:27" ht="12.75" customHeight="1">
      <c r="A163" s="34"/>
      <c r="B163" s="95"/>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96"/>
      <c r="AA163" s="34"/>
    </row>
    <row r="164" spans="1:27" ht="12.75" customHeight="1">
      <c r="A164" s="34"/>
      <c r="B164" s="95"/>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96"/>
      <c r="AA164" s="34"/>
    </row>
    <row r="165" spans="1:27" ht="12.75" customHeight="1">
      <c r="A165" s="34"/>
      <c r="B165" s="95"/>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96"/>
      <c r="AA165" s="34"/>
    </row>
    <row r="166" spans="1:27" ht="12.75" customHeight="1">
      <c r="A166" s="34"/>
      <c r="B166" s="95"/>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96"/>
      <c r="AA166" s="34"/>
    </row>
    <row r="167" spans="1:27" ht="12.75" customHeight="1">
      <c r="A167" s="34"/>
      <c r="B167" s="95"/>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96"/>
      <c r="AA167" s="34"/>
    </row>
    <row r="168" spans="1:27" ht="12.75" customHeight="1">
      <c r="A168" s="34"/>
      <c r="B168" s="95"/>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96"/>
      <c r="AA168" s="34"/>
    </row>
    <row r="169" spans="1:27" ht="12.75" customHeight="1">
      <c r="A169" s="34"/>
      <c r="B169" s="95"/>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96"/>
      <c r="AA169" s="34"/>
    </row>
    <row r="170" spans="1:27" ht="12.75" customHeight="1">
      <c r="A170" s="34"/>
      <c r="B170" s="95"/>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96"/>
      <c r="AA170" s="34"/>
    </row>
    <row r="171" spans="1:27" ht="12.75" customHeight="1">
      <c r="A171" s="34"/>
      <c r="B171" s="95"/>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96"/>
      <c r="AA171" s="34"/>
    </row>
    <row r="172" spans="1:27" ht="12.75" customHeight="1">
      <c r="A172" s="34"/>
      <c r="B172" s="95"/>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96"/>
      <c r="AA172" s="34"/>
    </row>
    <row r="173" spans="1:27" ht="12.75" customHeight="1">
      <c r="A173" s="34"/>
      <c r="B173" s="95"/>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96"/>
      <c r="AA173" s="34"/>
    </row>
    <row r="174" spans="1:27" ht="12.75" customHeight="1">
      <c r="A174" s="34"/>
      <c r="B174" s="95"/>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96"/>
      <c r="AA174" s="34"/>
    </row>
    <row r="175" spans="1:27" ht="12.75" customHeight="1">
      <c r="A175" s="34"/>
      <c r="B175" s="95"/>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96"/>
      <c r="AA175" s="34"/>
    </row>
    <row r="176" spans="1:27" ht="12.75" customHeight="1">
      <c r="A176" s="34"/>
      <c r="B176" s="95"/>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96"/>
      <c r="AA176" s="34"/>
    </row>
    <row r="177" spans="1:27" ht="12.75" customHeight="1">
      <c r="A177" s="34"/>
      <c r="B177" s="95"/>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96"/>
      <c r="AA177" s="34"/>
    </row>
    <row r="178" spans="1:27" ht="12.75" customHeight="1">
      <c r="A178" s="34"/>
      <c r="B178" s="95"/>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96"/>
      <c r="AA178" s="34"/>
    </row>
    <row r="179" spans="1:27" ht="12.75" customHeight="1">
      <c r="A179" s="34"/>
      <c r="B179" s="95"/>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96"/>
      <c r="AA179" s="34"/>
    </row>
    <row r="180" spans="1:27" ht="12.75" customHeight="1">
      <c r="A180" s="34"/>
      <c r="B180" s="95"/>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96"/>
      <c r="AA180" s="34"/>
    </row>
    <row r="181" spans="1:27" ht="12.75" customHeight="1">
      <c r="A181" s="34"/>
      <c r="B181" s="95"/>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96"/>
      <c r="AA181" s="34"/>
    </row>
    <row r="182" spans="1:27" ht="12.75" customHeight="1">
      <c r="A182" s="34"/>
      <c r="B182" s="95"/>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96"/>
      <c r="AA182" s="34"/>
    </row>
    <row r="183" spans="1:27" ht="12.75" customHeight="1">
      <c r="A183" s="34"/>
      <c r="B183" s="95"/>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96"/>
      <c r="AA183" s="34"/>
    </row>
    <row r="184" spans="1:27" ht="12.75" customHeight="1">
      <c r="A184" s="34"/>
      <c r="B184" s="95"/>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96"/>
      <c r="AA184" s="34"/>
    </row>
    <row r="185" spans="1:27" ht="12.75" customHeight="1">
      <c r="A185" s="34"/>
      <c r="B185" s="95"/>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96"/>
      <c r="AA185" s="34"/>
    </row>
    <row r="186" spans="1:27" ht="12.75" customHeight="1">
      <c r="A186" s="34"/>
      <c r="B186" s="95"/>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96"/>
      <c r="AA186" s="34"/>
    </row>
    <row r="187" spans="1:27" ht="12.75" customHeight="1">
      <c r="A187" s="34"/>
      <c r="B187" s="95"/>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96"/>
      <c r="AA187" s="34"/>
    </row>
    <row r="188" spans="1:27" ht="12.75" customHeight="1">
      <c r="A188" s="34"/>
      <c r="B188" s="95"/>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96"/>
      <c r="AA188" s="34"/>
    </row>
    <row r="189" spans="1:27" ht="12.75" customHeight="1">
      <c r="A189" s="34"/>
      <c r="B189" s="95"/>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96"/>
      <c r="AA189" s="34"/>
    </row>
    <row r="190" spans="1:27" ht="12.75" customHeight="1">
      <c r="A190" s="34"/>
      <c r="B190" s="95"/>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96"/>
      <c r="AA190" s="34"/>
    </row>
    <row r="191" spans="1:27" ht="12.75" customHeight="1">
      <c r="A191" s="34"/>
      <c r="B191" s="95"/>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96"/>
      <c r="AA191" s="34"/>
    </row>
    <row r="192" spans="1:27" ht="12.75" customHeight="1">
      <c r="A192" s="34"/>
      <c r="B192" s="95"/>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96"/>
      <c r="AA192" s="34"/>
    </row>
    <row r="193" spans="1:27" ht="12.75" customHeight="1">
      <c r="A193" s="34"/>
      <c r="B193" s="100"/>
      <c r="C193" s="101"/>
      <c r="D193" s="101"/>
      <c r="E193" s="101"/>
      <c r="F193" s="101"/>
      <c r="G193" s="101"/>
      <c r="H193" s="101"/>
      <c r="I193" s="101"/>
      <c r="J193" s="101"/>
      <c r="K193" s="101"/>
      <c r="L193" s="101"/>
      <c r="M193" s="101"/>
      <c r="N193" s="101"/>
      <c r="O193" s="101"/>
      <c r="P193" s="101"/>
      <c r="Q193" s="101"/>
      <c r="R193" s="101"/>
      <c r="S193" s="101"/>
      <c r="T193" s="101"/>
      <c r="U193" s="101"/>
      <c r="V193" s="101"/>
      <c r="W193" s="101"/>
      <c r="X193" s="101"/>
      <c r="Y193" s="101"/>
      <c r="Z193" s="150"/>
      <c r="AA193" s="34"/>
    </row>
    <row r="194" spans="1:27"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row>
    <row r="195" spans="1:27"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row>
    <row r="196" spans="1:27"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row>
    <row r="197" spans="1:27"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row>
    <row r="198" spans="1:27"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row>
    <row r="199" spans="1:27"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row>
    <row r="200" spans="1:27"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row>
    <row r="201" spans="1:27"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row>
    <row r="202" spans="1:27"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row>
    <row r="203" spans="1:27"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row>
    <row r="204" spans="1:27"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row>
    <row r="205" spans="1:27"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row>
    <row r="206" spans="1:27"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row>
    <row r="207" spans="1:27"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row>
    <row r="208" spans="1:27"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row>
    <row r="209" spans="1:27"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row>
    <row r="210" spans="1:27"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row>
    <row r="211" spans="1:27"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row>
    <row r="212" spans="1:27"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row>
    <row r="213" spans="1:27"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row>
    <row r="214" spans="1:27"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row>
    <row r="215" spans="1:27"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row>
    <row r="216" spans="1:27"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row>
    <row r="217" spans="1:27"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row>
    <row r="218" spans="1:27"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row>
    <row r="219" spans="1:27"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row>
    <row r="220" spans="1:27"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row>
    <row r="221" spans="1:27"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row>
    <row r="222" spans="1:27"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row>
    <row r="223" spans="1:27"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row>
    <row r="224" spans="1:27"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row>
    <row r="225" spans="1:27"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row>
    <row r="226" spans="1:27"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row>
    <row r="227" spans="1:27"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row>
    <row r="228" spans="1:27"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row>
    <row r="229" spans="1:27"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row>
    <row r="230" spans="1:27"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row>
    <row r="231" spans="1:27"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row>
    <row r="232" spans="1:27"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row>
    <row r="233" spans="1:27"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row>
    <row r="234" spans="1:27"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row>
    <row r="235" spans="1:27"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row>
    <row r="236" spans="1:27"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row>
    <row r="237" spans="1:27"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row>
    <row r="238" spans="1:27"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row>
    <row r="239" spans="1:27"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row>
    <row r="240" spans="1:27"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row>
    <row r="241" spans="1:27"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row>
    <row r="242" spans="1:27"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row>
    <row r="243" spans="1:27"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row>
    <row r="244" spans="1:27"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row>
    <row r="245" spans="1:27"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row>
    <row r="246" spans="1:27"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row>
    <row r="247" spans="1:27"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row>
    <row r="248" spans="1:27"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row>
    <row r="249" spans="1:27"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row>
    <row r="250" spans="1:27"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row>
    <row r="251" spans="1:27"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row>
    <row r="252" spans="1:27"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row>
    <row r="253" spans="1:27"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row>
    <row r="254" spans="1:27"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row>
    <row r="255" spans="1:27"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row>
    <row r="256" spans="1:27"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row>
    <row r="257" spans="1:27"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row>
    <row r="258" spans="1:27"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row>
    <row r="259" spans="1:27"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row>
    <row r="260" spans="1:27"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row>
    <row r="261" spans="1:27"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row>
    <row r="262" spans="1:27"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row>
    <row r="263" spans="1:27"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row>
    <row r="264" spans="1:27"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row>
    <row r="265" spans="1:27"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row>
    <row r="266" spans="1:27"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row>
    <row r="267" spans="1:27"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row>
    <row r="268" spans="1:27"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row>
    <row r="269" spans="1:27"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row>
    <row r="270" spans="1:27"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row>
    <row r="271" spans="1:27"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row>
    <row r="272" spans="1:27"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row>
    <row r="273" spans="1:27"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row>
    <row r="274" spans="1:27"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row>
    <row r="275" spans="1:27"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row>
    <row r="276" spans="1:27"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row>
    <row r="277" spans="1:27"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row>
    <row r="278" spans="1:27"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row>
    <row r="279" spans="1:27"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row>
    <row r="280" spans="1:27"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row>
    <row r="281" spans="1:27"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row>
    <row r="282" spans="1:27"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row>
    <row r="283" spans="1:27"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row>
    <row r="284" spans="1:27"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row>
    <row r="285" spans="1:27"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row>
    <row r="286" spans="1:27"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row>
    <row r="287" spans="1:27"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row>
    <row r="288" spans="1:27"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row>
    <row r="289" spans="1:27"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row>
    <row r="290" spans="1:27"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row>
    <row r="291" spans="1:27"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row>
    <row r="292" spans="1:27"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row>
    <row r="293" spans="1:27"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row>
    <row r="294" spans="1:27"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row>
    <row r="295" spans="1:27"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row>
    <row r="296" spans="1:27"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row>
    <row r="297" spans="1:27"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row>
    <row r="298" spans="1:27"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row>
    <row r="299" spans="1:27"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row>
    <row r="300" spans="1:27"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row>
    <row r="301" spans="1:27"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row>
    <row r="302" spans="1:27"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row>
    <row r="303" spans="1:27"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row>
    <row r="304" spans="1:27"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row>
    <row r="305" spans="1:27"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row>
    <row r="306" spans="1:27"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row>
    <row r="307" spans="1:27"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row>
    <row r="308" spans="1:27"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row>
    <row r="309" spans="1:27"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row>
    <row r="310" spans="1:27"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row>
    <row r="311" spans="1:27"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row>
    <row r="312" spans="1:27"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row>
    <row r="313" spans="1:27"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row>
    <row r="314" spans="1:27"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row>
    <row r="315" spans="1:27"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row>
    <row r="316" spans="1:27"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row>
    <row r="317" spans="1:27"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row>
    <row r="318" spans="1:27"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row>
    <row r="319" spans="1:27"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row>
    <row r="320" spans="1:27"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row>
    <row r="321" spans="1:27"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row>
    <row r="322" spans="1:27"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row>
    <row r="323" spans="1:27"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row>
    <row r="324" spans="1:27"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row>
    <row r="325" spans="1:27"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row>
    <row r="326" spans="1:27"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row>
    <row r="327" spans="1:27"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row>
    <row r="328" spans="1:27"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row>
    <row r="329" spans="1:27"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row>
    <row r="330" spans="1:27"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row>
    <row r="331" spans="1:27"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row>
    <row r="332" spans="1:27"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row>
    <row r="333" spans="1:27"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row>
    <row r="334" spans="1:27"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row>
    <row r="335" spans="1:27"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row>
    <row r="336" spans="1:27"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row>
    <row r="337" spans="1:27"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row>
    <row r="338" spans="1:27"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row>
    <row r="339" spans="1:27"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row>
    <row r="340" spans="1:27"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row>
    <row r="341" spans="1:27"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row>
    <row r="342" spans="1:27"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row>
    <row r="343" spans="1:27"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row>
    <row r="344" spans="1:27"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row>
    <row r="345" spans="1:27"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row>
    <row r="346" spans="1:27"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row>
    <row r="347" spans="1:27"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row>
    <row r="348" spans="1:27"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row>
    <row r="349" spans="1:27"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row>
    <row r="350" spans="1:27"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row>
    <row r="351" spans="1:27"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row>
    <row r="352" spans="1:27"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row>
    <row r="353" spans="1:27"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row>
    <row r="354" spans="1:27"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row>
    <row r="355" spans="1:27"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row>
    <row r="356" spans="1:27"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row>
    <row r="357" spans="1:27"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row>
    <row r="358" spans="1:27"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row>
    <row r="359" spans="1:27"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row>
    <row r="360" spans="1:27"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row>
    <row r="361" spans="1:27"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row>
    <row r="362" spans="1:27"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row>
    <row r="363" spans="1:27"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row>
    <row r="364" spans="1:27"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row>
    <row r="365" spans="1:27"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row>
    <row r="366" spans="1:27"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row>
    <row r="367" spans="1:27"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row>
    <row r="368" spans="1:27"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row>
    <row r="369" spans="1:27"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row>
    <row r="370" spans="1:27"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row>
    <row r="371" spans="1:27"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row>
    <row r="372" spans="1:27"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row>
    <row r="373" spans="1:27"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row>
    <row r="374" spans="1:27"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row>
    <row r="375" spans="1:27"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row>
    <row r="376" spans="1:27"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row>
    <row r="377" spans="1:27"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row>
    <row r="378" spans="1:27"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row>
    <row r="379" spans="1:27"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row>
    <row r="380" spans="1:27"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row>
    <row r="381" spans="1:27"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row>
    <row r="382" spans="1:27"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row>
    <row r="383" spans="1:27"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row>
    <row r="384" spans="1:27"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row>
    <row r="385" spans="1:27"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row>
    <row r="386" spans="1:27"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row>
    <row r="387" spans="1:27"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row>
    <row r="388" spans="1:27"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row>
    <row r="389" spans="1:27"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row>
    <row r="390" spans="1:27"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row>
    <row r="391" spans="1:27"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row>
    <row r="392" spans="1:27"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row>
    <row r="393" spans="1:27"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row>
    <row r="394" spans="1:27"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row>
    <row r="395" spans="1:27"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row>
    <row r="396" spans="1:27"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row>
    <row r="397" spans="1:27"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row>
    <row r="398" spans="1:27"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row>
    <row r="399" spans="1:27"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row>
    <row r="400" spans="1:27"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row>
    <row r="401" spans="1:27"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row>
    <row r="402" spans="1:27"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row>
    <row r="403" spans="1:27"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row>
    <row r="404" spans="1:27"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row>
    <row r="405" spans="1:27"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row>
    <row r="406" spans="1:27"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row>
    <row r="407" spans="1:27"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row>
    <row r="408" spans="1:27"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row>
    <row r="409" spans="1:27"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row>
    <row r="410" spans="1:27"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row>
    <row r="411" spans="1:27"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row>
    <row r="412" spans="1:27"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row>
    <row r="413" spans="1:27"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row>
    <row r="414" spans="1:27"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row>
    <row r="415" spans="1:27"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row>
    <row r="416" spans="1:27"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row>
    <row r="417" spans="1:27"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row>
    <row r="418" spans="1:27"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row>
    <row r="419" spans="1:27"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row>
    <row r="420" spans="1:27"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row>
    <row r="421" spans="1:27"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row>
    <row r="422" spans="1:27"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row>
    <row r="423" spans="1:27"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row>
    <row r="424" spans="1:27"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row>
    <row r="425" spans="1:27"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row>
    <row r="426" spans="1:27"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row>
    <row r="427" spans="1:27"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row>
    <row r="428" spans="1:27"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row>
    <row r="429" spans="1:27"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row>
    <row r="430" spans="1:27"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row>
    <row r="431" spans="1:27"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row>
    <row r="432" spans="1:27"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row>
    <row r="433" spans="1:27"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row>
    <row r="434" spans="1:27"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row>
    <row r="435" spans="1:27"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row>
    <row r="436" spans="1:27"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row>
    <row r="437" spans="1:27"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row>
    <row r="438" spans="1:27"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row>
    <row r="439" spans="1:27"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row>
    <row r="440" spans="1:27"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row>
    <row r="441" spans="1:27"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row>
    <row r="442" spans="1:27"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row>
    <row r="443" spans="1:27"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row>
    <row r="444" spans="1:27"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row>
    <row r="445" spans="1:27"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row>
    <row r="446" spans="1:27"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row>
    <row r="447" spans="1:27"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row>
    <row r="448" spans="1:27"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row>
    <row r="449" spans="1:27"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row>
    <row r="450" spans="1:27"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row>
    <row r="451" spans="1:27"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row>
    <row r="452" spans="1:27"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row>
    <row r="453" spans="1:27"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row>
    <row r="454" spans="1:27"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row>
    <row r="455" spans="1:27"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row>
    <row r="456" spans="1:27"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row>
    <row r="457" spans="1:27"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row>
    <row r="458" spans="1:27"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row>
    <row r="459" spans="1:27"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row>
    <row r="460" spans="1:27"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row>
    <row r="461" spans="1:27"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row>
    <row r="462" spans="1:27"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row>
    <row r="463" spans="1:27"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row>
    <row r="464" spans="1:27"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row>
    <row r="465" spans="1:27"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row>
    <row r="466" spans="1:27"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row>
    <row r="467" spans="1:27"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row>
    <row r="468" spans="1:27"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row>
    <row r="469" spans="1:27"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row>
    <row r="470" spans="1:27"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row>
    <row r="471" spans="1:27"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row>
    <row r="472" spans="1:27"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row>
    <row r="473" spans="1:27"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row>
    <row r="474" spans="1:27"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row>
    <row r="475" spans="1:27"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row>
    <row r="476" spans="1:27"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row>
    <row r="477" spans="1:27"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row>
    <row r="478" spans="1:27"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row>
    <row r="479" spans="1:27"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row>
    <row r="480" spans="1:27"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row>
    <row r="481" spans="1:27"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row>
    <row r="482" spans="1:27"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row>
    <row r="483" spans="1:27"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row>
    <row r="484" spans="1:27"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row>
    <row r="485" spans="1:27"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row>
    <row r="486" spans="1:27"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row>
    <row r="487" spans="1:27"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row>
    <row r="488" spans="1:27"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row>
    <row r="489" spans="1:27"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row>
    <row r="490" spans="1:27"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row>
    <row r="491" spans="1:27"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row>
    <row r="492" spans="1:27"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row>
    <row r="493" spans="1:27"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row>
    <row r="494" spans="1:27"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row>
    <row r="495" spans="1:27"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row>
    <row r="496" spans="1:27"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row>
    <row r="497" spans="1:27"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row>
    <row r="498" spans="1:27"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row>
    <row r="499" spans="1:27"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row>
    <row r="500" spans="1:27"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row>
    <row r="501" spans="1:27"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row>
    <row r="502" spans="1:27"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row>
    <row r="503" spans="1:27"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row>
    <row r="504" spans="1:27"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row>
    <row r="505" spans="1:27"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row>
    <row r="506" spans="1:27"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row>
    <row r="507" spans="1:27"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row>
    <row r="508" spans="1:27"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row>
    <row r="509" spans="1:27"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row>
    <row r="510" spans="1:27"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row>
    <row r="511" spans="1:27"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row>
    <row r="512" spans="1:27"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row>
    <row r="513" spans="1:27"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row>
    <row r="514" spans="1:27"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row>
    <row r="515" spans="1:27"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row>
    <row r="516" spans="1:27"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row>
    <row r="517" spans="1:27"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row>
    <row r="518" spans="1:27"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row>
    <row r="519" spans="1:27"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row>
    <row r="520" spans="1:27"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row>
    <row r="521" spans="1:27"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row>
    <row r="522" spans="1:27"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row>
    <row r="523" spans="1:27"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row>
    <row r="524" spans="1:27"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row>
    <row r="525" spans="1:27"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row>
    <row r="526" spans="1:27"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row>
    <row r="527" spans="1:27"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row>
    <row r="528" spans="1:27"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row>
    <row r="529" spans="1:27"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row>
    <row r="530" spans="1:27"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row>
    <row r="531" spans="1:27"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row>
    <row r="532" spans="1:27"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row>
    <row r="533" spans="1:27"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row>
    <row r="534" spans="1:27"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row>
    <row r="535" spans="1:27"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row>
    <row r="536" spans="1:27"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row>
    <row r="537" spans="1:27"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row>
    <row r="538" spans="1:27"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row>
    <row r="539" spans="1:27"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row>
    <row r="540" spans="1:27"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row>
    <row r="541" spans="1:27"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row>
    <row r="542" spans="1:27"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row>
    <row r="543" spans="1:27"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row>
    <row r="544" spans="1:27"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row>
    <row r="545" spans="1:27"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row>
    <row r="546" spans="1:27"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row>
    <row r="547" spans="1:27"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row>
    <row r="548" spans="1:27"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row>
    <row r="549" spans="1:27"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row>
    <row r="550" spans="1:27"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row>
    <row r="551" spans="1:27"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row>
    <row r="552" spans="1:27"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row>
    <row r="553" spans="1:27"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row>
    <row r="554" spans="1:27"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row>
    <row r="555" spans="1:27"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row>
    <row r="556" spans="1:27"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row>
    <row r="557" spans="1:27"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row>
    <row r="558" spans="1:27"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row>
    <row r="559" spans="1:27"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row>
    <row r="560" spans="1:27"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row>
    <row r="561" spans="1:27"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row>
    <row r="562" spans="1:27"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row>
    <row r="563" spans="1:27"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row>
    <row r="564" spans="1:27"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row>
    <row r="565" spans="1:27"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row>
    <row r="566" spans="1:27"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row>
    <row r="567" spans="1:27"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row>
    <row r="568" spans="1:27"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row>
    <row r="569" spans="1:27"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row>
    <row r="570" spans="1:27"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row>
    <row r="571" spans="1:27"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row>
    <row r="572" spans="1:27"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row>
    <row r="573" spans="1:27"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row>
    <row r="574" spans="1:27"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row>
    <row r="575" spans="1:27"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row>
    <row r="576" spans="1:27"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row>
    <row r="577" spans="1:27"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row>
    <row r="578" spans="1:27"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row>
    <row r="579" spans="1:27"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row>
    <row r="580" spans="1:27"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row>
    <row r="581" spans="1:27"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row>
    <row r="582" spans="1:27"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row>
    <row r="583" spans="1:27"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row>
    <row r="584" spans="1:27"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row>
    <row r="585" spans="1:27"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row>
    <row r="586" spans="1:27"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row>
    <row r="587" spans="1:27"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row>
    <row r="588" spans="1:27"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row>
    <row r="589" spans="1:27"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row>
    <row r="590" spans="1:27"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row>
    <row r="591" spans="1:27"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row>
    <row r="592" spans="1:27"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row>
    <row r="593" spans="1:27"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row>
    <row r="594" spans="1:27"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row>
    <row r="595" spans="1:27"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row>
    <row r="596" spans="1:27"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row>
    <row r="597" spans="1:27"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row>
    <row r="598" spans="1:27"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row>
    <row r="599" spans="1:27"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row>
    <row r="600" spans="1:27"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row>
    <row r="601" spans="1:27"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row>
    <row r="602" spans="1:27"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row>
    <row r="603" spans="1:27"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row>
    <row r="604" spans="1:27"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row>
    <row r="605" spans="1:27"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row>
    <row r="606" spans="1:27"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row>
    <row r="607" spans="1:27"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row>
    <row r="608" spans="1:27"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row>
    <row r="609" spans="1:27"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row>
    <row r="610" spans="1:27"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row>
    <row r="611" spans="1:27"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row>
    <row r="612" spans="1:27"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row>
    <row r="613" spans="1:27"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row>
    <row r="614" spans="1:27"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row>
    <row r="615" spans="1:27"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row>
    <row r="616" spans="1:27"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row>
    <row r="617" spans="1:27"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row>
    <row r="618" spans="1:27"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row>
    <row r="619" spans="1:27"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row>
    <row r="620" spans="1:27"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row>
    <row r="621" spans="1:27"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row>
    <row r="622" spans="1:27"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row>
    <row r="623" spans="1:27"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row>
    <row r="624" spans="1:27"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row>
    <row r="625" spans="1:27"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row>
    <row r="626" spans="1:27"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row>
    <row r="627" spans="1:27"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row>
    <row r="628" spans="1:27"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row>
    <row r="629" spans="1:27"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row>
    <row r="630" spans="1:27"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row>
    <row r="631" spans="1:27"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row>
    <row r="632" spans="1:27"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row>
    <row r="633" spans="1:27"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row>
    <row r="634" spans="1:27"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row>
    <row r="635" spans="1:27"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row>
    <row r="636" spans="1:27"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row>
    <row r="637" spans="1:27"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row>
    <row r="638" spans="1:27"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row>
    <row r="639" spans="1:27"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row>
    <row r="640" spans="1:27"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row>
    <row r="641" spans="1:27"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row>
    <row r="642" spans="1:27"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row>
    <row r="643" spans="1:27"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row>
    <row r="644" spans="1:27"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row>
    <row r="645" spans="1:27"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row>
    <row r="646" spans="1:27"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row>
    <row r="647" spans="1:27"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row>
    <row r="648" spans="1:27"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row>
    <row r="649" spans="1:27"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row>
    <row r="650" spans="1:27"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row>
    <row r="651" spans="1:27"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row>
    <row r="652" spans="1:27"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row>
    <row r="653" spans="1:27"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row>
    <row r="654" spans="1:27"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row>
    <row r="655" spans="1:27"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row>
    <row r="656" spans="1:27"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row>
    <row r="657" spans="1:27"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row>
    <row r="658" spans="1:27"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row>
    <row r="659" spans="1:27"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row>
    <row r="660" spans="1:27"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row>
    <row r="661" spans="1:27"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row>
    <row r="662" spans="1:27"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row>
    <row r="663" spans="1:27"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row>
    <row r="664" spans="1:27"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row>
    <row r="665" spans="1:27"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row>
    <row r="666" spans="1:27"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row>
    <row r="667" spans="1:27"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row>
    <row r="668" spans="1:27"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row>
    <row r="669" spans="1:27"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row>
    <row r="670" spans="1:27"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row>
    <row r="671" spans="1:27"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row>
    <row r="672" spans="1:27"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row>
    <row r="673" spans="1:27"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row>
    <row r="674" spans="1:27"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row>
    <row r="675" spans="1:27"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row>
    <row r="676" spans="1:27"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row>
    <row r="677" spans="1:27"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row>
    <row r="678" spans="1:27"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row>
    <row r="679" spans="1:27"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row>
    <row r="680" spans="1:27"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row>
    <row r="681" spans="1:27"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row>
    <row r="682" spans="1:27"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row>
    <row r="683" spans="1:27"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row>
    <row r="684" spans="1:27"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row>
    <row r="685" spans="1:27"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row>
    <row r="686" spans="1:27"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row>
    <row r="687" spans="1:27"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row>
    <row r="688" spans="1:27"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row>
    <row r="689" spans="1:27"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row>
    <row r="690" spans="1:27"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row>
    <row r="691" spans="1:27"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row>
    <row r="692" spans="1:27"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row>
    <row r="693" spans="1:27"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row>
    <row r="694" spans="1:27"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row>
    <row r="695" spans="1:27"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row>
    <row r="696" spans="1:27"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row>
    <row r="697" spans="1:27"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row>
    <row r="698" spans="1:27"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row>
    <row r="699" spans="1:27"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row>
    <row r="700" spans="1:27"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row>
    <row r="701" spans="1:27"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row>
    <row r="702" spans="1:27"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row>
    <row r="703" spans="1:27"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row>
    <row r="704" spans="1:27"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row>
    <row r="705" spans="1:27"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row>
    <row r="706" spans="1:27"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row>
    <row r="707" spans="1:27"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row>
    <row r="708" spans="1:27"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row>
    <row r="709" spans="1:27"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row>
    <row r="710" spans="1:27"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row>
    <row r="711" spans="1:27"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row>
    <row r="712" spans="1:27"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row>
    <row r="713" spans="1:27"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row>
    <row r="714" spans="1:27"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row>
    <row r="715" spans="1:27"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row>
    <row r="716" spans="1:27"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row>
    <row r="717" spans="1:27"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row>
    <row r="718" spans="1:27"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row>
    <row r="719" spans="1:27"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row>
    <row r="720" spans="1:27"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row>
    <row r="721" spans="1:27"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row>
    <row r="722" spans="1:27"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row>
    <row r="723" spans="1:27"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row>
    <row r="724" spans="1:27"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row>
    <row r="725" spans="1:27"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row>
    <row r="726" spans="1:27"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row>
    <row r="727" spans="1:27"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row>
    <row r="728" spans="1:27"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row>
    <row r="729" spans="1:27"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row>
    <row r="730" spans="1:27"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row>
    <row r="731" spans="1:27"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row>
    <row r="732" spans="1:27"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row>
    <row r="733" spans="1:27"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row>
    <row r="734" spans="1:27"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row>
    <row r="735" spans="1:27"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row>
    <row r="736" spans="1:27"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row>
    <row r="737" spans="1:27"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row>
    <row r="738" spans="1:27"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row>
    <row r="739" spans="1:27"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row>
    <row r="740" spans="1:27"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row>
    <row r="741" spans="1:27"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row>
    <row r="742" spans="1:27"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row>
    <row r="743" spans="1:27"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row>
    <row r="744" spans="1:27"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row>
    <row r="745" spans="1:27"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row>
    <row r="746" spans="1:27"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row>
    <row r="747" spans="1:27"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row>
    <row r="748" spans="1:27"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row>
    <row r="749" spans="1:27"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row>
    <row r="750" spans="1:27"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row>
    <row r="751" spans="1:27"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row>
    <row r="752" spans="1:27"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row>
    <row r="753" spans="1:27"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row>
    <row r="754" spans="1:27"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row>
    <row r="755" spans="1:27"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row>
    <row r="756" spans="1:27"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row>
    <row r="757" spans="1:27"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row>
    <row r="758" spans="1:27"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row>
    <row r="759" spans="1:27"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row>
    <row r="760" spans="1:27"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row>
    <row r="761" spans="1:27"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row>
    <row r="762" spans="1:27"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row>
    <row r="763" spans="1:27"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row>
    <row r="764" spans="1:27"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row>
    <row r="765" spans="1:27"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row>
    <row r="766" spans="1:27"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row>
    <row r="767" spans="1:27"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row>
    <row r="768" spans="1:27"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row>
    <row r="769" spans="1:27"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row>
    <row r="770" spans="1:27"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row>
    <row r="771" spans="1:27"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row>
    <row r="772" spans="1:27"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row>
    <row r="773" spans="1:27"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row>
    <row r="774" spans="1:27"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row>
    <row r="775" spans="1:27"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row>
    <row r="776" spans="1:27"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row>
    <row r="777" spans="1:27"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row>
    <row r="778" spans="1:27"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row>
    <row r="779" spans="1:27"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row>
    <row r="780" spans="1:27"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row>
    <row r="781" spans="1:27"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row>
    <row r="782" spans="1:27"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row>
    <row r="783" spans="1:27"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row>
    <row r="784" spans="1:27"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row>
    <row r="785" spans="1:27"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row>
    <row r="786" spans="1:27"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row>
    <row r="787" spans="1:27"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row>
    <row r="788" spans="1:27"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row>
    <row r="789" spans="1:27"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row>
    <row r="790" spans="1:27"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row>
    <row r="791" spans="1:27"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row>
    <row r="792" spans="1:27"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row>
    <row r="793" spans="1:27"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row>
    <row r="794" spans="1:27"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row>
    <row r="795" spans="1:27"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row>
    <row r="796" spans="1:27"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row>
    <row r="797" spans="1:27"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row>
    <row r="798" spans="1:27"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row>
    <row r="799" spans="1:27"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row>
    <row r="800" spans="1:27"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row>
    <row r="801" spans="1:27"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row>
    <row r="802" spans="1:27"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row>
    <row r="803" spans="1:27"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row>
    <row r="804" spans="1:27"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row>
    <row r="805" spans="1:27"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row>
    <row r="806" spans="1:27"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row>
    <row r="807" spans="1:27"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row>
    <row r="808" spans="1:27"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row>
    <row r="809" spans="1:27"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row>
    <row r="810" spans="1:27"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row>
    <row r="811" spans="1:27"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row>
    <row r="812" spans="1:27"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row>
    <row r="813" spans="1:27"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row>
    <row r="814" spans="1:27"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row>
    <row r="815" spans="1:27"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row>
    <row r="816" spans="1:27"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row>
    <row r="817" spans="1:27"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row>
    <row r="818" spans="1:27"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row>
    <row r="819" spans="1:27"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row>
    <row r="820" spans="1:27"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row>
    <row r="821" spans="1:27"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row>
    <row r="822" spans="1:27"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row>
    <row r="823" spans="1:27"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row>
    <row r="824" spans="1:27"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row>
    <row r="825" spans="1:27"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row>
    <row r="826" spans="1:27"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row>
    <row r="827" spans="1:27"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row>
    <row r="828" spans="1:27"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row>
    <row r="829" spans="1:27"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row>
    <row r="830" spans="1:27"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row>
    <row r="831" spans="1:27"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row>
    <row r="832" spans="1:27"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row>
    <row r="833" spans="1:27"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row>
    <row r="834" spans="1:27"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row>
    <row r="835" spans="1:27"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row>
    <row r="836" spans="1:27"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row>
    <row r="837" spans="1:27"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row>
    <row r="838" spans="1:27"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row>
    <row r="839" spans="1:27"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row>
    <row r="840" spans="1:27"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row>
    <row r="841" spans="1:27"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row>
    <row r="842" spans="1:27"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row>
    <row r="843" spans="1:27"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row>
    <row r="844" spans="1:27"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row>
    <row r="845" spans="1:27"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row>
    <row r="846" spans="1:27"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row>
    <row r="847" spans="1:27"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row>
    <row r="848" spans="1:27"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row>
    <row r="849" spans="1:27"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row>
    <row r="850" spans="1:27"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row>
    <row r="851" spans="1:27"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row>
    <row r="852" spans="1:27"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row>
    <row r="853" spans="1:27"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row>
    <row r="854" spans="1:27"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row>
    <row r="855" spans="1:27"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row>
    <row r="856" spans="1:27"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row>
    <row r="857" spans="1:27"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row>
    <row r="858" spans="1:27"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row>
    <row r="859" spans="1:27"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row>
    <row r="860" spans="1:27"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row>
    <row r="861" spans="1:27"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row>
    <row r="862" spans="1:27"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row>
    <row r="863" spans="1:27"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row>
    <row r="864" spans="1:27"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row>
    <row r="865" spans="1:27"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row>
    <row r="866" spans="1:27"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row>
    <row r="867" spans="1:27"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row>
    <row r="868" spans="1:27"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row>
    <row r="869" spans="1:27"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row>
    <row r="870" spans="1:27"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row>
    <row r="871" spans="1:27"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row>
    <row r="872" spans="1:27"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row>
    <row r="873" spans="1:27"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row>
    <row r="874" spans="1:27"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row>
    <row r="875" spans="1:27"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row>
    <row r="876" spans="1:27"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row>
    <row r="877" spans="1:27"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row>
    <row r="878" spans="1:27"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row>
    <row r="879" spans="1:27"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row>
    <row r="880" spans="1:27"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row>
    <row r="881" spans="1:27"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row>
    <row r="882" spans="1:27"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row>
    <row r="883" spans="1:27"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row>
    <row r="884" spans="1:27"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row>
    <row r="885" spans="1:27"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row>
    <row r="886" spans="1:27"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row>
    <row r="887" spans="1:27"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row>
    <row r="888" spans="1:27"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row>
    <row r="889" spans="1:27"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row>
    <row r="890" spans="1:27"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row>
    <row r="891" spans="1:27"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row>
    <row r="892" spans="1:27"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row>
    <row r="893" spans="1:27"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row>
    <row r="894" spans="1:27"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row>
    <row r="895" spans="1:27"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row>
    <row r="896" spans="1:27"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row>
    <row r="897" spans="1:27"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row>
    <row r="898" spans="1:27"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row>
    <row r="899" spans="1:27"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row>
    <row r="900" spans="1:27"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row>
    <row r="901" spans="1:27"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row>
    <row r="902" spans="1:27"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row>
    <row r="903" spans="1:27"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row>
    <row r="904" spans="1:27"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row>
    <row r="905" spans="1:27"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row>
    <row r="906" spans="1:27"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row>
    <row r="907" spans="1:27"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row>
    <row r="908" spans="1:27"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row>
    <row r="909" spans="1:27"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row>
    <row r="910" spans="1:27"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row>
    <row r="911" spans="1:27"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row>
    <row r="912" spans="1:27"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row>
    <row r="913" spans="1:27"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row>
    <row r="914" spans="1:27"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row>
    <row r="915" spans="1:27"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row>
    <row r="916" spans="1:27"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row>
    <row r="917" spans="1:27"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row>
    <row r="918" spans="1:27"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row>
    <row r="919" spans="1:27"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row>
    <row r="920" spans="1:27"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row>
    <row r="921" spans="1:27"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row>
    <row r="922" spans="1:27"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row>
    <row r="923" spans="1:27"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row>
    <row r="924" spans="1:27"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row>
    <row r="925" spans="1:27"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row>
    <row r="926" spans="1:27"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row>
    <row r="927" spans="1:27"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row>
    <row r="928" spans="1:27"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row>
    <row r="929" spans="1:27"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row>
    <row r="930" spans="1:27"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row>
    <row r="931" spans="1:27"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row>
    <row r="932" spans="1:27"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row>
    <row r="933" spans="1:27"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row>
    <row r="934" spans="1:27"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row>
    <row r="935" spans="1:27"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row>
    <row r="936" spans="1:27"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row>
    <row r="937" spans="1:27"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row>
    <row r="938" spans="1:27"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row>
    <row r="939" spans="1:27"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row>
    <row r="940" spans="1:27"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row>
    <row r="941" spans="1:27"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row>
    <row r="942" spans="1:27"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row>
    <row r="943" spans="1:27"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row>
    <row r="944" spans="1:27"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row>
    <row r="945" spans="1:27"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row>
    <row r="946" spans="1:27"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row>
    <row r="947" spans="1:27"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row>
    <row r="948" spans="1:27"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row>
    <row r="949" spans="1:27"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row>
    <row r="950" spans="1:27"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row>
    <row r="951" spans="1:27"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row>
    <row r="952" spans="1:27"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row>
    <row r="953" spans="1:27"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row>
    <row r="954" spans="1:27"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row>
    <row r="955" spans="1:27"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row>
    <row r="956" spans="1:27"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row>
    <row r="957" spans="1:27"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row>
    <row r="958" spans="1:27"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row>
    <row r="959" spans="1:27"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row>
    <row r="960" spans="1:27"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row>
    <row r="961" spans="1:27"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row>
    <row r="962" spans="1:27"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row>
    <row r="963" spans="1:27"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row>
    <row r="964" spans="1:27"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row>
    <row r="965" spans="1:27"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row>
    <row r="966" spans="1:27"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row>
    <row r="967" spans="1:27"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row>
    <row r="968" spans="1:27"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row>
    <row r="969" spans="1:27"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row>
    <row r="970" spans="1:27"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row>
    <row r="971" spans="1:27"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row>
    <row r="972" spans="1:27"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row>
    <row r="973" spans="1:27"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row>
    <row r="974" spans="1:27"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row>
    <row r="975" spans="1:27"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row>
    <row r="976" spans="1:27"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row>
    <row r="977" spans="1:27"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row>
    <row r="978" spans="1:27"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row>
    <row r="979" spans="1:27"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row>
    <row r="980" spans="1:27"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row>
    <row r="981" spans="1:27"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row>
    <row r="982" spans="1:27"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row>
    <row r="983" spans="1:27"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row>
    <row r="984" spans="1:27"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row>
    <row r="985" spans="1:27"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row>
    <row r="986" spans="1:27"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row>
    <row r="987" spans="1:27"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row>
    <row r="988" spans="1:27"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row>
    <row r="989" spans="1:27"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row>
    <row r="990" spans="1:27"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row>
    <row r="991" spans="1:27"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row>
    <row r="992" spans="1:27"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row>
    <row r="993" spans="1:27"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row>
    <row r="994" spans="1:27"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row>
    <row r="995" spans="1:27"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row>
    <row r="996" spans="1:27"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row>
    <row r="997" spans="1:27"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row>
    <row r="998" spans="1:27"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row>
    <row r="999" spans="1:27"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row>
    <row r="1000" spans="1:27"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row>
  </sheetData>
  <mergeCells count="11">
    <mergeCell ref="U15:W15"/>
    <mergeCell ref="X15:Z15"/>
    <mergeCell ref="L15:N15"/>
    <mergeCell ref="L16:N16"/>
    <mergeCell ref="L17:N17"/>
    <mergeCell ref="L18:N18"/>
    <mergeCell ref="C2:E2"/>
    <mergeCell ref="F2:G2"/>
    <mergeCell ref="N5:N12"/>
    <mergeCell ref="L6:L11"/>
    <mergeCell ref="J13:M13"/>
  </mergeCells>
  <conditionalFormatting sqref="E19">
    <cfRule type="cellIs" dxfId="252" priority="1" stopIfTrue="1" operator="lessThan">
      <formula>1.2</formula>
    </cfRule>
  </conditionalFormatting>
  <conditionalFormatting sqref="F23">
    <cfRule type="expression" dxfId="251" priority="2">
      <formula>AND(F23&lt;0.4*F24,F23&lt;1)</formula>
    </cfRule>
  </conditionalFormatting>
  <conditionalFormatting sqref="F24">
    <cfRule type="expression" dxfId="250" priority="3">
      <formula>AND(F24&lt;0.4*F23,F24&lt;1)</formula>
    </cfRule>
  </conditionalFormatting>
  <conditionalFormatting sqref="H30:H36 H38:H39">
    <cfRule type="cellIs" dxfId="249" priority="4" stopIfTrue="1" operator="greaterThanOrEqual">
      <formula>100</formula>
    </cfRule>
    <cfRule type="cellIs" dxfId="248" priority="5" stopIfTrue="1" operator="lessThan">
      <formula>100</formula>
    </cfRule>
  </conditionalFormatting>
  <conditionalFormatting sqref="H37">
    <cfRule type="cellIs" dxfId="247" priority="6" stopIfTrue="1" operator="greaterThanOrEqual">
      <formula>100.01</formula>
    </cfRule>
    <cfRule type="cellIs" dxfId="246" priority="7" stopIfTrue="1" operator="lessThan">
      <formula>100.01</formula>
    </cfRule>
  </conditionalFormatting>
  <dataValidations count="5">
    <dataValidation type="list" allowBlank="1" showErrorMessage="1" sqref="F2" xr:uid="{00000000-0002-0000-1300-000000000000}">
      <formula1>'T3.12 T3.5 Ft Bulkhead'!ConstructionType</formula1>
    </dataValidation>
    <dataValidation type="list" allowBlank="1" showErrorMessage="1" sqref="F5" xr:uid="{00000000-0002-0000-1300-000001000000}">
      <formula1>'T3.12 T3.5 Ft Bulkhead'!Materials</formula1>
    </dataValidation>
    <dataValidation type="list" allowBlank="1" showErrorMessage="1" sqref="E5" xr:uid="{00000000-0002-0000-1300-000002000000}">
      <formula1>'T3.12 T3.5 Ft Bulkhead'!Metallic_Mats</formula1>
    </dataValidation>
    <dataValidation type="list" allowBlank="1" showInputMessage="1" showErrorMessage="1" prompt="Select Material" sqref="C5:D5 D6" xr:uid="{00000000-0002-0000-1300-000003000000}">
      <formula1>'T3.12 T3.5 Ft Bulkhead'!Materials</formula1>
    </dataValidation>
    <dataValidation type="list" allowBlank="1" showInputMessage="1" showErrorMessage="1" prompt="Select Material" sqref="E6" xr:uid="{00000000-0002-0000-1300-000004000000}">
      <formula1>'T3.12 T3.5 Ft Bulkhead'!Tube_Type</formula1>
    </dataValidation>
  </dataValidations>
  <hyperlinks>
    <hyperlink ref="F7" location="'T3.5 FBH'!A1" display="FBH" xr:uid="{00000000-0004-0000-1300-000000000000}"/>
    <hyperlink ref="B17" location="'T1.1 Guidance Notes'!A1" display="Number of tubes" xr:uid="{00000000-0004-0000-1300-000001000000}"/>
    <hyperlink ref="K39" location="'Cover Sheet'!A1" display="BACK to COVER SHEET" xr:uid="{00000000-0004-0000-1300-000002000000}"/>
  </hyperlinks>
  <pageMargins left="0.75" right="0.75" top="1" bottom="1" header="0" footer="0"/>
  <pageSetup paperSize="9" orientation="portrait"/>
  <colBreaks count="1" manualBreakCount="1">
    <brk id="9" man="1"/>
  </col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B1:O1000"/>
  <sheetViews>
    <sheetView showGridLines="0" workbookViewId="0"/>
  </sheetViews>
  <sheetFormatPr baseColWidth="10" defaultColWidth="12.5703125" defaultRowHeight="15" customHeight="1"/>
  <cols>
    <col min="1" max="1" width="3.42578125" customWidth="1"/>
    <col min="2" max="2" width="45.5703125" customWidth="1"/>
    <col min="3" max="3" width="11.42578125" customWidth="1"/>
    <col min="4" max="4" width="15.42578125" customWidth="1"/>
    <col min="5" max="5" width="6.140625" customWidth="1"/>
    <col min="6" max="6" width="8.5703125" customWidth="1"/>
    <col min="7" max="7" width="10" customWidth="1"/>
    <col min="8" max="8" width="38.42578125" customWidth="1"/>
    <col min="9" max="26" width="11.42578125" customWidth="1"/>
  </cols>
  <sheetData>
    <row r="1" spans="2:9" ht="12.75" customHeight="1">
      <c r="B1" s="213" t="s">
        <v>558</v>
      </c>
    </row>
    <row r="2" spans="2:9" ht="12.75" customHeight="1"/>
    <row r="3" spans="2:9" ht="12.75" customHeight="1">
      <c r="B3" s="31" t="s">
        <v>559</v>
      </c>
    </row>
    <row r="4" spans="2:9" ht="12.75" customHeight="1">
      <c r="B4" s="703" t="s">
        <v>560</v>
      </c>
      <c r="C4" s="588"/>
      <c r="D4" s="304">
        <f>99.56+234.96-100</f>
        <v>234.51999999999998</v>
      </c>
      <c r="F4" s="23"/>
    </row>
    <row r="5" spans="2:9" ht="12.75" customHeight="1">
      <c r="B5" s="704" t="s">
        <v>561</v>
      </c>
      <c r="C5" s="602"/>
      <c r="D5" s="305" t="s">
        <v>168</v>
      </c>
    </row>
    <row r="6" spans="2:9" ht="12.75" customHeight="1"/>
    <row r="7" spans="2:9" ht="12.75" customHeight="1">
      <c r="B7" s="27" t="s">
        <v>436</v>
      </c>
      <c r="C7" s="27" t="s">
        <v>437</v>
      </c>
      <c r="D7" s="27" t="s">
        <v>562</v>
      </c>
      <c r="F7" s="23"/>
      <c r="G7" s="306"/>
      <c r="H7" s="306"/>
      <c r="I7" s="6"/>
    </row>
    <row r="8" spans="2:9" ht="12.75" customHeight="1">
      <c r="B8" s="43" t="s">
        <v>439</v>
      </c>
      <c r="C8" s="109" t="s">
        <v>202</v>
      </c>
      <c r="D8" s="214" t="s">
        <v>202</v>
      </c>
      <c r="F8" s="307"/>
      <c r="G8" s="6"/>
      <c r="H8" s="307"/>
      <c r="I8" s="6"/>
    </row>
    <row r="9" spans="2:9" ht="12.75" customHeight="1">
      <c r="B9" s="43" t="s">
        <v>441</v>
      </c>
      <c r="C9" s="126" t="str">
        <f>HLOOKUP(C8,MaterialData!$C$3:$P$4,2,FALSE)</f>
        <v>Steel</v>
      </c>
      <c r="D9" s="126" t="str">
        <f>IF(D8="Alternative AIP","N/A",HLOOKUP(D8,MaterialData!$C$3:$P$4,2,FALSE))</f>
        <v>Steel</v>
      </c>
      <c r="F9" s="307"/>
      <c r="G9" s="6"/>
      <c r="H9" s="307"/>
      <c r="I9" s="6"/>
    </row>
    <row r="10" spans="2:9" ht="12.75" customHeight="1">
      <c r="B10" s="43" t="s">
        <v>223</v>
      </c>
      <c r="C10" s="126">
        <f t="array" ref="C10">INDEX(Innertable,MATCH($B10,MaterialData!$B$6:$B$11,0),MATCH(C$9,MaterialData!$C$4:$P$4,0))</f>
        <v>200000000000</v>
      </c>
      <c r="D10" s="235">
        <f t="array" ref="D10">IF(D8="Alternative AIP","N/A",INDEX(Innertable,MATCH($B10,MaterialData!$B$6:$B$11,0),MATCH(D$9,MaterialData!$C$4:$P$4,0)))</f>
        <v>200000000000</v>
      </c>
      <c r="F10" s="6"/>
      <c r="G10" s="6"/>
      <c r="H10" s="6"/>
    </row>
    <row r="11" spans="2:9" ht="12.75" customHeight="1">
      <c r="B11" s="43" t="s">
        <v>225</v>
      </c>
      <c r="C11" s="126">
        <f t="array" ref="C11">INDEX(Innertable,MATCH($B11,MaterialData!$B$6:$B$11,0),MATCH(C$9,MaterialData!$C$4:$P$4,0))</f>
        <v>305000000</v>
      </c>
      <c r="D11" s="235">
        <f t="array" ref="D11">IF(D8="Alternative AIP","N/A",INDEX(Innertable,MATCH($B11,MaterialData!$B$6:$B$11,0),MATCH(D$9,MaterialData!$C$4:$P$4,0)))</f>
        <v>305000000</v>
      </c>
      <c r="F11" s="307"/>
      <c r="G11" s="308"/>
      <c r="H11" s="307"/>
    </row>
    <row r="12" spans="2:9" ht="12.75" customHeight="1">
      <c r="B12" s="43" t="s">
        <v>227</v>
      </c>
      <c r="C12" s="126">
        <f t="array" ref="C12">INDEX(Innertable,MATCH($B12,MaterialData!$B$6:$B$11,0),MATCH(C$9,MaterialData!$C$4:$P$4,0))</f>
        <v>365000000</v>
      </c>
      <c r="D12" s="235">
        <f t="array" ref="D12">IF(D8="Alternative AIP","N/A",INDEX(Innertable,MATCH($B12,MaterialData!$B$6:$B$11,0),MATCH(D$9,MaterialData!$C$4:$P$4,0)))</f>
        <v>365000000</v>
      </c>
      <c r="F12" s="307"/>
      <c r="G12" s="308"/>
      <c r="H12" s="307"/>
    </row>
    <row r="13" spans="2:9" ht="12.75" customHeight="1">
      <c r="B13" s="43" t="s">
        <v>229</v>
      </c>
      <c r="C13" s="126">
        <f t="array" ref="C13">INDEX(Innertable,MATCH($B13,MaterialData!$B$6:$B$11,0),MATCH(C$9,MaterialData!$C$4:$P$4,0))</f>
        <v>180000000</v>
      </c>
      <c r="D13" s="235">
        <f t="array" ref="D13">IF(D8="Alternative AIP","N/A",INDEX(Innertable,MATCH($B13,MaterialData!$B$6:$B$11,0),MATCH(D$9,MaterialData!$C$4:$P$4,0)))</f>
        <v>180000000</v>
      </c>
      <c r="F13" s="307"/>
      <c r="G13" s="6"/>
      <c r="H13" s="307"/>
      <c r="I13" s="308"/>
    </row>
    <row r="14" spans="2:9" ht="12.75" customHeight="1">
      <c r="B14" s="43" t="s">
        <v>230</v>
      </c>
      <c r="C14" s="126">
        <f t="array" ref="C14">INDEX(Innertable,MATCH($B14,MaterialData!$B$6:$B$11,0),MATCH(C$9,MaterialData!$C$4:$P$4,0))</f>
        <v>300000000</v>
      </c>
      <c r="D14" s="235">
        <f t="array" ref="D14">IF(D8="Alternative AIP","N/A",INDEX(Innertable,MATCH($B14,MaterialData!$B$6:$B$11,0),MATCH(D$9,MaterialData!$C$4:$P$4,0)))</f>
        <v>300000000</v>
      </c>
      <c r="F14" s="307"/>
      <c r="G14" s="6"/>
      <c r="H14" s="307"/>
      <c r="I14" s="308"/>
    </row>
    <row r="15" spans="2:9" ht="12.75" customHeight="1">
      <c r="B15" s="43" t="s">
        <v>231</v>
      </c>
      <c r="C15" s="126">
        <f t="array" ref="C15">INDEX(Innertable,MATCH($B15,MaterialData!$B$6:$B$11,0),MATCH(C$9,MaterialData!$C$4:$P$4,0))</f>
        <v>219000000</v>
      </c>
      <c r="D15" s="235">
        <f t="array" ref="D15">IF(D8="Alternative AIP","N/A",INDEX(Innertable,MATCH($B15,MaterialData!$B$6:$B$11,0),MATCH(D$9,MaterialData!$C$4:$P$4,0)))</f>
        <v>219000000</v>
      </c>
      <c r="F15" s="307"/>
      <c r="G15" s="309"/>
      <c r="H15" s="307"/>
      <c r="I15" s="308"/>
    </row>
    <row r="16" spans="2:9" ht="12.75" customHeight="1">
      <c r="F16" s="6"/>
      <c r="G16" s="6"/>
      <c r="H16" s="6"/>
      <c r="I16" s="6"/>
    </row>
    <row r="17" spans="2:15" ht="12.75" customHeight="1">
      <c r="B17" s="6"/>
      <c r="C17" s="225" t="s">
        <v>563</v>
      </c>
      <c r="D17" s="310" t="s">
        <v>564</v>
      </c>
      <c r="F17" s="311" t="str">
        <f>IF(OR($D$17="NO",$D$8="Alternative AIP"),"Test per T3.18 required","Per T3.16.7 possibility to avoid testing (T3.18), pending bulkhead measurements")</f>
        <v>Per T3.16.7 possibility to avoid testing (T3.18), pending bulkhead measurements</v>
      </c>
      <c r="G17" s="33"/>
      <c r="H17" s="33"/>
      <c r="I17" s="33"/>
    </row>
    <row r="18" spans="2:15" ht="12.75" customHeight="1">
      <c r="F18" s="6"/>
      <c r="G18" s="6"/>
      <c r="H18" s="6"/>
      <c r="I18" s="6"/>
    </row>
    <row r="19" spans="2:15" ht="12.75" customHeight="1">
      <c r="B19" s="43" t="s">
        <v>480</v>
      </c>
      <c r="C19" s="217">
        <v>1.5</v>
      </c>
      <c r="D19" s="312">
        <f>IF(D8="steel",1.5,IF(D8="aluminium 1",4,IF(D8="Alternative AIP","N/A")))</f>
        <v>1.5</v>
      </c>
      <c r="F19" s="313"/>
      <c r="H19" s="306"/>
      <c r="I19" s="6"/>
    </row>
    <row r="20" spans="2:15" ht="12.75" customHeight="1">
      <c r="B20" s="43" t="s">
        <v>565</v>
      </c>
      <c r="C20" s="109">
        <v>350</v>
      </c>
      <c r="D20" s="109">
        <f>IF('T3.12 T3.5 Ft Bulkhead'!$F$2="Tubing only",'T3.12 T3.5 Ft Bulkhead'!E16,IF('T3.12 T3.5 Ft Bulkhead'!$F$2="Composite only",'T3.12 T3.5 Ft Bulkhead'!L16,'T3.12 T3.5 Ft Bulkhead'!L16))</f>
        <v>388</v>
      </c>
      <c r="F20" s="705" t="str">
        <f>IF(AND($D$17="YES",OR($D$20&gt;350,$D$21&gt;400)),"T3.16.7 requires diagonal or X-bracing for space frames or equivalent stiff structure for monocoque bulkheads",IF(AND($D$17="YES",$D$20&lt;=350,$D$21&lt;=400,OR($D$8="Steel",$D$8="Aluminium 1")),"Testing per T3.18 can be avoided",""))</f>
        <v>T3.16.7 requires diagonal or X-bracing for space frames or equivalent stiff structure for monocoque bulkheads</v>
      </c>
      <c r="G20" s="598"/>
      <c r="H20" s="598"/>
      <c r="I20" s="598"/>
      <c r="J20" s="598"/>
      <c r="K20" s="598"/>
    </row>
    <row r="21" spans="2:15" ht="12.75" customHeight="1">
      <c r="B21" s="43" t="s">
        <v>566</v>
      </c>
      <c r="C21" s="109">
        <v>400</v>
      </c>
      <c r="D21" s="109">
        <f>IF('T3.12 T3.5 Ft Bulkhead'!$F$2="Tubing only",'T3.12 T3.5 Ft Bulkhead'!E15,IF('T3.12 T3.5 Ft Bulkhead'!$F$2="Composite only",'T3.12 T3.5 Ft Bulkhead'!L15,'T3.12 T3.5 Ft Bulkhead'!L15))</f>
        <v>388</v>
      </c>
      <c r="F21" s="598"/>
      <c r="G21" s="598"/>
      <c r="H21" s="598"/>
      <c r="I21" s="598"/>
      <c r="J21" s="598"/>
      <c r="K21" s="598"/>
    </row>
    <row r="22" spans="2:15" ht="12.75" customHeight="1">
      <c r="B22" s="6"/>
      <c r="C22" s="307"/>
      <c r="D22" s="4"/>
      <c r="H22" s="6"/>
    </row>
    <row r="23" spans="2:15" ht="12.75" customHeight="1">
      <c r="C23" s="225" t="s">
        <v>567</v>
      </c>
      <c r="D23" s="314" t="str">
        <f>IF(OR(AND($D$8="steel",$D$19&gt;=1.5,$D$17="YES"),AND($D$8="aluminium 1",$D$19&gt;=4,$D$17="YES")),"YES","NO")</f>
        <v>YES</v>
      </c>
      <c r="F23" s="307"/>
      <c r="G23" s="308"/>
      <c r="H23" s="307"/>
      <c r="I23" s="308"/>
    </row>
    <row r="24" spans="2:15" ht="12.75" customHeight="1">
      <c r="F24" s="307"/>
      <c r="G24" s="6"/>
      <c r="H24" s="307"/>
      <c r="I24" s="308"/>
    </row>
    <row r="25" spans="2:15" ht="12.75" customHeight="1">
      <c r="B25" s="31" t="s">
        <v>568</v>
      </c>
      <c r="F25" s="307"/>
      <c r="G25" s="309"/>
      <c r="H25" s="307"/>
      <c r="I25" s="308"/>
    </row>
    <row r="26" spans="2:15" ht="12.75" customHeight="1">
      <c r="B26" s="43" t="s">
        <v>569</v>
      </c>
      <c r="C26" s="43" t="s">
        <v>129</v>
      </c>
      <c r="D26" s="214">
        <v>100</v>
      </c>
      <c r="E26" s="67" t="str">
        <f>IF(D26&gt;D20,"INVALID ENTRY, AIP IS TOO HIGH","")</f>
        <v/>
      </c>
      <c r="F26" s="6"/>
      <c r="G26" s="6"/>
      <c r="I26" s="6"/>
    </row>
    <row r="27" spans="2:15" ht="12.75" customHeight="1">
      <c r="B27" s="43" t="s">
        <v>570</v>
      </c>
      <c r="C27" s="43" t="s">
        <v>129</v>
      </c>
      <c r="D27" s="214">
        <v>200</v>
      </c>
      <c r="E27" s="67" t="e">
        <f t="array" aca="1" ref="E27" ca="1">_xludf.IFS(D27&gt;D21,"INVALID ENTRY, AIP IS TOO WIDE",D27&lt;200,"INVALID ENTRY, AIP IS TOO NARROW",AND(D27&lt;=D21,D27&gt;=200),"")</f>
        <v>#NAME?</v>
      </c>
      <c r="G27" s="39"/>
      <c r="I27" s="39"/>
      <c r="L27" s="39" t="s">
        <v>252</v>
      </c>
    </row>
    <row r="28" spans="2:15" ht="12.75" customHeight="1">
      <c r="B28" s="34"/>
      <c r="C28" s="34"/>
      <c r="D28" s="315"/>
    </row>
    <row r="29" spans="2:15" ht="12.75" customHeight="1">
      <c r="B29" s="31" t="s">
        <v>485</v>
      </c>
      <c r="E29" s="131"/>
    </row>
    <row r="30" spans="2:15" ht="12.75" customHeight="1">
      <c r="B30" s="142"/>
      <c r="C30" s="143"/>
      <c r="D30" s="143"/>
      <c r="E30" s="143"/>
      <c r="F30" s="143"/>
      <c r="G30" s="143"/>
      <c r="H30" s="143"/>
      <c r="I30" s="143"/>
      <c r="J30" s="143"/>
      <c r="K30" s="143"/>
      <c r="L30" s="143"/>
      <c r="M30" s="143"/>
      <c r="N30" s="143"/>
      <c r="O30" s="144"/>
    </row>
    <row r="31" spans="2:15" ht="12.75" customHeight="1">
      <c r="B31" s="222" t="s">
        <v>571</v>
      </c>
      <c r="C31" s="64"/>
      <c r="D31" s="64"/>
      <c r="E31" s="64"/>
      <c r="F31" s="64"/>
      <c r="G31" s="64"/>
      <c r="H31" s="64"/>
      <c r="I31" s="64"/>
      <c r="J31" s="64"/>
      <c r="K31" s="64"/>
      <c r="L31" s="64"/>
      <c r="M31" s="64"/>
      <c r="N31" s="64"/>
      <c r="O31" s="96"/>
    </row>
    <row r="32" spans="2:15" ht="12.75" customHeight="1">
      <c r="B32" s="95"/>
      <c r="C32" s="64"/>
      <c r="D32" s="64"/>
      <c r="E32" s="64"/>
      <c r="F32" s="64"/>
      <c r="G32" s="64"/>
      <c r="H32" s="64"/>
      <c r="I32" s="64"/>
      <c r="J32" s="64"/>
      <c r="K32" s="64"/>
      <c r="L32" s="64"/>
      <c r="M32" s="64"/>
      <c r="N32" s="64"/>
      <c r="O32" s="96"/>
    </row>
    <row r="33" spans="2:15" ht="12.75" customHeight="1">
      <c r="B33" s="95"/>
      <c r="C33" s="64"/>
      <c r="D33" s="64"/>
      <c r="E33" s="64"/>
      <c r="F33" s="64"/>
      <c r="G33" s="64"/>
      <c r="H33" s="64"/>
      <c r="I33" s="64"/>
      <c r="J33" s="64"/>
      <c r="K33" s="64"/>
      <c r="L33" s="64"/>
      <c r="M33" s="64"/>
      <c r="N33" s="64"/>
      <c r="O33" s="96"/>
    </row>
    <row r="34" spans="2:15" ht="12.75" customHeight="1">
      <c r="B34" s="95"/>
      <c r="C34" s="64"/>
      <c r="D34" s="64"/>
      <c r="E34" s="64"/>
      <c r="F34" s="64"/>
      <c r="G34" s="64"/>
      <c r="H34" s="64"/>
      <c r="I34" s="64"/>
      <c r="J34" s="64"/>
      <c r="K34" s="64"/>
      <c r="L34" s="64"/>
      <c r="M34" s="64"/>
      <c r="N34" s="64"/>
      <c r="O34" s="96"/>
    </row>
    <row r="35" spans="2:15" ht="12.75" customHeight="1">
      <c r="B35" s="95"/>
      <c r="C35" s="64"/>
      <c r="D35" s="64"/>
      <c r="E35" s="64"/>
      <c r="F35" s="64"/>
      <c r="G35" s="64"/>
      <c r="H35" s="64"/>
      <c r="I35" s="64"/>
      <c r="J35" s="64"/>
      <c r="K35" s="64"/>
      <c r="L35" s="64"/>
      <c r="M35" s="64"/>
      <c r="N35" s="64"/>
      <c r="O35" s="96"/>
    </row>
    <row r="36" spans="2:15" ht="12.75" customHeight="1">
      <c r="B36" s="95"/>
      <c r="C36" s="64"/>
      <c r="D36" s="64"/>
      <c r="E36" s="64"/>
      <c r="F36" s="64"/>
      <c r="G36" s="64"/>
      <c r="H36" s="64"/>
      <c r="I36" s="64"/>
      <c r="J36" s="64"/>
      <c r="K36" s="64"/>
      <c r="L36" s="64"/>
      <c r="M36" s="64"/>
      <c r="N36" s="64"/>
      <c r="O36" s="96"/>
    </row>
    <row r="37" spans="2:15" ht="12.75" customHeight="1">
      <c r="B37" s="95"/>
      <c r="C37" s="64"/>
      <c r="D37" s="64"/>
      <c r="E37" s="64"/>
      <c r="F37" s="64"/>
      <c r="G37" s="64"/>
      <c r="H37" s="64"/>
      <c r="I37" s="64"/>
      <c r="J37" s="64"/>
      <c r="K37" s="64"/>
      <c r="L37" s="64"/>
      <c r="M37" s="64"/>
      <c r="N37" s="64"/>
      <c r="O37" s="96"/>
    </row>
    <row r="38" spans="2:15" ht="12.75" customHeight="1">
      <c r="B38" s="95"/>
      <c r="C38" s="64"/>
      <c r="D38" s="64"/>
      <c r="E38" s="64"/>
      <c r="F38" s="64"/>
      <c r="G38" s="64"/>
      <c r="H38" s="64"/>
      <c r="I38" s="64"/>
      <c r="J38" s="64"/>
      <c r="K38" s="64"/>
      <c r="L38" s="64"/>
      <c r="M38" s="64"/>
      <c r="N38" s="64"/>
      <c r="O38" s="96"/>
    </row>
    <row r="39" spans="2:15" ht="12.75" customHeight="1">
      <c r="B39" s="95"/>
      <c r="C39" s="64"/>
      <c r="D39" s="64"/>
      <c r="E39" s="64"/>
      <c r="F39" s="64"/>
      <c r="G39" s="64"/>
      <c r="H39" s="64"/>
      <c r="I39" s="64"/>
      <c r="J39" s="64"/>
      <c r="K39" s="64"/>
      <c r="L39" s="64"/>
      <c r="M39" s="64"/>
      <c r="N39" s="64"/>
      <c r="O39" s="96"/>
    </row>
    <row r="40" spans="2:15" ht="12.75" customHeight="1">
      <c r="B40" s="95"/>
      <c r="C40" s="64"/>
      <c r="D40" s="64"/>
      <c r="E40" s="64"/>
      <c r="F40" s="64"/>
      <c r="G40" s="64"/>
      <c r="H40" s="64"/>
      <c r="I40" s="64"/>
      <c r="J40" s="64"/>
      <c r="K40" s="64"/>
      <c r="L40" s="64"/>
      <c r="M40" s="64"/>
      <c r="N40" s="64"/>
      <c r="O40" s="96"/>
    </row>
    <row r="41" spans="2:15" ht="12.75" customHeight="1">
      <c r="B41" s="95"/>
      <c r="C41" s="64"/>
      <c r="D41" s="64"/>
      <c r="E41" s="64"/>
      <c r="F41" s="64"/>
      <c r="G41" s="64"/>
      <c r="H41" s="64"/>
      <c r="I41" s="64"/>
      <c r="J41" s="64"/>
      <c r="K41" s="64"/>
      <c r="L41" s="64"/>
      <c r="M41" s="64"/>
      <c r="N41" s="64"/>
      <c r="O41" s="96"/>
    </row>
    <row r="42" spans="2:15" ht="12.75" customHeight="1">
      <c r="B42" s="95"/>
      <c r="C42" s="64"/>
      <c r="D42" s="64"/>
      <c r="E42" s="64"/>
      <c r="F42" s="64"/>
      <c r="G42" s="64"/>
      <c r="H42" s="64"/>
      <c r="I42" s="64"/>
      <c r="J42" s="64"/>
      <c r="K42" s="64"/>
      <c r="L42" s="64"/>
      <c r="M42" s="64"/>
      <c r="N42" s="64"/>
      <c r="O42" s="96"/>
    </row>
    <row r="43" spans="2:15" ht="12.75" customHeight="1">
      <c r="B43" s="95"/>
      <c r="C43" s="64"/>
      <c r="D43" s="64"/>
      <c r="E43" s="64"/>
      <c r="F43" s="64"/>
      <c r="G43" s="64"/>
      <c r="H43" s="64"/>
      <c r="I43" s="64"/>
      <c r="J43" s="64"/>
      <c r="K43" s="64"/>
      <c r="L43" s="64"/>
      <c r="M43" s="64"/>
      <c r="N43" s="64"/>
      <c r="O43" s="96"/>
    </row>
    <row r="44" spans="2:15" ht="12.75" customHeight="1">
      <c r="B44" s="95"/>
      <c r="C44" s="64"/>
      <c r="D44" s="64"/>
      <c r="E44" s="64"/>
      <c r="F44" s="64"/>
      <c r="G44" s="64"/>
      <c r="H44" s="64"/>
      <c r="I44" s="64"/>
      <c r="J44" s="64"/>
      <c r="K44" s="64"/>
      <c r="L44" s="64"/>
      <c r="M44" s="64"/>
      <c r="N44" s="64"/>
      <c r="O44" s="96"/>
    </row>
    <row r="45" spans="2:15" ht="12.75" customHeight="1">
      <c r="B45" s="95"/>
      <c r="C45" s="64"/>
      <c r="D45" s="64"/>
      <c r="E45" s="64"/>
      <c r="F45" s="64"/>
      <c r="G45" s="64"/>
      <c r="H45" s="64"/>
      <c r="I45" s="64"/>
      <c r="J45" s="64"/>
      <c r="K45" s="64"/>
      <c r="L45" s="64"/>
      <c r="M45" s="64"/>
      <c r="N45" s="64"/>
      <c r="O45" s="96"/>
    </row>
    <row r="46" spans="2:15" ht="12.75" customHeight="1">
      <c r="B46" s="95"/>
      <c r="C46" s="64"/>
      <c r="D46" s="64"/>
      <c r="E46" s="64"/>
      <c r="F46" s="64"/>
      <c r="G46" s="64"/>
      <c r="H46" s="64"/>
      <c r="I46" s="64"/>
      <c r="J46" s="64"/>
      <c r="K46" s="64"/>
      <c r="L46" s="64"/>
      <c r="M46" s="64"/>
      <c r="N46" s="64"/>
      <c r="O46" s="96"/>
    </row>
    <row r="47" spans="2:15" ht="12.75" customHeight="1">
      <c r="B47" s="95"/>
      <c r="C47" s="64"/>
      <c r="D47" s="64"/>
      <c r="E47" s="64"/>
      <c r="F47" s="64"/>
      <c r="G47" s="64"/>
      <c r="H47" s="64"/>
      <c r="I47" s="64"/>
      <c r="J47" s="64"/>
      <c r="K47" s="64"/>
      <c r="L47" s="64"/>
      <c r="M47" s="64"/>
      <c r="N47" s="64"/>
      <c r="O47" s="96"/>
    </row>
    <row r="48" spans="2:15" ht="12.75" customHeight="1">
      <c r="B48" s="95"/>
      <c r="C48" s="64"/>
      <c r="D48" s="64"/>
      <c r="E48" s="64"/>
      <c r="F48" s="64"/>
      <c r="G48" s="64"/>
      <c r="H48" s="64"/>
      <c r="I48" s="64"/>
      <c r="J48" s="64"/>
      <c r="K48" s="64"/>
      <c r="L48" s="64"/>
      <c r="M48" s="64"/>
      <c r="N48" s="64"/>
      <c r="O48" s="96"/>
    </row>
    <row r="49" spans="2:15" ht="12.75" customHeight="1">
      <c r="B49" s="95"/>
      <c r="C49" s="64"/>
      <c r="D49" s="64"/>
      <c r="E49" s="64"/>
      <c r="F49" s="64"/>
      <c r="G49" s="64"/>
      <c r="H49" s="64"/>
      <c r="I49" s="64"/>
      <c r="J49" s="64"/>
      <c r="K49" s="64"/>
      <c r="L49" s="64"/>
      <c r="M49" s="64"/>
      <c r="N49" s="64"/>
      <c r="O49" s="96"/>
    </row>
    <row r="50" spans="2:15" ht="12.75" customHeight="1">
      <c r="B50" s="95"/>
      <c r="C50" s="64"/>
      <c r="D50" s="64"/>
      <c r="E50" s="64"/>
      <c r="F50" s="64"/>
      <c r="G50" s="64"/>
      <c r="H50" s="64"/>
      <c r="I50" s="64"/>
      <c r="J50" s="64"/>
      <c r="K50" s="64"/>
      <c r="L50" s="64"/>
      <c r="M50" s="64"/>
      <c r="N50" s="64"/>
      <c r="O50" s="96"/>
    </row>
    <row r="51" spans="2:15" ht="12.75" customHeight="1">
      <c r="B51" s="95"/>
      <c r="C51" s="64"/>
      <c r="D51" s="64"/>
      <c r="E51" s="64"/>
      <c r="F51" s="64"/>
      <c r="G51" s="64"/>
      <c r="H51" s="64"/>
      <c r="I51" s="64"/>
      <c r="J51" s="64"/>
      <c r="K51" s="64"/>
      <c r="L51" s="64"/>
      <c r="M51" s="64"/>
      <c r="N51" s="64"/>
      <c r="O51" s="96"/>
    </row>
    <row r="52" spans="2:15" ht="12.75" customHeight="1">
      <c r="B52" s="95"/>
      <c r="C52" s="64"/>
      <c r="D52" s="64"/>
      <c r="E52" s="64"/>
      <c r="F52" s="64"/>
      <c r="G52" s="64"/>
      <c r="H52" s="64"/>
      <c r="I52" s="64"/>
      <c r="J52" s="64"/>
      <c r="K52" s="64"/>
      <c r="L52" s="64"/>
      <c r="M52" s="64"/>
      <c r="N52" s="64"/>
      <c r="O52" s="96"/>
    </row>
    <row r="53" spans="2:15" ht="12.75" customHeight="1">
      <c r="B53" s="95"/>
      <c r="C53" s="64"/>
      <c r="D53" s="64"/>
      <c r="E53" s="64"/>
      <c r="F53" s="64"/>
      <c r="G53" s="64"/>
      <c r="H53" s="64"/>
      <c r="I53" s="64"/>
      <c r="J53" s="64"/>
      <c r="K53" s="64"/>
      <c r="L53" s="64"/>
      <c r="M53" s="64"/>
      <c r="N53" s="64"/>
      <c r="O53" s="96"/>
    </row>
    <row r="54" spans="2:15" ht="12.75" customHeight="1">
      <c r="B54" s="95"/>
      <c r="C54" s="64"/>
      <c r="D54" s="64"/>
      <c r="E54" s="64"/>
      <c r="F54" s="64"/>
      <c r="G54" s="64"/>
      <c r="H54" s="64"/>
      <c r="I54" s="64"/>
      <c r="J54" s="64"/>
      <c r="K54" s="64"/>
      <c r="L54" s="64"/>
      <c r="M54" s="64"/>
      <c r="N54" s="64"/>
      <c r="O54" s="96"/>
    </row>
    <row r="55" spans="2:15" ht="12.75" customHeight="1">
      <c r="B55" s="95"/>
      <c r="C55" s="64"/>
      <c r="D55" s="64"/>
      <c r="E55" s="64"/>
      <c r="F55" s="64"/>
      <c r="G55" s="64"/>
      <c r="H55" s="6" t="s">
        <v>572</v>
      </c>
      <c r="I55" s="64"/>
      <c r="J55" s="64"/>
      <c r="K55" s="64"/>
      <c r="L55" s="64"/>
      <c r="M55" s="64"/>
      <c r="N55" s="64"/>
      <c r="O55" s="96"/>
    </row>
    <row r="56" spans="2:15" ht="12.75" customHeight="1">
      <c r="B56" s="95"/>
      <c r="C56" s="64"/>
      <c r="D56" s="64"/>
      <c r="E56" s="64"/>
      <c r="F56" s="64"/>
      <c r="G56" s="64"/>
      <c r="H56" s="64"/>
      <c r="I56" s="64"/>
      <c r="J56" s="64"/>
      <c r="K56" s="64"/>
      <c r="L56" s="64"/>
      <c r="M56" s="64"/>
      <c r="N56" s="64"/>
      <c r="O56" s="96"/>
    </row>
    <row r="57" spans="2:15" ht="12.75" customHeight="1">
      <c r="B57" s="95"/>
      <c r="C57" s="64"/>
      <c r="D57" s="64"/>
      <c r="E57" s="64"/>
      <c r="F57" s="64"/>
      <c r="G57" s="64"/>
      <c r="H57" s="64"/>
      <c r="I57" s="64"/>
      <c r="J57" s="64"/>
      <c r="K57" s="64"/>
      <c r="L57" s="64"/>
      <c r="M57" s="64"/>
      <c r="N57" s="64"/>
      <c r="O57" s="96"/>
    </row>
    <row r="58" spans="2:15" ht="12.75" customHeight="1">
      <c r="B58" s="95"/>
      <c r="C58" s="64"/>
      <c r="D58" s="64"/>
      <c r="E58" s="64"/>
      <c r="F58" s="64"/>
      <c r="G58" s="64"/>
      <c r="H58" s="64"/>
      <c r="I58" s="64"/>
      <c r="J58" s="64"/>
      <c r="K58" s="64"/>
      <c r="L58" s="64"/>
      <c r="M58" s="64"/>
      <c r="N58" s="64"/>
      <c r="O58" s="96"/>
    </row>
    <row r="59" spans="2:15" ht="12.75" customHeight="1">
      <c r="B59" s="95"/>
      <c r="C59" s="64"/>
      <c r="D59" s="64"/>
      <c r="E59" s="64"/>
      <c r="F59" s="64"/>
      <c r="G59" s="64"/>
      <c r="H59" s="64"/>
      <c r="I59" s="64"/>
      <c r="J59" s="64"/>
      <c r="K59" s="64"/>
      <c r="L59" s="64"/>
      <c r="M59" s="64"/>
      <c r="N59" s="64"/>
      <c r="O59" s="96"/>
    </row>
    <row r="60" spans="2:15" ht="12.75" customHeight="1">
      <c r="B60" s="95"/>
      <c r="C60" s="64"/>
      <c r="D60" s="64"/>
      <c r="E60" s="64"/>
      <c r="F60" s="64"/>
      <c r="G60" s="64"/>
      <c r="H60" s="64"/>
      <c r="I60" s="64"/>
      <c r="J60" s="64"/>
      <c r="K60" s="64"/>
      <c r="L60" s="64"/>
      <c r="M60" s="64"/>
      <c r="N60" s="64"/>
      <c r="O60" s="96"/>
    </row>
    <row r="61" spans="2:15" ht="12.75" customHeight="1">
      <c r="B61" s="95"/>
      <c r="C61" s="64"/>
      <c r="D61" s="64"/>
      <c r="E61" s="64"/>
      <c r="F61" s="64"/>
      <c r="G61" s="64"/>
      <c r="H61" s="64"/>
      <c r="I61" s="64"/>
      <c r="J61" s="64"/>
      <c r="K61" s="64"/>
      <c r="L61" s="64"/>
      <c r="M61" s="64"/>
      <c r="N61" s="64"/>
      <c r="O61" s="96"/>
    </row>
    <row r="62" spans="2:15" ht="12.75" customHeight="1">
      <c r="B62" s="95"/>
      <c r="C62" s="64"/>
      <c r="D62" s="64"/>
      <c r="E62" s="64"/>
      <c r="F62" s="64"/>
      <c r="G62" s="64"/>
      <c r="H62" s="64"/>
      <c r="I62" s="64"/>
      <c r="J62" s="64"/>
      <c r="K62" s="64"/>
      <c r="L62" s="64"/>
      <c r="M62" s="64"/>
      <c r="N62" s="64"/>
      <c r="O62" s="96"/>
    </row>
    <row r="63" spans="2:15" ht="12.75" customHeight="1">
      <c r="B63" s="95"/>
      <c r="C63" s="64"/>
      <c r="D63" s="64"/>
      <c r="E63" s="64"/>
      <c r="F63" s="64"/>
      <c r="G63" s="64"/>
      <c r="H63" s="64"/>
      <c r="I63" s="64"/>
      <c r="J63" s="64"/>
      <c r="K63" s="64"/>
      <c r="L63" s="64"/>
      <c r="M63" s="64"/>
      <c r="N63" s="64"/>
      <c r="O63" s="96"/>
    </row>
    <row r="64" spans="2:15" ht="12.75" customHeight="1">
      <c r="B64" s="95"/>
      <c r="C64" s="64"/>
      <c r="D64" s="64"/>
      <c r="E64" s="64"/>
      <c r="F64" s="64"/>
      <c r="G64" s="64"/>
      <c r="H64" s="64"/>
      <c r="I64" s="64"/>
      <c r="J64" s="64"/>
      <c r="K64" s="64"/>
      <c r="L64" s="64"/>
      <c r="M64" s="64"/>
      <c r="N64" s="64"/>
      <c r="O64" s="96"/>
    </row>
    <row r="65" spans="2:15" ht="12.75" customHeight="1">
      <c r="B65" s="95"/>
      <c r="C65" s="64"/>
      <c r="D65" s="64"/>
      <c r="E65" s="64"/>
      <c r="F65" s="64"/>
      <c r="G65" s="64"/>
      <c r="H65" s="64"/>
      <c r="I65" s="64"/>
      <c r="J65" s="64"/>
      <c r="K65" s="64"/>
      <c r="L65" s="64"/>
      <c r="M65" s="64"/>
      <c r="N65" s="64"/>
      <c r="O65" s="96"/>
    </row>
    <row r="66" spans="2:15" ht="12.75" customHeight="1">
      <c r="B66" s="95"/>
      <c r="C66" s="64"/>
      <c r="D66" s="64"/>
      <c r="E66" s="64"/>
      <c r="F66" s="64"/>
      <c r="G66" s="64"/>
      <c r="H66" s="64"/>
      <c r="I66" s="64"/>
      <c r="J66" s="64"/>
      <c r="K66" s="64"/>
      <c r="L66" s="64"/>
      <c r="M66" s="64"/>
      <c r="N66" s="64"/>
      <c r="O66" s="96"/>
    </row>
    <row r="67" spans="2:15" ht="12.75" customHeight="1">
      <c r="B67" s="95"/>
      <c r="C67" s="64"/>
      <c r="D67" s="64"/>
      <c r="E67" s="64"/>
      <c r="F67" s="64"/>
      <c r="G67" s="64"/>
      <c r="H67" s="64"/>
      <c r="I67" s="64"/>
      <c r="J67" s="64"/>
      <c r="K67" s="64"/>
      <c r="L67" s="64"/>
      <c r="M67" s="64"/>
      <c r="N67" s="64"/>
      <c r="O67" s="96"/>
    </row>
    <row r="68" spans="2:15" ht="12.75" customHeight="1">
      <c r="B68" s="95"/>
      <c r="C68" s="64"/>
      <c r="D68" s="64"/>
      <c r="E68" s="64"/>
      <c r="F68" s="64"/>
      <c r="G68" s="64"/>
      <c r="H68" s="64"/>
      <c r="I68" s="64"/>
      <c r="J68" s="64"/>
      <c r="K68" s="64"/>
      <c r="L68" s="64"/>
      <c r="M68" s="64"/>
      <c r="N68" s="64"/>
      <c r="O68" s="96"/>
    </row>
    <row r="69" spans="2:15" ht="12.75" customHeight="1">
      <c r="B69" s="95"/>
      <c r="C69" s="64"/>
      <c r="D69" s="64"/>
      <c r="E69" s="64"/>
      <c r="F69" s="64"/>
      <c r="G69" s="64"/>
      <c r="H69" s="64"/>
      <c r="I69" s="64"/>
      <c r="J69" s="64"/>
      <c r="K69" s="64"/>
      <c r="L69" s="64"/>
      <c r="M69" s="64"/>
      <c r="N69" s="64"/>
      <c r="O69" s="96"/>
    </row>
    <row r="70" spans="2:15" ht="12.75" customHeight="1">
      <c r="B70" s="95"/>
      <c r="C70" s="64"/>
      <c r="D70" s="64"/>
      <c r="E70" s="64"/>
      <c r="F70" s="64"/>
      <c r="G70" s="64"/>
      <c r="H70" s="64"/>
      <c r="I70" s="64"/>
      <c r="J70" s="64"/>
      <c r="K70" s="64"/>
      <c r="L70" s="64"/>
      <c r="M70" s="64"/>
      <c r="N70" s="64"/>
      <c r="O70" s="96"/>
    </row>
    <row r="71" spans="2:15" ht="12.75" customHeight="1">
      <c r="B71" s="95"/>
      <c r="C71" s="64"/>
      <c r="D71" s="64"/>
      <c r="E71" s="64"/>
      <c r="F71" s="64"/>
      <c r="G71" s="64"/>
      <c r="H71" s="64"/>
      <c r="I71" s="64"/>
      <c r="J71" s="64"/>
      <c r="K71" s="64"/>
      <c r="L71" s="64"/>
      <c r="M71" s="64"/>
      <c r="N71" s="64"/>
      <c r="O71" s="96"/>
    </row>
    <row r="72" spans="2:15" ht="12.75" customHeight="1">
      <c r="B72" s="95"/>
      <c r="C72" s="64"/>
      <c r="D72" s="64"/>
      <c r="E72" s="64"/>
      <c r="F72" s="64"/>
      <c r="G72" s="64"/>
      <c r="H72" s="64"/>
      <c r="I72" s="64"/>
      <c r="J72" s="64"/>
      <c r="K72" s="64"/>
      <c r="L72" s="64"/>
      <c r="M72" s="64"/>
      <c r="N72" s="64"/>
      <c r="O72" s="96"/>
    </row>
    <row r="73" spans="2:15" ht="12.75" customHeight="1">
      <c r="B73" s="95"/>
      <c r="C73" s="64"/>
      <c r="D73" s="64"/>
      <c r="E73" s="64"/>
      <c r="F73" s="64"/>
      <c r="G73" s="64"/>
      <c r="H73" s="64"/>
      <c r="I73" s="64"/>
      <c r="J73" s="64"/>
      <c r="K73" s="64"/>
      <c r="L73" s="64"/>
      <c r="M73" s="64"/>
      <c r="N73" s="64"/>
      <c r="O73" s="96"/>
    </row>
    <row r="74" spans="2:15" ht="12.75" customHeight="1">
      <c r="B74" s="95"/>
      <c r="C74" s="64"/>
      <c r="D74" s="64"/>
      <c r="E74" s="64"/>
      <c r="F74" s="64"/>
      <c r="G74" s="64"/>
      <c r="H74" s="64"/>
      <c r="I74" s="64"/>
      <c r="J74" s="64"/>
      <c r="K74" s="64"/>
      <c r="L74" s="64"/>
      <c r="M74" s="64"/>
      <c r="N74" s="64"/>
      <c r="O74" s="96"/>
    </row>
    <row r="75" spans="2:15" ht="12.75" customHeight="1">
      <c r="B75" s="95"/>
      <c r="C75" s="64"/>
      <c r="D75" s="64"/>
      <c r="E75" s="64"/>
      <c r="F75" s="64"/>
      <c r="G75" s="64"/>
      <c r="H75" s="64"/>
      <c r="I75" s="64"/>
      <c r="J75" s="64"/>
      <c r="K75" s="64"/>
      <c r="L75" s="64"/>
      <c r="M75" s="64"/>
      <c r="N75" s="64"/>
      <c r="O75" s="96"/>
    </row>
    <row r="76" spans="2:15" ht="12.75" customHeight="1">
      <c r="B76" s="95"/>
      <c r="C76" s="64"/>
      <c r="D76" s="64"/>
      <c r="E76" s="64"/>
      <c r="F76" s="64"/>
      <c r="G76" s="64"/>
      <c r="H76" s="64"/>
      <c r="I76" s="64"/>
      <c r="J76" s="64"/>
      <c r="K76" s="64"/>
      <c r="L76" s="64"/>
      <c r="M76" s="64"/>
      <c r="N76" s="64"/>
      <c r="O76" s="96"/>
    </row>
    <row r="77" spans="2:15" ht="12.75" customHeight="1">
      <c r="B77" s="95"/>
      <c r="C77" s="64"/>
      <c r="D77" s="64"/>
      <c r="E77" s="64"/>
      <c r="F77" s="64"/>
      <c r="G77" s="64"/>
      <c r="H77" s="64"/>
      <c r="I77" s="64"/>
      <c r="J77" s="64"/>
      <c r="K77" s="64"/>
      <c r="L77" s="64"/>
      <c r="M77" s="64"/>
      <c r="N77" s="64"/>
      <c r="O77" s="96"/>
    </row>
    <row r="78" spans="2:15" ht="12.75" customHeight="1">
      <c r="B78" s="95"/>
      <c r="C78" s="64"/>
      <c r="D78" s="64"/>
      <c r="E78" s="64"/>
      <c r="F78" s="64"/>
      <c r="G78" s="64"/>
      <c r="H78" s="64"/>
      <c r="I78" s="64"/>
      <c r="J78" s="64"/>
      <c r="K78" s="64"/>
      <c r="L78" s="64"/>
      <c r="M78" s="64"/>
      <c r="N78" s="64"/>
      <c r="O78" s="96"/>
    </row>
    <row r="79" spans="2:15" ht="12.75" customHeight="1">
      <c r="B79" s="95"/>
      <c r="C79" s="64"/>
      <c r="D79" s="64"/>
      <c r="E79" s="64"/>
      <c r="F79" s="64"/>
      <c r="G79" s="64"/>
      <c r="H79" s="64"/>
      <c r="I79" s="64"/>
      <c r="J79" s="64"/>
      <c r="K79" s="64"/>
      <c r="L79" s="64"/>
      <c r="M79" s="64"/>
      <c r="N79" s="64"/>
      <c r="O79" s="96"/>
    </row>
    <row r="80" spans="2:15" ht="12.75" customHeight="1">
      <c r="B80" s="95"/>
      <c r="C80" s="64"/>
      <c r="D80" s="64"/>
      <c r="E80" s="64"/>
      <c r="F80" s="64"/>
      <c r="G80" s="64"/>
      <c r="H80" s="64"/>
      <c r="I80" s="64"/>
      <c r="J80" s="64"/>
      <c r="K80" s="64"/>
      <c r="L80" s="64"/>
      <c r="M80" s="64"/>
      <c r="N80" s="64"/>
      <c r="O80" s="96"/>
    </row>
    <row r="81" spans="2:15" ht="12.75" customHeight="1">
      <c r="B81" s="95"/>
      <c r="C81" s="64"/>
      <c r="D81" s="64"/>
      <c r="E81" s="64"/>
      <c r="F81" s="64"/>
      <c r="G81" s="64"/>
      <c r="H81" s="64"/>
      <c r="I81" s="64"/>
      <c r="J81" s="64"/>
      <c r="K81" s="64"/>
      <c r="L81" s="64"/>
      <c r="M81" s="64"/>
      <c r="N81" s="64"/>
      <c r="O81" s="96"/>
    </row>
    <row r="82" spans="2:15" ht="12.75" customHeight="1">
      <c r="B82" s="95"/>
      <c r="C82" s="64"/>
      <c r="D82" s="64"/>
      <c r="E82" s="64"/>
      <c r="F82" s="64"/>
      <c r="G82" s="64"/>
      <c r="H82" s="64"/>
      <c r="I82" s="64"/>
      <c r="J82" s="64"/>
      <c r="K82" s="64"/>
      <c r="L82" s="64"/>
      <c r="M82" s="64"/>
      <c r="N82" s="64"/>
      <c r="O82" s="96"/>
    </row>
    <row r="83" spans="2:15" ht="12.75" customHeight="1">
      <c r="B83" s="95"/>
      <c r="C83" s="64"/>
      <c r="D83" s="64"/>
      <c r="E83" s="64"/>
      <c r="F83" s="64"/>
      <c r="G83" s="64"/>
      <c r="H83" s="64"/>
      <c r="I83" s="64"/>
      <c r="J83" s="64"/>
      <c r="K83" s="64"/>
      <c r="L83" s="64"/>
      <c r="M83" s="64"/>
      <c r="N83" s="64"/>
      <c r="O83" s="96"/>
    </row>
    <row r="84" spans="2:15" ht="12.75" customHeight="1">
      <c r="B84" s="95"/>
      <c r="C84" s="64"/>
      <c r="D84" s="64"/>
      <c r="E84" s="64"/>
      <c r="F84" s="64"/>
      <c r="G84" s="64"/>
      <c r="H84" s="64"/>
      <c r="I84" s="64"/>
      <c r="J84" s="64"/>
      <c r="K84" s="64"/>
      <c r="L84" s="64"/>
      <c r="M84" s="64"/>
      <c r="N84" s="64"/>
      <c r="O84" s="96"/>
    </row>
    <row r="85" spans="2:15" ht="12.75" customHeight="1">
      <c r="B85" s="95"/>
      <c r="C85" s="64"/>
      <c r="D85" s="64"/>
      <c r="E85" s="64"/>
      <c r="F85" s="64"/>
      <c r="G85" s="64"/>
      <c r="H85" s="64"/>
      <c r="I85" s="64"/>
      <c r="J85" s="64"/>
      <c r="K85" s="64"/>
      <c r="L85" s="64"/>
      <c r="M85" s="64"/>
      <c r="N85" s="64"/>
      <c r="O85" s="96"/>
    </row>
    <row r="86" spans="2:15" ht="12.75" customHeight="1">
      <c r="B86" s="95"/>
      <c r="C86" s="64"/>
      <c r="D86" s="64"/>
      <c r="E86" s="64"/>
      <c r="F86" s="64"/>
      <c r="G86" s="64"/>
      <c r="H86" s="64"/>
      <c r="I86" s="64"/>
      <c r="J86" s="64"/>
      <c r="K86" s="64"/>
      <c r="L86" s="64"/>
      <c r="M86" s="64"/>
      <c r="N86" s="64"/>
      <c r="O86" s="96"/>
    </row>
    <row r="87" spans="2:15" ht="12.75" customHeight="1">
      <c r="B87" s="95"/>
      <c r="C87" s="64"/>
      <c r="D87" s="64"/>
      <c r="E87" s="64"/>
      <c r="F87" s="64"/>
      <c r="G87" s="64"/>
      <c r="H87" s="64"/>
      <c r="I87" s="64"/>
      <c r="J87" s="64"/>
      <c r="K87" s="64"/>
      <c r="L87" s="64"/>
      <c r="M87" s="64"/>
      <c r="N87" s="64"/>
      <c r="O87" s="96"/>
    </row>
    <row r="88" spans="2:15" ht="12.75" customHeight="1">
      <c r="B88" s="95"/>
      <c r="C88" s="64"/>
      <c r="D88" s="64"/>
      <c r="E88" s="64"/>
      <c r="F88" s="64"/>
      <c r="G88" s="64"/>
      <c r="H88" s="64"/>
      <c r="I88" s="64"/>
      <c r="J88" s="64"/>
      <c r="K88" s="64"/>
      <c r="L88" s="64"/>
      <c r="M88" s="64"/>
      <c r="N88" s="64"/>
      <c r="O88" s="96"/>
    </row>
    <row r="89" spans="2:15" ht="12.75" customHeight="1">
      <c r="B89" s="95"/>
      <c r="C89" s="64"/>
      <c r="D89" s="64"/>
      <c r="E89" s="64"/>
      <c r="F89" s="64"/>
      <c r="G89" s="64"/>
      <c r="H89" s="64"/>
      <c r="I89" s="64"/>
      <c r="J89" s="64"/>
      <c r="K89" s="64"/>
      <c r="L89" s="64"/>
      <c r="M89" s="64"/>
      <c r="N89" s="64"/>
      <c r="O89" s="96"/>
    </row>
    <row r="90" spans="2:15" ht="12.75" customHeight="1">
      <c r="B90" s="95"/>
      <c r="C90" s="64"/>
      <c r="D90" s="64"/>
      <c r="E90" s="64"/>
      <c r="F90" s="64"/>
      <c r="G90" s="64"/>
      <c r="H90" s="64"/>
      <c r="I90" s="64"/>
      <c r="J90" s="64"/>
      <c r="K90" s="64"/>
      <c r="L90" s="64"/>
      <c r="M90" s="64"/>
      <c r="N90" s="64"/>
      <c r="O90" s="96"/>
    </row>
    <row r="91" spans="2:15" ht="12.75" customHeight="1">
      <c r="B91" s="95"/>
      <c r="C91" s="64"/>
      <c r="D91" s="64"/>
      <c r="E91" s="64"/>
      <c r="F91" s="64"/>
      <c r="G91" s="64"/>
      <c r="H91" s="64"/>
      <c r="I91" s="64"/>
      <c r="J91" s="64"/>
      <c r="K91" s="64"/>
      <c r="L91" s="64"/>
      <c r="M91" s="64"/>
      <c r="N91" s="64"/>
      <c r="O91" s="96"/>
    </row>
    <row r="92" spans="2:15" ht="12.75" customHeight="1">
      <c r="B92" s="95"/>
      <c r="C92" s="64"/>
      <c r="D92" s="64"/>
      <c r="E92" s="64"/>
      <c r="F92" s="64"/>
      <c r="G92" s="64"/>
      <c r="H92" s="64"/>
      <c r="I92" s="64"/>
      <c r="J92" s="64"/>
      <c r="K92" s="64"/>
      <c r="L92" s="64"/>
      <c r="M92" s="64"/>
      <c r="N92" s="64"/>
      <c r="O92" s="96"/>
    </row>
    <row r="93" spans="2:15" ht="12.75" customHeight="1">
      <c r="B93" s="95"/>
      <c r="C93" s="64"/>
      <c r="D93" s="64"/>
      <c r="E93" s="64"/>
      <c r="F93" s="64"/>
      <c r="G93" s="64"/>
      <c r="H93" s="64"/>
      <c r="I93" s="64"/>
      <c r="J93" s="64"/>
      <c r="K93" s="64"/>
      <c r="L93" s="64"/>
      <c r="M93" s="64"/>
      <c r="N93" s="64"/>
      <c r="O93" s="96"/>
    </row>
    <row r="94" spans="2:15" ht="12.75" customHeight="1">
      <c r="B94" s="95"/>
      <c r="C94" s="64"/>
      <c r="D94" s="64"/>
      <c r="E94" s="64"/>
      <c r="F94" s="64"/>
      <c r="G94" s="64"/>
      <c r="H94" s="64"/>
      <c r="I94" s="64"/>
      <c r="J94" s="64"/>
      <c r="K94" s="64"/>
      <c r="L94" s="64"/>
      <c r="M94" s="64"/>
      <c r="N94" s="64"/>
      <c r="O94" s="96"/>
    </row>
    <row r="95" spans="2:15" ht="12.75" customHeight="1">
      <c r="B95" s="95"/>
      <c r="C95" s="64"/>
      <c r="D95" s="64"/>
      <c r="E95" s="64"/>
      <c r="F95" s="64"/>
      <c r="G95" s="64"/>
      <c r="H95" s="64"/>
      <c r="I95" s="64"/>
      <c r="J95" s="64"/>
      <c r="K95" s="64"/>
      <c r="L95" s="64"/>
      <c r="M95" s="64"/>
      <c r="N95" s="64"/>
      <c r="O95" s="96"/>
    </row>
    <row r="96" spans="2:15" ht="12.75" customHeight="1">
      <c r="B96" s="95"/>
      <c r="C96" s="64"/>
      <c r="D96" s="64"/>
      <c r="E96" s="64"/>
      <c r="F96" s="64"/>
      <c r="G96" s="64"/>
      <c r="H96" s="64"/>
      <c r="I96" s="64"/>
      <c r="J96" s="64"/>
      <c r="K96" s="64"/>
      <c r="L96" s="64"/>
      <c r="M96" s="64"/>
      <c r="N96" s="64"/>
      <c r="O96" s="96"/>
    </row>
    <row r="97" spans="2:15" ht="12.75" customHeight="1">
      <c r="B97" s="95"/>
      <c r="C97" s="64"/>
      <c r="D97" s="64"/>
      <c r="E97" s="64"/>
      <c r="F97" s="64"/>
      <c r="G97" s="64"/>
      <c r="H97" s="64"/>
      <c r="I97" s="64"/>
      <c r="J97" s="64"/>
      <c r="K97" s="64"/>
      <c r="L97" s="64"/>
      <c r="M97" s="64"/>
      <c r="N97" s="64"/>
      <c r="O97" s="96"/>
    </row>
    <row r="98" spans="2:15" ht="12.75" customHeight="1">
      <c r="B98" s="95"/>
      <c r="C98" s="64"/>
      <c r="D98" s="64"/>
      <c r="E98" s="64"/>
      <c r="F98" s="64"/>
      <c r="G98" s="64"/>
      <c r="H98" s="64"/>
      <c r="I98" s="64"/>
      <c r="J98" s="64"/>
      <c r="K98" s="64"/>
      <c r="L98" s="64"/>
      <c r="M98" s="64"/>
      <c r="N98" s="64"/>
      <c r="O98" s="96"/>
    </row>
    <row r="99" spans="2:15" ht="12.75" customHeight="1">
      <c r="B99" s="95"/>
      <c r="C99" s="64"/>
      <c r="D99" s="64"/>
      <c r="E99" s="64"/>
      <c r="F99" s="64"/>
      <c r="G99" s="64"/>
      <c r="H99" s="64"/>
      <c r="I99" s="64"/>
      <c r="J99" s="64"/>
      <c r="K99" s="64"/>
      <c r="L99" s="64"/>
      <c r="M99" s="64"/>
      <c r="N99" s="64"/>
      <c r="O99" s="96"/>
    </row>
    <row r="100" spans="2:15" ht="12.75" customHeight="1">
      <c r="B100" s="95"/>
      <c r="C100" s="64"/>
      <c r="D100" s="64"/>
      <c r="E100" s="64"/>
      <c r="F100" s="64"/>
      <c r="G100" s="64"/>
      <c r="H100" s="64"/>
      <c r="I100" s="64"/>
      <c r="J100" s="64"/>
      <c r="K100" s="64"/>
      <c r="L100" s="64"/>
      <c r="M100" s="64"/>
      <c r="N100" s="64"/>
      <c r="O100" s="96"/>
    </row>
    <row r="101" spans="2:15" ht="12.75" customHeight="1">
      <c r="B101" s="95"/>
      <c r="C101" s="64"/>
      <c r="D101" s="64"/>
      <c r="E101" s="64"/>
      <c r="F101" s="64"/>
      <c r="G101" s="64"/>
      <c r="H101" s="64"/>
      <c r="I101" s="64"/>
      <c r="J101" s="64"/>
      <c r="K101" s="64"/>
      <c r="L101" s="64"/>
      <c r="M101" s="64"/>
      <c r="N101" s="64"/>
      <c r="O101" s="96"/>
    </row>
    <row r="102" spans="2:15" ht="12.75" customHeight="1">
      <c r="B102" s="95"/>
      <c r="C102" s="64"/>
      <c r="D102" s="64"/>
      <c r="E102" s="64"/>
      <c r="F102" s="64"/>
      <c r="G102" s="64"/>
      <c r="H102" s="64"/>
      <c r="I102" s="64"/>
      <c r="J102" s="64"/>
      <c r="K102" s="64"/>
      <c r="L102" s="64"/>
      <c r="M102" s="64"/>
      <c r="N102" s="64"/>
      <c r="O102" s="96"/>
    </row>
    <row r="103" spans="2:15" ht="12.75" customHeight="1">
      <c r="B103" s="95"/>
      <c r="C103" s="64"/>
      <c r="D103" s="64"/>
      <c r="E103" s="64"/>
      <c r="F103" s="64"/>
      <c r="G103" s="64"/>
      <c r="H103" s="64"/>
      <c r="I103" s="64"/>
      <c r="J103" s="64"/>
      <c r="K103" s="64"/>
      <c r="L103" s="64"/>
      <c r="M103" s="64"/>
      <c r="N103" s="64"/>
      <c r="O103" s="96"/>
    </row>
    <row r="104" spans="2:15" ht="12.75" customHeight="1">
      <c r="B104" s="95"/>
      <c r="C104" s="64"/>
      <c r="D104" s="64"/>
      <c r="E104" s="64"/>
      <c r="F104" s="64"/>
      <c r="G104" s="64"/>
      <c r="H104" s="64"/>
      <c r="I104" s="64"/>
      <c r="J104" s="64"/>
      <c r="K104" s="64"/>
      <c r="L104" s="64"/>
      <c r="M104" s="64"/>
      <c r="N104" s="64"/>
      <c r="O104" s="96"/>
    </row>
    <row r="105" spans="2:15" ht="12.75" customHeight="1">
      <c r="B105" s="95"/>
      <c r="C105" s="64"/>
      <c r="D105" s="64"/>
      <c r="E105" s="64"/>
      <c r="F105" s="64"/>
      <c r="G105" s="64"/>
      <c r="H105" s="64"/>
      <c r="I105" s="64"/>
      <c r="J105" s="64"/>
      <c r="K105" s="64"/>
      <c r="L105" s="64"/>
      <c r="M105" s="64"/>
      <c r="N105" s="64"/>
      <c r="O105" s="96"/>
    </row>
    <row r="106" spans="2:15" ht="12.75" customHeight="1">
      <c r="B106" s="95"/>
      <c r="C106" s="64"/>
      <c r="D106" s="64"/>
      <c r="E106" s="64"/>
      <c r="F106" s="64"/>
      <c r="G106" s="64"/>
      <c r="H106" s="64"/>
      <c r="I106" s="64"/>
      <c r="J106" s="64"/>
      <c r="K106" s="64"/>
      <c r="L106" s="64"/>
      <c r="M106" s="64"/>
      <c r="N106" s="64"/>
      <c r="O106" s="96"/>
    </row>
    <row r="107" spans="2:15" ht="12.75" customHeight="1">
      <c r="B107" s="95"/>
      <c r="C107" s="64"/>
      <c r="D107" s="64"/>
      <c r="E107" s="64"/>
      <c r="F107" s="64"/>
      <c r="G107" s="64"/>
      <c r="H107" s="64"/>
      <c r="I107" s="64"/>
      <c r="J107" s="64"/>
      <c r="K107" s="64"/>
      <c r="L107" s="64"/>
      <c r="M107" s="64"/>
      <c r="N107" s="64"/>
      <c r="O107" s="96"/>
    </row>
    <row r="108" spans="2:15" ht="12.75" customHeight="1">
      <c r="B108" s="95"/>
      <c r="C108" s="64"/>
      <c r="D108" s="64"/>
      <c r="E108" s="64"/>
      <c r="F108" s="64"/>
      <c r="G108" s="64"/>
      <c r="H108" s="64"/>
      <c r="I108" s="64"/>
      <c r="J108" s="64"/>
      <c r="K108" s="64"/>
      <c r="L108" s="64"/>
      <c r="M108" s="64"/>
      <c r="N108" s="64"/>
      <c r="O108" s="96"/>
    </row>
    <row r="109" spans="2:15" ht="12.75" customHeight="1">
      <c r="B109" s="95"/>
      <c r="C109" s="64"/>
      <c r="D109" s="64"/>
      <c r="E109" s="64"/>
      <c r="F109" s="64"/>
      <c r="G109" s="64"/>
      <c r="H109" s="64"/>
      <c r="I109" s="64"/>
      <c r="J109" s="64"/>
      <c r="K109" s="64"/>
      <c r="L109" s="64"/>
      <c r="M109" s="64"/>
      <c r="N109" s="64"/>
      <c r="O109" s="96"/>
    </row>
    <row r="110" spans="2:15" ht="12.75" customHeight="1">
      <c r="B110" s="95"/>
      <c r="C110" s="64"/>
      <c r="D110" s="64"/>
      <c r="E110" s="64"/>
      <c r="F110" s="64"/>
      <c r="G110" s="64"/>
      <c r="H110" s="64"/>
      <c r="I110" s="64"/>
      <c r="J110" s="64"/>
      <c r="K110" s="64"/>
      <c r="L110" s="64"/>
      <c r="M110" s="64"/>
      <c r="N110" s="64"/>
      <c r="O110" s="96"/>
    </row>
    <row r="111" spans="2:15" ht="12.75" customHeight="1">
      <c r="B111" s="95"/>
      <c r="C111" s="64"/>
      <c r="D111" s="64"/>
      <c r="E111" s="64"/>
      <c r="F111" s="64"/>
      <c r="G111" s="64"/>
      <c r="H111" s="64"/>
      <c r="I111" s="64"/>
      <c r="J111" s="64"/>
      <c r="K111" s="64"/>
      <c r="L111" s="64"/>
      <c r="M111" s="64"/>
      <c r="N111" s="64"/>
      <c r="O111" s="96"/>
    </row>
    <row r="112" spans="2:15" ht="12.75" customHeight="1">
      <c r="B112" s="95"/>
      <c r="C112" s="64"/>
      <c r="D112" s="64"/>
      <c r="E112" s="64"/>
      <c r="F112" s="64"/>
      <c r="G112" s="64"/>
      <c r="H112" s="64"/>
      <c r="I112" s="64"/>
      <c r="J112" s="64"/>
      <c r="K112" s="64"/>
      <c r="L112" s="64"/>
      <c r="M112" s="64"/>
      <c r="N112" s="64"/>
      <c r="O112" s="96"/>
    </row>
    <row r="113" spans="2:15" ht="12.75" customHeight="1">
      <c r="B113" s="95"/>
      <c r="C113" s="64"/>
      <c r="D113" s="64"/>
      <c r="E113" s="64"/>
      <c r="F113" s="64"/>
      <c r="G113" s="64"/>
      <c r="H113" s="64"/>
      <c r="I113" s="64"/>
      <c r="J113" s="64"/>
      <c r="K113" s="64"/>
      <c r="L113" s="64"/>
      <c r="M113" s="64"/>
      <c r="N113" s="64"/>
      <c r="O113" s="96"/>
    </row>
    <row r="114" spans="2:15" ht="12.75" customHeight="1">
      <c r="B114" s="95"/>
      <c r="C114" s="64"/>
      <c r="D114" s="64"/>
      <c r="E114" s="64"/>
      <c r="F114" s="64"/>
      <c r="G114" s="64"/>
      <c r="H114" s="64"/>
      <c r="I114" s="64"/>
      <c r="J114" s="64"/>
      <c r="K114" s="64"/>
      <c r="L114" s="64"/>
      <c r="M114" s="64"/>
      <c r="N114" s="64"/>
      <c r="O114" s="96"/>
    </row>
    <row r="115" spans="2:15" ht="12.75" customHeight="1">
      <c r="B115" s="95"/>
      <c r="C115" s="64"/>
      <c r="D115" s="64"/>
      <c r="E115" s="64"/>
      <c r="F115" s="64"/>
      <c r="G115" s="64"/>
      <c r="H115" s="64"/>
      <c r="I115" s="64"/>
      <c r="J115" s="64"/>
      <c r="K115" s="64"/>
      <c r="L115" s="64"/>
      <c r="M115" s="64"/>
      <c r="N115" s="64"/>
      <c r="O115" s="96"/>
    </row>
    <row r="116" spans="2:15" ht="12.75" customHeight="1">
      <c r="B116" s="95"/>
      <c r="C116" s="64"/>
      <c r="D116" s="64"/>
      <c r="E116" s="64"/>
      <c r="F116" s="64"/>
      <c r="G116" s="64"/>
      <c r="H116" s="64"/>
      <c r="I116" s="64"/>
      <c r="J116" s="64"/>
      <c r="K116" s="64"/>
      <c r="L116" s="64"/>
      <c r="M116" s="64"/>
      <c r="N116" s="64"/>
      <c r="O116" s="96"/>
    </row>
    <row r="117" spans="2:15" ht="12.75" customHeight="1">
      <c r="B117" s="95"/>
      <c r="C117" s="64"/>
      <c r="D117" s="64"/>
      <c r="E117" s="64"/>
      <c r="F117" s="64"/>
      <c r="G117" s="64"/>
      <c r="H117" s="64"/>
      <c r="I117" s="64"/>
      <c r="J117" s="64"/>
      <c r="K117" s="64"/>
      <c r="L117" s="64"/>
      <c r="M117" s="64"/>
      <c r="N117" s="64"/>
      <c r="O117" s="96"/>
    </row>
    <row r="118" spans="2:15" ht="12.75" customHeight="1">
      <c r="B118" s="95"/>
      <c r="C118" s="64"/>
      <c r="D118" s="64"/>
      <c r="E118" s="64"/>
      <c r="F118" s="64"/>
      <c r="G118" s="64"/>
      <c r="H118" s="64"/>
      <c r="I118" s="64"/>
      <c r="J118" s="64"/>
      <c r="K118" s="64"/>
      <c r="L118" s="64"/>
      <c r="M118" s="64"/>
      <c r="N118" s="64"/>
      <c r="O118" s="96"/>
    </row>
    <row r="119" spans="2:15" ht="12.75" customHeight="1">
      <c r="B119" s="95"/>
      <c r="C119" s="64"/>
      <c r="D119" s="64"/>
      <c r="E119" s="64"/>
      <c r="F119" s="64"/>
      <c r="G119" s="64"/>
      <c r="H119" s="64"/>
      <c r="I119" s="64"/>
      <c r="J119" s="64"/>
      <c r="K119" s="64"/>
      <c r="L119" s="64"/>
      <c r="M119" s="64"/>
      <c r="N119" s="64"/>
      <c r="O119" s="96"/>
    </row>
    <row r="120" spans="2:15" ht="12.75" customHeight="1">
      <c r="B120" s="95"/>
      <c r="C120" s="64"/>
      <c r="D120" s="64"/>
      <c r="E120" s="64"/>
      <c r="F120" s="64"/>
      <c r="G120" s="64"/>
      <c r="H120" s="64"/>
      <c r="I120" s="64"/>
      <c r="J120" s="64"/>
      <c r="K120" s="64"/>
      <c r="L120" s="64"/>
      <c r="M120" s="64"/>
      <c r="N120" s="64"/>
      <c r="O120" s="96"/>
    </row>
    <row r="121" spans="2:15" ht="12.75" customHeight="1">
      <c r="B121" s="95"/>
      <c r="C121" s="64"/>
      <c r="D121" s="64"/>
      <c r="E121" s="64"/>
      <c r="F121" s="64"/>
      <c r="G121" s="64"/>
      <c r="H121" s="64"/>
      <c r="I121" s="64"/>
      <c r="J121" s="64"/>
      <c r="K121" s="64"/>
      <c r="L121" s="64"/>
      <c r="M121" s="64"/>
      <c r="N121" s="64"/>
      <c r="O121" s="96"/>
    </row>
    <row r="122" spans="2:15" ht="12.75" customHeight="1">
      <c r="B122" s="95"/>
      <c r="C122" s="64"/>
      <c r="D122" s="64"/>
      <c r="E122" s="64"/>
      <c r="F122" s="64"/>
      <c r="G122" s="64"/>
      <c r="H122" s="64"/>
      <c r="I122" s="64"/>
      <c r="J122" s="64"/>
      <c r="K122" s="64"/>
      <c r="L122" s="64"/>
      <c r="M122" s="64"/>
      <c r="N122" s="64"/>
      <c r="O122" s="96"/>
    </row>
    <row r="123" spans="2:15" ht="12.75" customHeight="1">
      <c r="B123" s="95"/>
      <c r="C123" s="64"/>
      <c r="D123" s="64"/>
      <c r="E123" s="64"/>
      <c r="F123" s="64"/>
      <c r="G123" s="64"/>
      <c r="H123" s="64"/>
      <c r="I123" s="64"/>
      <c r="J123" s="64"/>
      <c r="K123" s="64"/>
      <c r="L123" s="64"/>
      <c r="M123" s="64"/>
      <c r="N123" s="64"/>
      <c r="O123" s="96"/>
    </row>
    <row r="124" spans="2:15" ht="12.75" customHeight="1">
      <c r="B124" s="95"/>
      <c r="C124" s="64"/>
      <c r="D124" s="64"/>
      <c r="E124" s="64"/>
      <c r="F124" s="64"/>
      <c r="G124" s="64"/>
      <c r="H124" s="64"/>
      <c r="I124" s="64"/>
      <c r="J124" s="64"/>
      <c r="K124" s="64"/>
      <c r="L124" s="64"/>
      <c r="M124" s="64"/>
      <c r="N124" s="64"/>
      <c r="O124" s="96"/>
    </row>
    <row r="125" spans="2:15" ht="12.75" customHeight="1">
      <c r="B125" s="95"/>
      <c r="C125" s="64"/>
      <c r="D125" s="64"/>
      <c r="E125" s="64"/>
      <c r="F125" s="64"/>
      <c r="G125" s="64"/>
      <c r="H125" s="64"/>
      <c r="I125" s="64"/>
      <c r="J125" s="64"/>
      <c r="K125" s="64"/>
      <c r="L125" s="64"/>
      <c r="M125" s="64"/>
      <c r="N125" s="64"/>
      <c r="O125" s="96"/>
    </row>
    <row r="126" spans="2:15" ht="12.75" customHeight="1">
      <c r="B126" s="95"/>
      <c r="C126" s="64"/>
      <c r="D126" s="64"/>
      <c r="E126" s="64"/>
      <c r="F126" s="64"/>
      <c r="G126" s="64"/>
      <c r="H126" s="64"/>
      <c r="I126" s="64"/>
      <c r="J126" s="64"/>
      <c r="K126" s="64"/>
      <c r="L126" s="64"/>
      <c r="M126" s="64"/>
      <c r="N126" s="64"/>
      <c r="O126" s="96"/>
    </row>
    <row r="127" spans="2:15" ht="12.75" customHeight="1">
      <c r="B127" s="95"/>
      <c r="C127" s="64"/>
      <c r="D127" s="64"/>
      <c r="E127" s="64"/>
      <c r="F127" s="64"/>
      <c r="G127" s="64"/>
      <c r="H127" s="64"/>
      <c r="I127" s="64"/>
      <c r="J127" s="64"/>
      <c r="K127" s="64"/>
      <c r="L127" s="64"/>
      <c r="M127" s="64"/>
      <c r="N127" s="64"/>
      <c r="O127" s="96"/>
    </row>
    <row r="128" spans="2:15" ht="12.75" customHeight="1">
      <c r="B128" s="95"/>
      <c r="C128" s="64"/>
      <c r="D128" s="64"/>
      <c r="E128" s="64"/>
      <c r="F128" s="64"/>
      <c r="G128" s="64"/>
      <c r="H128" s="64"/>
      <c r="I128" s="64"/>
      <c r="J128" s="64"/>
      <c r="K128" s="64"/>
      <c r="L128" s="64"/>
      <c r="M128" s="64"/>
      <c r="N128" s="64"/>
      <c r="O128" s="96"/>
    </row>
    <row r="129" spans="2:15" ht="12.75" customHeight="1">
      <c r="B129" s="95"/>
      <c r="C129" s="64"/>
      <c r="D129" s="64"/>
      <c r="E129" s="64"/>
      <c r="F129" s="64"/>
      <c r="G129" s="64"/>
      <c r="H129" s="64"/>
      <c r="I129" s="64"/>
      <c r="J129" s="64"/>
      <c r="K129" s="64"/>
      <c r="L129" s="64"/>
      <c r="M129" s="64"/>
      <c r="N129" s="64"/>
      <c r="O129" s="96"/>
    </row>
    <row r="130" spans="2:15" ht="12.75" customHeight="1">
      <c r="B130" s="95"/>
      <c r="C130" s="64"/>
      <c r="D130" s="64"/>
      <c r="E130" s="64"/>
      <c r="F130" s="64"/>
      <c r="G130" s="64"/>
      <c r="H130" s="64"/>
      <c r="I130" s="64"/>
      <c r="J130" s="64"/>
      <c r="K130" s="64"/>
      <c r="L130" s="64"/>
      <c r="M130" s="64"/>
      <c r="N130" s="64"/>
      <c r="O130" s="96"/>
    </row>
    <row r="131" spans="2:15" ht="12.75" customHeight="1">
      <c r="B131" s="95"/>
      <c r="C131" s="64"/>
      <c r="D131" s="64"/>
      <c r="E131" s="64"/>
      <c r="F131" s="64"/>
      <c r="G131" s="64"/>
      <c r="H131" s="64"/>
      <c r="I131" s="64"/>
      <c r="J131" s="64"/>
      <c r="K131" s="64"/>
      <c r="L131" s="64"/>
      <c r="M131" s="64"/>
      <c r="N131" s="64"/>
      <c r="O131" s="96"/>
    </row>
    <row r="132" spans="2:15" ht="12.75" customHeight="1">
      <c r="B132" s="95"/>
      <c r="C132" s="64"/>
      <c r="D132" s="64"/>
      <c r="E132" s="64"/>
      <c r="F132" s="64"/>
      <c r="G132" s="64"/>
      <c r="H132" s="64"/>
      <c r="I132" s="64"/>
      <c r="J132" s="64"/>
      <c r="K132" s="64"/>
      <c r="L132" s="64"/>
      <c r="M132" s="64"/>
      <c r="N132" s="64"/>
      <c r="O132" s="96"/>
    </row>
    <row r="133" spans="2:15" ht="12.75" customHeight="1">
      <c r="B133" s="95"/>
      <c r="C133" s="64"/>
      <c r="D133" s="64"/>
      <c r="E133" s="64"/>
      <c r="F133" s="64"/>
      <c r="G133" s="64"/>
      <c r="H133" s="64"/>
      <c r="I133" s="64"/>
      <c r="J133" s="64"/>
      <c r="K133" s="64"/>
      <c r="L133" s="64"/>
      <c r="M133" s="64"/>
      <c r="N133" s="64"/>
      <c r="O133" s="96"/>
    </row>
    <row r="134" spans="2:15" ht="12.75" customHeight="1">
      <c r="B134" s="95"/>
      <c r="C134" s="64"/>
      <c r="D134" s="64"/>
      <c r="E134" s="64"/>
      <c r="F134" s="64"/>
      <c r="G134" s="64"/>
      <c r="H134" s="64"/>
      <c r="I134" s="64"/>
      <c r="J134" s="64"/>
      <c r="K134" s="64"/>
      <c r="L134" s="64"/>
      <c r="M134" s="64"/>
      <c r="N134" s="64"/>
      <c r="O134" s="96"/>
    </row>
    <row r="135" spans="2:15" ht="12.75" customHeight="1">
      <c r="B135" s="95"/>
      <c r="C135" s="64"/>
      <c r="D135" s="64"/>
      <c r="E135" s="64"/>
      <c r="F135" s="64"/>
      <c r="G135" s="64"/>
      <c r="H135" s="64"/>
      <c r="I135" s="64"/>
      <c r="J135" s="64"/>
      <c r="K135" s="64"/>
      <c r="L135" s="64"/>
      <c r="M135" s="64"/>
      <c r="N135" s="64"/>
      <c r="O135" s="96"/>
    </row>
    <row r="136" spans="2:15" ht="12.75" customHeight="1">
      <c r="B136" s="95"/>
      <c r="C136" s="64"/>
      <c r="D136" s="64"/>
      <c r="E136" s="64"/>
      <c r="F136" s="64"/>
      <c r="G136" s="64"/>
      <c r="H136" s="64"/>
      <c r="I136" s="64"/>
      <c r="J136" s="64"/>
      <c r="K136" s="64"/>
      <c r="L136" s="64"/>
      <c r="M136" s="64"/>
      <c r="N136" s="64"/>
      <c r="O136" s="96"/>
    </row>
    <row r="137" spans="2:15" ht="12.75" customHeight="1">
      <c r="B137" s="95"/>
      <c r="C137" s="64"/>
      <c r="D137" s="64"/>
      <c r="E137" s="64"/>
      <c r="F137" s="64"/>
      <c r="G137" s="64"/>
      <c r="H137" s="64"/>
      <c r="I137" s="64"/>
      <c r="J137" s="64"/>
      <c r="K137" s="64"/>
      <c r="L137" s="64"/>
      <c r="M137" s="64"/>
      <c r="N137" s="64"/>
      <c r="O137" s="96"/>
    </row>
    <row r="138" spans="2:15" ht="12.75" customHeight="1">
      <c r="B138" s="95"/>
      <c r="C138" s="64"/>
      <c r="D138" s="64"/>
      <c r="E138" s="64"/>
      <c r="F138" s="64"/>
      <c r="G138" s="64"/>
      <c r="H138" s="64"/>
      <c r="I138" s="64"/>
      <c r="J138" s="64"/>
      <c r="K138" s="64"/>
      <c r="L138" s="64"/>
      <c r="M138" s="64"/>
      <c r="N138" s="64"/>
      <c r="O138" s="96"/>
    </row>
    <row r="139" spans="2:15" ht="12.75" customHeight="1">
      <c r="B139" s="95"/>
      <c r="C139" s="64"/>
      <c r="D139" s="64"/>
      <c r="E139" s="64"/>
      <c r="F139" s="64"/>
      <c r="G139" s="64"/>
      <c r="H139" s="64"/>
      <c r="I139" s="64"/>
      <c r="J139" s="64"/>
      <c r="K139" s="64"/>
      <c r="L139" s="64"/>
      <c r="M139" s="64"/>
      <c r="N139" s="64"/>
      <c r="O139" s="96"/>
    </row>
    <row r="140" spans="2:15" ht="12.75" customHeight="1">
      <c r="B140" s="95"/>
      <c r="C140" s="64"/>
      <c r="D140" s="64"/>
      <c r="E140" s="64"/>
      <c r="F140" s="64"/>
      <c r="G140" s="64"/>
      <c r="H140" s="64"/>
      <c r="I140" s="64"/>
      <c r="J140" s="64"/>
      <c r="K140" s="64"/>
      <c r="L140" s="64"/>
      <c r="M140" s="64"/>
      <c r="N140" s="64"/>
      <c r="O140" s="96"/>
    </row>
    <row r="141" spans="2:15" ht="12.75" customHeight="1">
      <c r="B141" s="95"/>
      <c r="C141" s="64"/>
      <c r="D141" s="64"/>
      <c r="E141" s="64"/>
      <c r="F141" s="64"/>
      <c r="G141" s="64"/>
      <c r="H141" s="64"/>
      <c r="I141" s="64"/>
      <c r="J141" s="64"/>
      <c r="K141" s="64"/>
      <c r="L141" s="64"/>
      <c r="M141" s="64"/>
      <c r="N141" s="64"/>
      <c r="O141" s="96"/>
    </row>
    <row r="142" spans="2:15" ht="12.75" customHeight="1">
      <c r="B142" s="95"/>
      <c r="C142" s="64"/>
      <c r="D142" s="64"/>
      <c r="E142" s="64"/>
      <c r="F142" s="64"/>
      <c r="G142" s="64"/>
      <c r="H142" s="64"/>
      <c r="I142" s="64"/>
      <c r="J142" s="64"/>
      <c r="K142" s="64"/>
      <c r="L142" s="64"/>
      <c r="M142" s="64"/>
      <c r="N142" s="64"/>
      <c r="O142" s="96"/>
    </row>
    <row r="143" spans="2:15" ht="12.75" customHeight="1">
      <c r="B143" s="95"/>
      <c r="C143" s="64"/>
      <c r="D143" s="64"/>
      <c r="E143" s="64"/>
      <c r="F143" s="64"/>
      <c r="G143" s="64"/>
      <c r="H143" s="64"/>
      <c r="I143" s="64"/>
      <c r="J143" s="64"/>
      <c r="K143" s="64"/>
      <c r="L143" s="64"/>
      <c r="M143" s="64"/>
      <c r="N143" s="64"/>
      <c r="O143" s="96"/>
    </row>
    <row r="144" spans="2:15" ht="12.75" customHeight="1">
      <c r="B144" s="95"/>
      <c r="C144" s="64"/>
      <c r="D144" s="64"/>
      <c r="E144" s="64"/>
      <c r="F144" s="64"/>
      <c r="G144" s="64"/>
      <c r="H144" s="64"/>
      <c r="I144" s="64"/>
      <c r="J144" s="64"/>
      <c r="K144" s="64"/>
      <c r="L144" s="64"/>
      <c r="M144" s="64"/>
      <c r="N144" s="64"/>
      <c r="O144" s="96"/>
    </row>
    <row r="145" spans="2:15" ht="12.75" customHeight="1">
      <c r="B145" s="95"/>
      <c r="C145" s="64"/>
      <c r="D145" s="64"/>
      <c r="E145" s="64"/>
      <c r="F145" s="64"/>
      <c r="G145" s="64"/>
      <c r="H145" s="64"/>
      <c r="I145" s="64"/>
      <c r="J145" s="64"/>
      <c r="K145" s="64"/>
      <c r="L145" s="64"/>
      <c r="M145" s="64"/>
      <c r="N145" s="64"/>
      <c r="O145" s="96"/>
    </row>
    <row r="146" spans="2:15" ht="12.75" customHeight="1">
      <c r="B146" s="95"/>
      <c r="C146" s="64"/>
      <c r="D146" s="64"/>
      <c r="E146" s="64"/>
      <c r="F146" s="64"/>
      <c r="G146" s="64"/>
      <c r="H146" s="64"/>
      <c r="I146" s="64"/>
      <c r="J146" s="64"/>
      <c r="K146" s="64"/>
      <c r="L146" s="64"/>
      <c r="M146" s="64"/>
      <c r="N146" s="64"/>
      <c r="O146" s="96"/>
    </row>
    <row r="147" spans="2:15" ht="12.75" customHeight="1">
      <c r="B147" s="95"/>
      <c r="C147" s="64"/>
      <c r="D147" s="64"/>
      <c r="E147" s="64"/>
      <c r="F147" s="64"/>
      <c r="G147" s="64"/>
      <c r="H147" s="64"/>
      <c r="I147" s="64"/>
      <c r="J147" s="64"/>
      <c r="K147" s="64"/>
      <c r="L147" s="64"/>
      <c r="M147" s="64"/>
      <c r="N147" s="64"/>
      <c r="O147" s="96"/>
    </row>
    <row r="148" spans="2:15" ht="12.75" customHeight="1">
      <c r="B148" s="95"/>
      <c r="C148" s="64"/>
      <c r="D148" s="64"/>
      <c r="E148" s="64"/>
      <c r="F148" s="64"/>
      <c r="G148" s="64"/>
      <c r="H148" s="64"/>
      <c r="I148" s="64"/>
      <c r="J148" s="64"/>
      <c r="K148" s="64"/>
      <c r="L148" s="64"/>
      <c r="M148" s="64"/>
      <c r="N148" s="64"/>
      <c r="O148" s="96"/>
    </row>
    <row r="149" spans="2:15" ht="12.75" customHeight="1">
      <c r="B149" s="95"/>
      <c r="C149" s="64"/>
      <c r="D149" s="64"/>
      <c r="E149" s="64"/>
      <c r="F149" s="64"/>
      <c r="G149" s="64"/>
      <c r="H149" s="64"/>
      <c r="I149" s="64"/>
      <c r="J149" s="64"/>
      <c r="K149" s="64"/>
      <c r="L149" s="64"/>
      <c r="M149" s="64"/>
      <c r="N149" s="64"/>
      <c r="O149" s="96"/>
    </row>
    <row r="150" spans="2:15" ht="12.75" customHeight="1">
      <c r="B150" s="95"/>
      <c r="C150" s="64"/>
      <c r="D150" s="64"/>
      <c r="E150" s="64"/>
      <c r="F150" s="64"/>
      <c r="G150" s="64"/>
      <c r="H150" s="64"/>
      <c r="I150" s="64"/>
      <c r="J150" s="64"/>
      <c r="K150" s="64"/>
      <c r="L150" s="64"/>
      <c r="M150" s="64"/>
      <c r="N150" s="64"/>
      <c r="O150" s="96"/>
    </row>
    <row r="151" spans="2:15" ht="12.75" customHeight="1">
      <c r="B151" s="95"/>
      <c r="C151" s="64"/>
      <c r="D151" s="64"/>
      <c r="E151" s="64"/>
      <c r="F151" s="64"/>
      <c r="G151" s="64"/>
      <c r="H151" s="64"/>
      <c r="I151" s="64"/>
      <c r="J151" s="64"/>
      <c r="K151" s="64"/>
      <c r="L151" s="64"/>
      <c r="M151" s="64"/>
      <c r="N151" s="64"/>
      <c r="O151" s="96"/>
    </row>
    <row r="152" spans="2:15" ht="12.75" customHeight="1">
      <c r="B152" s="95"/>
      <c r="C152" s="64"/>
      <c r="D152" s="64"/>
      <c r="E152" s="64"/>
      <c r="F152" s="64"/>
      <c r="G152" s="64"/>
      <c r="H152" s="64"/>
      <c r="I152" s="64"/>
      <c r="J152" s="64"/>
      <c r="K152" s="64"/>
      <c r="L152" s="64"/>
      <c r="M152" s="64"/>
      <c r="N152" s="64"/>
      <c r="O152" s="96"/>
    </row>
    <row r="153" spans="2:15" ht="12.75" customHeight="1">
      <c r="B153" s="95"/>
      <c r="C153" s="64"/>
      <c r="D153" s="64"/>
      <c r="E153" s="64"/>
      <c r="F153" s="64"/>
      <c r="G153" s="64"/>
      <c r="H153" s="64"/>
      <c r="I153" s="64"/>
      <c r="J153" s="64"/>
      <c r="K153" s="64"/>
      <c r="L153" s="64"/>
      <c r="M153" s="64"/>
      <c r="N153" s="64"/>
      <c r="O153" s="96"/>
    </row>
    <row r="154" spans="2:15" ht="12.75" customHeight="1">
      <c r="B154" s="95"/>
      <c r="C154" s="64"/>
      <c r="D154" s="64"/>
      <c r="E154" s="64"/>
      <c r="F154" s="64"/>
      <c r="G154" s="64"/>
      <c r="H154" s="64"/>
      <c r="I154" s="64"/>
      <c r="J154" s="64"/>
      <c r="K154" s="64"/>
      <c r="L154" s="64"/>
      <c r="M154" s="64"/>
      <c r="N154" s="64"/>
      <c r="O154" s="96"/>
    </row>
    <row r="155" spans="2:15" ht="12.75" customHeight="1">
      <c r="B155" s="95"/>
      <c r="C155" s="64"/>
      <c r="D155" s="64"/>
      <c r="E155" s="64"/>
      <c r="F155" s="64"/>
      <c r="G155" s="64"/>
      <c r="H155" s="64"/>
      <c r="I155" s="64"/>
      <c r="J155" s="64"/>
      <c r="K155" s="64"/>
      <c r="L155" s="64"/>
      <c r="M155" s="64"/>
      <c r="N155" s="64"/>
      <c r="O155" s="96"/>
    </row>
    <row r="156" spans="2:15" ht="12.75" customHeight="1">
      <c r="B156" s="95"/>
      <c r="C156" s="64"/>
      <c r="D156" s="64"/>
      <c r="E156" s="64"/>
      <c r="F156" s="64"/>
      <c r="G156" s="64"/>
      <c r="H156" s="64"/>
      <c r="I156" s="64"/>
      <c r="J156" s="64"/>
      <c r="K156" s="64"/>
      <c r="L156" s="64"/>
      <c r="M156" s="64"/>
      <c r="N156" s="64"/>
      <c r="O156" s="96"/>
    </row>
    <row r="157" spans="2:15" ht="12.75" customHeight="1">
      <c r="B157" s="95"/>
      <c r="C157" s="64"/>
      <c r="D157" s="64"/>
      <c r="E157" s="64"/>
      <c r="F157" s="64"/>
      <c r="G157" s="64"/>
      <c r="H157" s="64"/>
      <c r="I157" s="64"/>
      <c r="J157" s="64"/>
      <c r="K157" s="64"/>
      <c r="L157" s="64"/>
      <c r="M157" s="64"/>
      <c r="N157" s="64"/>
      <c r="O157" s="96"/>
    </row>
    <row r="158" spans="2:15" ht="12.75" customHeight="1">
      <c r="B158" s="95"/>
      <c r="C158" s="64"/>
      <c r="D158" s="64"/>
      <c r="E158" s="64"/>
      <c r="F158" s="64"/>
      <c r="G158" s="64"/>
      <c r="H158" s="64"/>
      <c r="I158" s="64"/>
      <c r="J158" s="64"/>
      <c r="K158" s="64"/>
      <c r="L158" s="64"/>
      <c r="M158" s="64"/>
      <c r="N158" s="64"/>
      <c r="O158" s="96"/>
    </row>
    <row r="159" spans="2:15" ht="12.75" customHeight="1">
      <c r="B159" s="95"/>
      <c r="C159" s="64"/>
      <c r="D159" s="64"/>
      <c r="E159" s="64"/>
      <c r="F159" s="64"/>
      <c r="G159" s="64"/>
      <c r="H159" s="64"/>
      <c r="I159" s="64"/>
      <c r="J159" s="64"/>
      <c r="K159" s="64"/>
      <c r="L159" s="64"/>
      <c r="M159" s="64"/>
      <c r="N159" s="64"/>
      <c r="O159" s="96"/>
    </row>
    <row r="160" spans="2:15" ht="12.75" customHeight="1">
      <c r="B160" s="95"/>
      <c r="C160" s="64"/>
      <c r="D160" s="64"/>
      <c r="E160" s="64"/>
      <c r="F160" s="64"/>
      <c r="G160" s="64"/>
      <c r="H160" s="64"/>
      <c r="I160" s="64"/>
      <c r="J160" s="64"/>
      <c r="K160" s="64"/>
      <c r="L160" s="64"/>
      <c r="M160" s="64"/>
      <c r="N160" s="64"/>
      <c r="O160" s="96"/>
    </row>
    <row r="161" spans="2:15" ht="12.75" customHeight="1">
      <c r="B161" s="95"/>
      <c r="C161" s="64"/>
      <c r="D161" s="64"/>
      <c r="E161" s="64"/>
      <c r="F161" s="64"/>
      <c r="G161" s="64"/>
      <c r="H161" s="64"/>
      <c r="I161" s="64"/>
      <c r="J161" s="64"/>
      <c r="K161" s="64"/>
      <c r="L161" s="64"/>
      <c r="M161" s="64"/>
      <c r="N161" s="64"/>
      <c r="O161" s="96"/>
    </row>
    <row r="162" spans="2:15" ht="12.75" customHeight="1">
      <c r="B162" s="95"/>
      <c r="C162" s="64"/>
      <c r="D162" s="64"/>
      <c r="E162" s="64"/>
      <c r="F162" s="64"/>
      <c r="G162" s="64"/>
      <c r="H162" s="64"/>
      <c r="I162" s="64"/>
      <c r="J162" s="64"/>
      <c r="K162" s="64"/>
      <c r="L162" s="64"/>
      <c r="M162" s="64"/>
      <c r="N162" s="64"/>
      <c r="O162" s="96"/>
    </row>
    <row r="163" spans="2:15" ht="12.75" customHeight="1">
      <c r="B163" s="95"/>
      <c r="C163" s="64"/>
      <c r="D163" s="64"/>
      <c r="E163" s="64"/>
      <c r="F163" s="64"/>
      <c r="G163" s="64"/>
      <c r="H163" s="64"/>
      <c r="I163" s="64"/>
      <c r="J163" s="64"/>
      <c r="K163" s="64"/>
      <c r="L163" s="64"/>
      <c r="M163" s="64"/>
      <c r="N163" s="64"/>
      <c r="O163" s="96"/>
    </row>
    <row r="164" spans="2:15" ht="12.75" customHeight="1">
      <c r="B164" s="95"/>
      <c r="C164" s="64"/>
      <c r="D164" s="64"/>
      <c r="E164" s="64"/>
      <c r="F164" s="64"/>
      <c r="G164" s="64"/>
      <c r="H164" s="64"/>
      <c r="I164" s="64"/>
      <c r="J164" s="64"/>
      <c r="K164" s="64"/>
      <c r="L164" s="64"/>
      <c r="M164" s="64"/>
      <c r="N164" s="64"/>
      <c r="O164" s="96"/>
    </row>
    <row r="165" spans="2:15" ht="12.75" customHeight="1">
      <c r="B165" s="95"/>
      <c r="C165" s="64"/>
      <c r="D165" s="64"/>
      <c r="E165" s="64"/>
      <c r="F165" s="64"/>
      <c r="G165" s="64"/>
      <c r="H165" s="64"/>
      <c r="I165" s="64"/>
      <c r="J165" s="64"/>
      <c r="K165" s="64"/>
      <c r="L165" s="64"/>
      <c r="M165" s="64"/>
      <c r="N165" s="64"/>
      <c r="O165" s="96"/>
    </row>
    <row r="166" spans="2:15" ht="12.75" customHeight="1">
      <c r="B166" s="95"/>
      <c r="C166" s="64"/>
      <c r="D166" s="64"/>
      <c r="E166" s="64"/>
      <c r="F166" s="64"/>
      <c r="G166" s="64"/>
      <c r="H166" s="64"/>
      <c r="I166" s="64"/>
      <c r="J166" s="64"/>
      <c r="K166" s="64"/>
      <c r="L166" s="64"/>
      <c r="M166" s="64"/>
      <c r="N166" s="64"/>
      <c r="O166" s="96"/>
    </row>
    <row r="167" spans="2:15" ht="12.75" customHeight="1">
      <c r="B167" s="95"/>
      <c r="C167" s="64"/>
      <c r="D167" s="64"/>
      <c r="E167" s="64"/>
      <c r="F167" s="64"/>
      <c r="G167" s="64"/>
      <c r="H167" s="64"/>
      <c r="I167" s="64"/>
      <c r="J167" s="64"/>
      <c r="K167" s="64"/>
      <c r="L167" s="64"/>
      <c r="M167" s="64"/>
      <c r="N167" s="64"/>
      <c r="O167" s="96"/>
    </row>
    <row r="168" spans="2:15" ht="12.75" customHeight="1">
      <c r="B168" s="95"/>
      <c r="C168" s="64"/>
      <c r="D168" s="64"/>
      <c r="E168" s="64"/>
      <c r="F168" s="64"/>
      <c r="G168" s="64"/>
      <c r="H168" s="64"/>
      <c r="I168" s="64"/>
      <c r="J168" s="64"/>
      <c r="K168" s="64"/>
      <c r="L168" s="64"/>
      <c r="M168" s="64"/>
      <c r="N168" s="64"/>
      <c r="O168" s="96"/>
    </row>
    <row r="169" spans="2:15" ht="12.75" customHeight="1">
      <c r="B169" s="95"/>
      <c r="C169" s="64"/>
      <c r="D169" s="64"/>
      <c r="E169" s="64"/>
      <c r="F169" s="64"/>
      <c r="G169" s="64"/>
      <c r="H169" s="64"/>
      <c r="I169" s="64"/>
      <c r="J169" s="64"/>
      <c r="K169" s="64"/>
      <c r="L169" s="64"/>
      <c r="M169" s="64"/>
      <c r="N169" s="64"/>
      <c r="O169" s="96"/>
    </row>
    <row r="170" spans="2:15" ht="12.75" customHeight="1">
      <c r="B170" s="95"/>
      <c r="C170" s="64"/>
      <c r="D170" s="64"/>
      <c r="E170" s="64"/>
      <c r="F170" s="64"/>
      <c r="G170" s="64"/>
      <c r="H170" s="64"/>
      <c r="I170" s="64"/>
      <c r="J170" s="64"/>
      <c r="K170" s="64"/>
      <c r="L170" s="64"/>
      <c r="M170" s="64"/>
      <c r="N170" s="64"/>
      <c r="O170" s="96"/>
    </row>
    <row r="171" spans="2:15" ht="12.75" customHeight="1">
      <c r="B171" s="95"/>
      <c r="C171" s="64"/>
      <c r="D171" s="64"/>
      <c r="E171" s="64"/>
      <c r="F171" s="64"/>
      <c r="G171" s="64"/>
      <c r="H171" s="64"/>
      <c r="I171" s="64"/>
      <c r="J171" s="64"/>
      <c r="K171" s="64"/>
      <c r="L171" s="64"/>
      <c r="M171" s="64"/>
      <c r="N171" s="64"/>
      <c r="O171" s="96"/>
    </row>
    <row r="172" spans="2:15" ht="12.75" customHeight="1">
      <c r="B172" s="95"/>
      <c r="C172" s="64"/>
      <c r="D172" s="64"/>
      <c r="E172" s="64"/>
      <c r="F172" s="64"/>
      <c r="G172" s="64"/>
      <c r="H172" s="64"/>
      <c r="I172" s="64"/>
      <c r="J172" s="64"/>
      <c r="K172" s="64"/>
      <c r="L172" s="64"/>
      <c r="M172" s="64"/>
      <c r="N172" s="64"/>
      <c r="O172" s="96"/>
    </row>
    <row r="173" spans="2:15" ht="12.75" customHeight="1">
      <c r="B173" s="95"/>
      <c r="C173" s="64"/>
      <c r="D173" s="64"/>
      <c r="E173" s="64"/>
      <c r="F173" s="64"/>
      <c r="G173" s="64"/>
      <c r="H173" s="64"/>
      <c r="I173" s="64"/>
      <c r="J173" s="64"/>
      <c r="K173" s="64"/>
      <c r="L173" s="64"/>
      <c r="M173" s="64"/>
      <c r="N173" s="64"/>
      <c r="O173" s="96"/>
    </row>
    <row r="174" spans="2:15" ht="12.75" customHeight="1">
      <c r="B174" s="95"/>
      <c r="C174" s="64"/>
      <c r="D174" s="64"/>
      <c r="E174" s="64"/>
      <c r="F174" s="64"/>
      <c r="G174" s="64"/>
      <c r="H174" s="64"/>
      <c r="I174" s="64"/>
      <c r="J174" s="64"/>
      <c r="K174" s="64"/>
      <c r="L174" s="64"/>
      <c r="M174" s="64"/>
      <c r="N174" s="64"/>
      <c r="O174" s="96"/>
    </row>
    <row r="175" spans="2:15" ht="12.75" customHeight="1">
      <c r="B175" s="95"/>
      <c r="C175" s="64"/>
      <c r="D175" s="64"/>
      <c r="E175" s="64"/>
      <c r="F175" s="64"/>
      <c r="G175" s="64"/>
      <c r="H175" s="64"/>
      <c r="I175" s="64"/>
      <c r="J175" s="64"/>
      <c r="K175" s="64"/>
      <c r="L175" s="64"/>
      <c r="M175" s="64"/>
      <c r="N175" s="64"/>
      <c r="O175" s="96"/>
    </row>
    <row r="176" spans="2:15" ht="12.75" customHeight="1">
      <c r="B176" s="95"/>
      <c r="C176" s="64"/>
      <c r="D176" s="64"/>
      <c r="E176" s="64"/>
      <c r="F176" s="64"/>
      <c r="G176" s="64"/>
      <c r="H176" s="64"/>
      <c r="I176" s="64"/>
      <c r="J176" s="64"/>
      <c r="K176" s="64"/>
      <c r="L176" s="64"/>
      <c r="M176" s="64"/>
      <c r="N176" s="64"/>
      <c r="O176" s="96"/>
    </row>
    <row r="177" spans="2:15" ht="12.75" customHeight="1">
      <c r="B177" s="95"/>
      <c r="C177" s="64"/>
      <c r="D177" s="64"/>
      <c r="E177" s="64"/>
      <c r="F177" s="64"/>
      <c r="G177" s="64"/>
      <c r="H177" s="64"/>
      <c r="I177" s="64"/>
      <c r="J177" s="64"/>
      <c r="K177" s="64"/>
      <c r="L177" s="64"/>
      <c r="M177" s="64"/>
      <c r="N177" s="64"/>
      <c r="O177" s="96"/>
    </row>
    <row r="178" spans="2:15" ht="12.75" customHeight="1">
      <c r="B178" s="95"/>
      <c r="C178" s="64"/>
      <c r="D178" s="64"/>
      <c r="E178" s="64"/>
      <c r="F178" s="64"/>
      <c r="G178" s="64"/>
      <c r="H178" s="64"/>
      <c r="I178" s="64"/>
      <c r="J178" s="64"/>
      <c r="K178" s="64"/>
      <c r="L178" s="64"/>
      <c r="M178" s="64"/>
      <c r="N178" s="64"/>
      <c r="O178" s="96"/>
    </row>
    <row r="179" spans="2:15" ht="12.75" customHeight="1">
      <c r="B179" s="95"/>
      <c r="C179" s="64"/>
      <c r="D179" s="64"/>
      <c r="E179" s="64"/>
      <c r="F179" s="64"/>
      <c r="G179" s="64"/>
      <c r="H179" s="64"/>
      <c r="I179" s="64"/>
      <c r="J179" s="64"/>
      <c r="K179" s="64"/>
      <c r="L179" s="64"/>
      <c r="M179" s="64"/>
      <c r="N179" s="64"/>
      <c r="O179" s="96"/>
    </row>
    <row r="180" spans="2:15" ht="12.75" customHeight="1">
      <c r="B180" s="95"/>
      <c r="C180" s="64"/>
      <c r="D180" s="64"/>
      <c r="E180" s="64"/>
      <c r="F180" s="64"/>
      <c r="G180" s="64"/>
      <c r="H180" s="64"/>
      <c r="I180" s="64"/>
      <c r="J180" s="64"/>
      <c r="K180" s="64"/>
      <c r="L180" s="64"/>
      <c r="M180" s="64"/>
      <c r="N180" s="64"/>
      <c r="O180" s="96"/>
    </row>
    <row r="181" spans="2:15" ht="12.75" customHeight="1">
      <c r="B181" s="95"/>
      <c r="C181" s="64"/>
      <c r="D181" s="64"/>
      <c r="E181" s="64"/>
      <c r="F181" s="64"/>
      <c r="G181" s="64"/>
      <c r="H181" s="64"/>
      <c r="I181" s="64"/>
      <c r="J181" s="64"/>
      <c r="K181" s="64"/>
      <c r="L181" s="64"/>
      <c r="M181" s="64"/>
      <c r="N181" s="64"/>
      <c r="O181" s="96"/>
    </row>
    <row r="182" spans="2:15" ht="12.75" customHeight="1">
      <c r="B182" s="95"/>
      <c r="C182" s="64"/>
      <c r="D182" s="64"/>
      <c r="E182" s="64"/>
      <c r="F182" s="64"/>
      <c r="G182" s="64"/>
      <c r="H182" s="64"/>
      <c r="I182" s="64"/>
      <c r="J182" s="64"/>
      <c r="K182" s="64"/>
      <c r="L182" s="64"/>
      <c r="M182" s="64"/>
      <c r="N182" s="64"/>
      <c r="O182" s="96"/>
    </row>
    <row r="183" spans="2:15" ht="12.75" customHeight="1">
      <c r="B183" s="95"/>
      <c r="C183" s="64"/>
      <c r="D183" s="64"/>
      <c r="E183" s="64"/>
      <c r="F183" s="64"/>
      <c r="G183" s="64"/>
      <c r="H183" s="64"/>
      <c r="I183" s="64"/>
      <c r="J183" s="64"/>
      <c r="K183" s="64"/>
      <c r="L183" s="64"/>
      <c r="M183" s="64"/>
      <c r="N183" s="64"/>
      <c r="O183" s="96"/>
    </row>
    <row r="184" spans="2:15" ht="12.75" customHeight="1">
      <c r="B184" s="95"/>
      <c r="C184" s="64"/>
      <c r="D184" s="64"/>
      <c r="E184" s="64"/>
      <c r="F184" s="64"/>
      <c r="G184" s="64"/>
      <c r="H184" s="64"/>
      <c r="I184" s="64"/>
      <c r="J184" s="64"/>
      <c r="K184" s="64"/>
      <c r="L184" s="64"/>
      <c r="M184" s="64"/>
      <c r="N184" s="64"/>
      <c r="O184" s="96"/>
    </row>
    <row r="185" spans="2:15" ht="12.75" customHeight="1">
      <c r="B185" s="95"/>
      <c r="C185" s="64"/>
      <c r="D185" s="64"/>
      <c r="E185" s="64"/>
      <c r="F185" s="64"/>
      <c r="G185" s="64"/>
      <c r="H185" s="64"/>
      <c r="I185" s="64"/>
      <c r="J185" s="64"/>
      <c r="K185" s="64"/>
      <c r="L185" s="64"/>
      <c r="M185" s="64"/>
      <c r="N185" s="64"/>
      <c r="O185" s="96"/>
    </row>
    <row r="186" spans="2:15" ht="12.75" customHeight="1">
      <c r="B186" s="95"/>
      <c r="C186" s="64"/>
      <c r="D186" s="64"/>
      <c r="E186" s="64"/>
      <c r="F186" s="64"/>
      <c r="G186" s="64"/>
      <c r="H186" s="64"/>
      <c r="I186" s="64"/>
      <c r="J186" s="64"/>
      <c r="K186" s="64"/>
      <c r="L186" s="64"/>
      <c r="M186" s="64"/>
      <c r="N186" s="64"/>
      <c r="O186" s="96"/>
    </row>
    <row r="187" spans="2:15" ht="12.75" customHeight="1">
      <c r="B187" s="95"/>
      <c r="C187" s="64"/>
      <c r="D187" s="64"/>
      <c r="E187" s="64"/>
      <c r="F187" s="64"/>
      <c r="G187" s="64"/>
      <c r="H187" s="64"/>
      <c r="I187" s="64"/>
      <c r="J187" s="64"/>
      <c r="K187" s="64"/>
      <c r="L187" s="64"/>
      <c r="M187" s="64"/>
      <c r="N187" s="64"/>
      <c r="O187" s="96"/>
    </row>
    <row r="188" spans="2:15" ht="12.75" customHeight="1">
      <c r="B188" s="100"/>
      <c r="C188" s="101"/>
      <c r="D188" s="101"/>
      <c r="E188" s="101"/>
      <c r="F188" s="101"/>
      <c r="G188" s="101"/>
      <c r="H188" s="101"/>
      <c r="I188" s="101"/>
      <c r="J188" s="101"/>
      <c r="K188" s="101"/>
      <c r="L188" s="101"/>
      <c r="M188" s="101"/>
      <c r="N188" s="101"/>
      <c r="O188" s="150"/>
    </row>
    <row r="189" spans="2:15" ht="12.75" customHeight="1"/>
    <row r="190" spans="2:15" ht="12.75" customHeight="1"/>
    <row r="191" spans="2:15" ht="12.75" customHeight="1"/>
    <row r="192" spans="2:1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4:C4"/>
    <mergeCell ref="B5:C5"/>
    <mergeCell ref="F20:K21"/>
  </mergeCells>
  <conditionalFormatting sqref="D4">
    <cfRule type="cellIs" dxfId="245" priority="1" operator="between">
      <formula>100</formula>
      <formula>350</formula>
    </cfRule>
    <cfRule type="cellIs" dxfId="244" priority="2" stopIfTrue="1" operator="greaterThan">
      <formula>350</formula>
    </cfRule>
    <cfRule type="cellIs" dxfId="243" priority="3" stopIfTrue="1" operator="lessThan">
      <formula>130</formula>
    </cfRule>
  </conditionalFormatting>
  <conditionalFormatting sqref="D5">
    <cfRule type="cellIs" dxfId="242" priority="4" operator="equal">
      <formula>"N/A"</formula>
    </cfRule>
    <cfRule type="cellIs" dxfId="241" priority="5" operator="equal">
      <formula>"No"</formula>
    </cfRule>
    <cfRule type="cellIs" dxfId="240" priority="6" operator="equal">
      <formula>"yes"</formula>
    </cfRule>
  </conditionalFormatting>
  <conditionalFormatting sqref="D26">
    <cfRule type="cellIs" dxfId="239" priority="7" stopIfTrue="1" operator="greaterThan">
      <formula>$D$20</formula>
    </cfRule>
    <cfRule type="cellIs" dxfId="238" priority="8" stopIfTrue="1" operator="lessThan">
      <formula>100</formula>
    </cfRule>
  </conditionalFormatting>
  <conditionalFormatting sqref="D27">
    <cfRule type="cellIs" dxfId="237" priority="9" operator="lessThan">
      <formula>200</formula>
    </cfRule>
    <cfRule type="cellIs" dxfId="236" priority="10" stopIfTrue="1" operator="greaterThan">
      <formula>$D$21</formula>
    </cfRule>
  </conditionalFormatting>
  <conditionalFormatting sqref="F17">
    <cfRule type="expression" dxfId="235" priority="11" stopIfTrue="1">
      <formula>F17="No action required"</formula>
    </cfRule>
    <cfRule type="expression" dxfId="234" priority="12" stopIfTrue="1">
      <formula>I25="T3.17.4 applies"</formula>
    </cfRule>
  </conditionalFormatting>
  <conditionalFormatting sqref="F20">
    <cfRule type="expression" dxfId="233" priority="13" stopIfTrue="1">
      <formula>F20="No action required"</formula>
    </cfRule>
    <cfRule type="expression" dxfId="232" priority="14" stopIfTrue="1">
      <formula>I22="T3.17.4 applies"</formula>
    </cfRule>
  </conditionalFormatting>
  <dataValidations count="4">
    <dataValidation type="list" allowBlank="1" showInputMessage="1" showErrorMessage="1" prompt="Select Material" sqref="D17" xr:uid="{00000000-0002-0000-1400-000000000000}">
      <formula1>"YES,NO"</formula1>
    </dataValidation>
    <dataValidation type="list" allowBlank="1" showInputMessage="1" showErrorMessage="1" prompt="Select Material" sqref="C8" xr:uid="{00000000-0002-0000-1400-000001000000}">
      <formula1>Materials</formula1>
    </dataValidation>
    <dataValidation type="list" allowBlank="1" showErrorMessage="1" sqref="D5" xr:uid="{00000000-0002-0000-1400-000002000000}">
      <formula1>"No,Yes"</formula1>
    </dataValidation>
    <dataValidation type="list" allowBlank="1" showInputMessage="1" showErrorMessage="1" prompt="Select Material" sqref="D8" xr:uid="{00000000-0002-0000-1400-000003000000}">
      <formula1>"Steel,Aluminium 1,Alternative AIP"</formula1>
    </dataValidation>
  </dataValidations>
  <hyperlinks>
    <hyperlink ref="L27" location="'Cover Sheet'!A1" display="BACK to COVER SHEET" xr:uid="{00000000-0004-0000-1400-000000000000}"/>
    <hyperlink ref="B31" location="Google_Sheet_Link_1011044036" display="Link to GUIDANCE NOTES" xr:uid="{00000000-0004-0000-1400-000001000000}"/>
  </hyperlinks>
  <pageMargins left="0.75" right="0.75" top="1" bottom="1" header="0" footer="0"/>
  <pageSetup paperSize="9" orientation="portrait"/>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CCFF99"/>
  </sheetPr>
  <dimension ref="B1:V1000"/>
  <sheetViews>
    <sheetView showGridLines="0" workbookViewId="0"/>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5.5703125" customWidth="1"/>
    <col min="10" max="10" width="16" customWidth="1"/>
    <col min="11" max="11" width="11.5703125" customWidth="1"/>
    <col min="12" max="12" width="6.5703125" customWidth="1"/>
    <col min="13" max="13" width="11.140625" customWidth="1"/>
    <col min="14" max="16" width="11.42578125" customWidth="1"/>
    <col min="17" max="17" width="4" customWidth="1"/>
    <col min="18" max="26" width="11.42578125" customWidth="1"/>
  </cols>
  <sheetData>
    <row r="1" spans="2:22" ht="12.75" customHeight="1">
      <c r="B1" s="213" t="s">
        <v>573</v>
      </c>
    </row>
    <row r="2" spans="2:22" ht="12.75" customHeight="1">
      <c r="C2" s="690" t="s">
        <v>461</v>
      </c>
      <c r="D2" s="587"/>
      <c r="E2" s="588"/>
      <c r="F2" s="697" t="s">
        <v>240</v>
      </c>
      <c r="G2" s="588"/>
    </row>
    <row r="3" spans="2:22" ht="12.75" customHeight="1"/>
    <row r="4" spans="2:22" ht="25.5" customHeight="1">
      <c r="B4" s="27" t="s">
        <v>436</v>
      </c>
      <c r="C4" s="240" t="s">
        <v>437</v>
      </c>
      <c r="D4" s="31"/>
      <c r="E4" s="240" t="s">
        <v>574</v>
      </c>
      <c r="F4" s="240" t="s">
        <v>503</v>
      </c>
      <c r="G4" s="240" t="s">
        <v>504</v>
      </c>
      <c r="H4" s="240" t="s">
        <v>505</v>
      </c>
      <c r="I4" s="240" t="s">
        <v>575</v>
      </c>
      <c r="J4" s="316" t="s">
        <v>576</v>
      </c>
      <c r="K4" s="240" t="s">
        <v>463</v>
      </c>
      <c r="M4" s="317"/>
      <c r="N4" s="317"/>
      <c r="O4" s="317"/>
      <c r="P4" s="317"/>
      <c r="Q4" s="317"/>
      <c r="R4" s="317"/>
      <c r="S4" s="31" t="s">
        <v>577</v>
      </c>
      <c r="T4" s="32" t="s">
        <v>464</v>
      </c>
      <c r="U4" s="32" t="s">
        <v>465</v>
      </c>
    </row>
    <row r="5" spans="2:22" ht="12.75" customHeight="1">
      <c r="B5" s="43" t="s">
        <v>439</v>
      </c>
      <c r="C5" s="109" t="s">
        <v>202</v>
      </c>
      <c r="D5" s="67"/>
      <c r="E5" s="214" t="s">
        <v>202</v>
      </c>
      <c r="F5" s="214" t="s">
        <v>202</v>
      </c>
      <c r="G5" s="214" t="s">
        <v>202</v>
      </c>
      <c r="H5" s="224"/>
      <c r="I5" s="214" t="s">
        <v>205</v>
      </c>
      <c r="J5" s="233" t="s">
        <v>205</v>
      </c>
      <c r="K5" s="227"/>
      <c r="M5" s="317"/>
      <c r="N5" s="317"/>
      <c r="O5" s="317"/>
      <c r="P5" s="317"/>
      <c r="Q5" s="317"/>
      <c r="R5" s="317"/>
      <c r="S5" s="225" t="s">
        <v>466</v>
      </c>
      <c r="T5" s="67">
        <f>I22/1000</f>
        <v>0</v>
      </c>
      <c r="U5" s="225">
        <f>T5</f>
        <v>0</v>
      </c>
    </row>
    <row r="6" spans="2:22" ht="12.75" customHeight="1">
      <c r="B6" s="43" t="s">
        <v>467</v>
      </c>
      <c r="C6" s="109" t="s">
        <v>247</v>
      </c>
      <c r="D6" s="67"/>
      <c r="E6" s="214" t="s">
        <v>247</v>
      </c>
      <c r="F6" s="214" t="s">
        <v>249</v>
      </c>
      <c r="G6" s="214" t="s">
        <v>247</v>
      </c>
      <c r="H6" s="227"/>
      <c r="I6" s="318" t="s">
        <v>113</v>
      </c>
      <c r="J6" s="109" t="s">
        <v>113</v>
      </c>
      <c r="K6" s="227"/>
      <c r="M6" s="317"/>
      <c r="N6" s="317"/>
      <c r="O6" s="317"/>
      <c r="P6" s="317"/>
      <c r="Q6" s="317"/>
      <c r="R6" s="317"/>
      <c r="S6" s="225" t="s">
        <v>468</v>
      </c>
      <c r="T6" s="67">
        <f>I21/1000</f>
        <v>0</v>
      </c>
      <c r="U6" s="225">
        <f>I20/1000</f>
        <v>0</v>
      </c>
    </row>
    <row r="7" spans="2:22" ht="12.75" customHeight="1">
      <c r="B7" s="43" t="s">
        <v>441</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220</v>
      </c>
      <c r="J7" s="319" t="s">
        <v>220</v>
      </c>
      <c r="K7" s="228"/>
      <c r="M7" s="317"/>
      <c r="N7" s="317"/>
      <c r="O7" s="317"/>
      <c r="P7" s="317"/>
      <c r="Q7" s="317"/>
      <c r="R7" s="317"/>
    </row>
    <row r="8" spans="2:22" ht="12.75" customHeight="1">
      <c r="B8" s="43" t="s">
        <v>223</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M8" s="317"/>
      <c r="N8" s="317"/>
      <c r="O8" s="317"/>
      <c r="P8" s="317"/>
      <c r="Q8" s="317"/>
      <c r="R8" s="317"/>
      <c r="S8" s="225" t="s">
        <v>578</v>
      </c>
      <c r="T8" s="131">
        <f>T5*T6</f>
        <v>0</v>
      </c>
      <c r="U8" s="225" t="s">
        <v>579</v>
      </c>
      <c r="V8" s="131">
        <f>(T5*T6^3)/12</f>
        <v>0</v>
      </c>
    </row>
    <row r="9" spans="2:22" ht="12.75" customHeight="1">
      <c r="B9" s="43" t="s">
        <v>225</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M9" s="317"/>
      <c r="N9" s="317"/>
      <c r="O9" s="317"/>
      <c r="P9" s="317"/>
      <c r="Q9" s="317"/>
      <c r="R9" s="317"/>
      <c r="S9" s="225" t="s">
        <v>580</v>
      </c>
      <c r="T9" s="131">
        <f>U5*U6</f>
        <v>0</v>
      </c>
      <c r="U9" s="225" t="s">
        <v>581</v>
      </c>
      <c r="V9" s="131">
        <f>(U5*U6^3)/12</f>
        <v>0</v>
      </c>
    </row>
    <row r="10" spans="2:22" ht="12.75" customHeight="1">
      <c r="B10" s="43" t="s">
        <v>227</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M10" s="317"/>
      <c r="N10" s="317"/>
      <c r="O10" s="317"/>
      <c r="P10" s="317"/>
      <c r="Q10" s="317"/>
      <c r="R10" s="317"/>
      <c r="S10" s="225" t="s">
        <v>582</v>
      </c>
      <c r="T10" s="67">
        <f>T6/2</f>
        <v>0</v>
      </c>
      <c r="U10" s="225" t="s">
        <v>583</v>
      </c>
      <c r="V10" s="131" t="e">
        <f t="shared" ref="V10:V11" si="0">V8+(T8*($T$12-T10)^2)</f>
        <v>#DIV/0!</v>
      </c>
    </row>
    <row r="11" spans="2:22" ht="12.75" customHeight="1">
      <c r="B11" s="43" t="s">
        <v>229</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M11" s="317"/>
      <c r="N11" s="317"/>
      <c r="O11" s="317"/>
      <c r="P11" s="317"/>
      <c r="Q11" s="317"/>
      <c r="R11" s="317"/>
      <c r="S11" s="225" t="s">
        <v>584</v>
      </c>
      <c r="T11" s="67">
        <f>(I18-0.5*I20)*0.001</f>
        <v>0</v>
      </c>
      <c r="U11" s="225" t="s">
        <v>585</v>
      </c>
      <c r="V11" s="131" t="e">
        <f t="shared" si="0"/>
        <v>#DIV/0!</v>
      </c>
    </row>
    <row r="12" spans="2:22" ht="12.75" customHeight="1">
      <c r="B12" s="43" t="s">
        <v>230</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M12" s="317"/>
      <c r="N12" s="317"/>
      <c r="O12" s="317"/>
      <c r="P12" s="317"/>
      <c r="Q12" s="317"/>
      <c r="R12" s="317"/>
      <c r="S12" s="225" t="s">
        <v>477</v>
      </c>
      <c r="T12" s="229" t="e">
        <f>(T8*T10+T9*T11)/(T8+T9)</f>
        <v>#DIV/0!</v>
      </c>
      <c r="U12" s="225" t="s">
        <v>586</v>
      </c>
      <c r="V12" s="128" t="e">
        <f>SUM(V10:V11)</f>
        <v>#DIV/0!</v>
      </c>
    </row>
    <row r="13" spans="2:22" ht="12.75" customHeight="1">
      <c r="B13" s="43" t="s">
        <v>587</v>
      </c>
      <c r="C13" s="321" t="s">
        <v>129</v>
      </c>
      <c r="E13" s="214" t="s">
        <v>588</v>
      </c>
      <c r="F13" s="321" t="s">
        <v>129</v>
      </c>
      <c r="G13" s="321" t="s">
        <v>129</v>
      </c>
      <c r="H13" s="227"/>
      <c r="I13" s="224"/>
      <c r="K13" s="227"/>
      <c r="M13" s="317"/>
      <c r="N13" s="317"/>
      <c r="O13" s="317"/>
      <c r="P13" s="317"/>
      <c r="Q13" s="317"/>
      <c r="R13" s="317"/>
      <c r="V13" s="131"/>
    </row>
    <row r="14" spans="2:22" ht="12.75" customHeight="1">
      <c r="B14" s="230" t="s">
        <v>479</v>
      </c>
      <c r="C14" s="109">
        <v>3</v>
      </c>
      <c r="E14" s="214">
        <v>3</v>
      </c>
      <c r="F14" s="214">
        <v>0</v>
      </c>
      <c r="G14" s="214">
        <v>0</v>
      </c>
      <c r="H14" s="227"/>
      <c r="I14" s="227"/>
      <c r="K14" s="227"/>
      <c r="M14" s="317"/>
      <c r="N14" s="317"/>
      <c r="O14" s="317"/>
      <c r="P14" s="317"/>
      <c r="Q14" s="317"/>
      <c r="R14" s="317"/>
      <c r="S14" s="31" t="s">
        <v>589</v>
      </c>
      <c r="T14" s="32" t="s">
        <v>464</v>
      </c>
      <c r="U14" s="32" t="s">
        <v>465</v>
      </c>
    </row>
    <row r="15" spans="2:22" ht="12.75" customHeight="1">
      <c r="B15" s="43" t="s">
        <v>442</v>
      </c>
      <c r="C15" s="109">
        <v>25.4</v>
      </c>
      <c r="E15" s="214">
        <v>28</v>
      </c>
      <c r="F15" s="214">
        <v>25.4</v>
      </c>
      <c r="G15" s="214">
        <v>25.4</v>
      </c>
      <c r="H15" s="227"/>
      <c r="I15" s="227"/>
      <c r="K15" s="227"/>
      <c r="M15" s="317"/>
      <c r="N15" s="317"/>
      <c r="O15" s="317"/>
      <c r="P15" s="317"/>
      <c r="Q15" s="317"/>
      <c r="R15" s="317"/>
      <c r="S15" s="225" t="s">
        <v>466</v>
      </c>
      <c r="T15" s="67">
        <f t="shared" ref="T15:T16" si="1">J21/1000</f>
        <v>0</v>
      </c>
      <c r="U15" s="225">
        <f>J20/1000</f>
        <v>0</v>
      </c>
    </row>
    <row r="16" spans="2:22" ht="12.75" customHeight="1">
      <c r="B16" s="43" t="s">
        <v>443</v>
      </c>
      <c r="C16" s="109">
        <v>1.6</v>
      </c>
      <c r="E16" s="214">
        <v>1.5</v>
      </c>
      <c r="F16" s="214">
        <v>1.6</v>
      </c>
      <c r="G16" s="214">
        <v>1.6</v>
      </c>
      <c r="H16" s="227"/>
      <c r="I16" s="227"/>
      <c r="K16" s="227"/>
      <c r="M16" s="317"/>
      <c r="N16" s="317"/>
      <c r="O16" s="317"/>
      <c r="P16" s="317"/>
      <c r="Q16" s="317"/>
      <c r="R16" s="317"/>
      <c r="S16" s="225" t="s">
        <v>468</v>
      </c>
      <c r="T16" s="67">
        <f t="shared" si="1"/>
        <v>0</v>
      </c>
      <c r="U16" s="225">
        <f>J22/1000</f>
        <v>0</v>
      </c>
    </row>
    <row r="17" spans="2:22" ht="12.75" customHeight="1">
      <c r="E17" s="243"/>
      <c r="F17" s="322" t="s">
        <v>515</v>
      </c>
      <c r="G17" s="132" t="str">
        <f>IF(AND(L27&gt;=100,F2="tubing only",NOT(OR(E18="NO",F18="NO",G18="NO"))),"YES","NO")</f>
        <v>NO</v>
      </c>
      <c r="H17" s="227"/>
      <c r="I17" s="234"/>
      <c r="K17" s="227"/>
      <c r="M17" s="317"/>
      <c r="N17" s="317"/>
      <c r="O17" s="317"/>
      <c r="P17" s="317"/>
      <c r="Q17" s="317"/>
      <c r="R17" s="317"/>
    </row>
    <row r="18" spans="2:22" ht="12.75" customHeight="1">
      <c r="B18" s="43" t="s">
        <v>480</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M18" s="317"/>
      <c r="N18" s="317"/>
      <c r="O18" s="317"/>
      <c r="P18" s="317"/>
      <c r="Q18" s="317"/>
      <c r="R18" s="317"/>
      <c r="S18" s="225" t="s">
        <v>590</v>
      </c>
      <c r="T18" s="131">
        <f>T15*T16</f>
        <v>0</v>
      </c>
      <c r="U18" s="225" t="s">
        <v>591</v>
      </c>
      <c r="V18" s="131">
        <f>(T15^3*T16)/12</f>
        <v>0</v>
      </c>
    </row>
    <row r="19" spans="2:22" ht="12.75" customHeight="1">
      <c r="B19" s="43" t="s">
        <v>481</v>
      </c>
      <c r="E19" s="80"/>
      <c r="G19" s="141"/>
      <c r="H19" s="227"/>
      <c r="I19" s="143"/>
      <c r="J19" s="214"/>
      <c r="K19" s="227"/>
      <c r="M19" s="317"/>
      <c r="N19" s="317"/>
      <c r="O19" s="317"/>
      <c r="P19" s="317"/>
      <c r="Q19" s="317"/>
      <c r="R19" s="317"/>
      <c r="S19" s="225" t="s">
        <v>592</v>
      </c>
      <c r="T19" s="131">
        <f>U15*U16</f>
        <v>0</v>
      </c>
      <c r="U19" s="225" t="s">
        <v>593</v>
      </c>
      <c r="V19" s="131">
        <f>(U15^3*U16)/12</f>
        <v>0</v>
      </c>
    </row>
    <row r="20" spans="2:22" ht="12.75" customHeight="1">
      <c r="B20" s="43" t="s">
        <v>482</v>
      </c>
      <c r="E20" s="80"/>
      <c r="G20" s="141"/>
      <c r="H20" s="80"/>
      <c r="I20" s="214"/>
      <c r="J20" s="233"/>
      <c r="K20" s="227"/>
      <c r="M20" s="23" t="str">
        <f>IF(OR(AND(I20&lt;0.4*I21,I20&lt;1),AND(J20&lt;0.4*J21,J20&lt;1)),"Asymmetrical lay-up: skin too thin in comparison, see T3.4.4.","")</f>
        <v/>
      </c>
      <c r="N20" s="317"/>
      <c r="O20" s="317"/>
      <c r="P20" s="317"/>
      <c r="Q20" s="317"/>
      <c r="R20" s="317"/>
      <c r="S20" s="225" t="s">
        <v>594</v>
      </c>
      <c r="T20" s="67">
        <f>J21/2000</f>
        <v>0</v>
      </c>
      <c r="U20" s="225" t="s">
        <v>595</v>
      </c>
      <c r="V20" s="131" t="e">
        <f t="shared" ref="V20:V21" si="4">V18+(T18*($T$22-T20)^2)</f>
        <v>#DIV/0!</v>
      </c>
    </row>
    <row r="21" spans="2:22" ht="12.75" customHeight="1">
      <c r="B21" s="43" t="s">
        <v>483</v>
      </c>
      <c r="E21" s="80"/>
      <c r="G21" s="141"/>
      <c r="H21" s="80"/>
      <c r="I21" s="214"/>
      <c r="J21" s="233"/>
      <c r="K21" s="227"/>
      <c r="M21" s="23" t="str">
        <f>IF(OR(AND(I21&lt;0.4*I20,I21&lt;1),AND(J21&lt;0.4*J20,J21&lt;1)),"Asymmetrical lay-up: skin too thin in comparison, see T3.4.4.","")</f>
        <v/>
      </c>
      <c r="N21" s="317"/>
      <c r="O21" s="317"/>
      <c r="P21" s="317"/>
      <c r="Q21" s="317"/>
      <c r="R21" s="317"/>
      <c r="S21" s="225" t="s">
        <v>596</v>
      </c>
      <c r="T21" s="67">
        <f>(J18-0.5*J20)*0.001</f>
        <v>0</v>
      </c>
      <c r="U21" s="225" t="s">
        <v>597</v>
      </c>
      <c r="V21" s="131" t="e">
        <f t="shared" si="4"/>
        <v>#DIV/0!</v>
      </c>
    </row>
    <row r="22" spans="2:22" ht="12.75" customHeight="1">
      <c r="B22" s="43" t="s">
        <v>598</v>
      </c>
      <c r="E22" s="80"/>
      <c r="G22" s="141"/>
      <c r="H22" s="227"/>
      <c r="I22" s="101"/>
      <c r="J22" s="214"/>
      <c r="K22" s="227"/>
      <c r="M22" s="317"/>
      <c r="N22" s="317"/>
      <c r="O22" s="317"/>
      <c r="P22" s="317"/>
      <c r="Q22" s="317"/>
      <c r="R22" s="317"/>
      <c r="S22" s="225" t="s">
        <v>477</v>
      </c>
      <c r="T22" s="229" t="e">
        <f>(T18*T20+T19*T21)/(T18+T19)</f>
        <v>#DIV/0!</v>
      </c>
      <c r="U22" s="225" t="s">
        <v>599</v>
      </c>
      <c r="V22" s="128" t="e">
        <f>SUM(V20:V21)</f>
        <v>#DIV/0!</v>
      </c>
    </row>
    <row r="23" spans="2:22" ht="12.75" customHeight="1">
      <c r="E23" s="251"/>
      <c r="F23" s="25"/>
      <c r="G23" s="197"/>
      <c r="H23" s="227"/>
      <c r="I23" s="224"/>
      <c r="K23" s="227"/>
      <c r="M23" s="317"/>
      <c r="N23" s="317"/>
      <c r="O23" s="317"/>
      <c r="P23" s="325"/>
      <c r="Q23" s="317"/>
      <c r="R23" s="317"/>
    </row>
    <row r="24" spans="2:22" ht="12.75" customHeight="1">
      <c r="B24" s="43" t="s">
        <v>444</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445</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446</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447</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row>
    <row r="28" spans="2:22" ht="12.75" customHeight="1">
      <c r="B28" s="43" t="s">
        <v>448</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449</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450</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451</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452</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453</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row>
    <row r="34" spans="2:16" ht="12.75" customHeight="1">
      <c r="B34" s="43" t="s">
        <v>454</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row>
    <row r="35" spans="2:16" ht="12.75" customHeight="1">
      <c r="B35" s="43" t="s">
        <v>455</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N35" s="39" t="s">
        <v>252</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485</v>
      </c>
      <c r="E37" s="131"/>
    </row>
    <row r="38" spans="2:16" ht="12.75" customHeight="1">
      <c r="B38" s="255" t="s">
        <v>407</v>
      </c>
      <c r="C38" s="143"/>
      <c r="D38" s="143"/>
      <c r="E38" s="143"/>
      <c r="F38" s="143"/>
      <c r="G38" s="143"/>
      <c r="H38" s="143"/>
      <c r="I38" s="143"/>
      <c r="J38" s="143"/>
      <c r="K38" s="143"/>
      <c r="L38" s="143"/>
      <c r="M38" s="143"/>
      <c r="N38" s="143"/>
      <c r="O38" s="143"/>
      <c r="P38" s="144"/>
    </row>
    <row r="39" spans="2:16" ht="12.75" customHeight="1">
      <c r="B39" s="238" t="s">
        <v>487</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G16">
    <cfRule type="cellIs" dxfId="231" priority="1" stopIfTrue="1" operator="lessThan">
      <formula>1.2</formula>
    </cfRule>
  </conditionalFormatting>
  <conditionalFormatting sqref="E27:G33">
    <cfRule type="cellIs" dxfId="230" priority="2" stopIfTrue="1" operator="lessThan">
      <formula>0.95*$C27*(E$14/$C$14)</formula>
    </cfRule>
  </conditionalFormatting>
  <conditionalFormatting sqref="E35:G35">
    <cfRule type="cellIs" dxfId="229" priority="3" stopIfTrue="1" operator="lessThan">
      <formula>0.95*$C35*(E$14/$C$14)</formula>
    </cfRule>
  </conditionalFormatting>
  <conditionalFormatting sqref="I22">
    <cfRule type="cellIs" dxfId="228" priority="4" stopIfTrue="1" operator="greaterThan">
      <formula>320</formula>
    </cfRule>
    <cfRule type="cellIs" dxfId="227" priority="5" stopIfTrue="1" operator="greaterThan">
      <formula>320</formula>
    </cfRule>
  </conditionalFormatting>
  <conditionalFormatting sqref="I27">
    <cfRule type="cellIs" dxfId="226" priority="6" stopIfTrue="1" operator="lessThan">
      <formula>$C$27*(2/3)</formula>
    </cfRule>
  </conditionalFormatting>
  <conditionalFormatting sqref="I20:J20">
    <cfRule type="expression" dxfId="225" priority="7">
      <formula>AND(I20&lt;0.4*I21,I20&lt;1)</formula>
    </cfRule>
  </conditionalFormatting>
  <conditionalFormatting sqref="I21:J21">
    <cfRule type="expression" dxfId="224" priority="8">
      <formula>AND(I21&lt;0.4*I20,I21&lt;1)</formula>
    </cfRule>
  </conditionalFormatting>
  <conditionalFormatting sqref="J27">
    <cfRule type="cellIs" dxfId="223" priority="9" stopIfTrue="1" operator="lessThan">
      <formula>$C$27/3</formula>
    </cfRule>
  </conditionalFormatting>
  <conditionalFormatting sqref="L27">
    <cfRule type="cellIs" dxfId="222" priority="10" stopIfTrue="1" operator="lessThan">
      <formula>50</formula>
    </cfRule>
    <cfRule type="cellIs" dxfId="221" priority="11" stopIfTrue="1" operator="between">
      <formula>50</formula>
      <formula>100</formula>
    </cfRule>
  </conditionalFormatting>
  <conditionalFormatting sqref="L27:L33">
    <cfRule type="cellIs" dxfId="220" priority="12" stopIfTrue="1" operator="greaterThanOrEqual">
      <formula>100</formula>
    </cfRule>
  </conditionalFormatting>
  <conditionalFormatting sqref="L28:L33">
    <cfRule type="cellIs" dxfId="219" priority="13" stopIfTrue="1" operator="lessThan">
      <formula>100</formula>
    </cfRule>
  </conditionalFormatting>
  <conditionalFormatting sqref="L34">
    <cfRule type="cellIs" dxfId="218" priority="14" stopIfTrue="1" operator="equal">
      <formula>"NA"</formula>
    </cfRule>
    <cfRule type="cellIs" dxfId="217" priority="15" stopIfTrue="1" operator="between">
      <formula>100.1</formula>
      <formula>200</formula>
    </cfRule>
    <cfRule type="cellIs" dxfId="216" priority="16" stopIfTrue="1" operator="greaterThan">
      <formula>200</formula>
    </cfRule>
    <cfRule type="cellIs" dxfId="215" priority="17" stopIfTrue="1" operator="lessThanOrEqual">
      <formula>100</formula>
    </cfRule>
  </conditionalFormatting>
  <conditionalFormatting sqref="L35">
    <cfRule type="cellIs" dxfId="214" priority="18" stopIfTrue="1" operator="greaterThanOrEqual">
      <formula>100</formula>
    </cfRule>
    <cfRule type="cellIs" dxfId="213" priority="19" stopIfTrue="1" operator="lessThan">
      <formula>100</formula>
    </cfRule>
  </conditionalFormatting>
  <dataValidations count="6">
    <dataValidation type="list" allowBlank="1" showErrorMessage="1" sqref="F2" xr:uid="{00000000-0002-0000-1500-000000000000}">
      <formula1>ConstructionType</formula1>
    </dataValidation>
    <dataValidation type="list" allowBlank="1" showErrorMessage="1" sqref="I5:J5" xr:uid="{00000000-0002-0000-1500-000001000000}">
      <formula1>Material</formula1>
    </dataValidation>
    <dataValidation type="list" allowBlank="1" showInputMessage="1" showErrorMessage="1" prompt="Select Material" sqref="E5:G5" xr:uid="{00000000-0002-0000-1500-000002000000}">
      <formula1>Metallic_Mats</formula1>
    </dataValidation>
    <dataValidation type="list" allowBlank="1" showErrorMessage="1" sqref="E13" xr:uid="{00000000-0002-0000-1500-000003000000}">
      <formula1>"Straight,Bent/Multi"</formula1>
    </dataValidation>
    <dataValidation type="list" allowBlank="1" showInputMessage="1" showErrorMessage="1" prompt="Select Material" sqref="C5:D5 D6" xr:uid="{00000000-0002-0000-1500-000004000000}">
      <formula1>Materials</formula1>
    </dataValidation>
    <dataValidation type="list" allowBlank="1" showInputMessage="1" showErrorMessage="1" prompt="Select Material" sqref="E6:G6" xr:uid="{00000000-0002-0000-1500-000005000000}">
      <formula1>Tube_Type</formula1>
    </dataValidation>
  </dataValidations>
  <hyperlinks>
    <hyperlink ref="I7" location="'T3.5 Laminate Test'!A1" display="T3.5_Laminate" xr:uid="{00000000-0004-0000-1500-000000000000}"/>
    <hyperlink ref="J7" location="'T3.5 Laminate Test'!A1" display="T3.5_Laminate" xr:uid="{00000000-0004-0000-1500-000001000000}"/>
    <hyperlink ref="B14" location="'T1.1 Guidance Notes'!A1" display="Number of tubes" xr:uid="{00000000-0004-0000-1500-000002000000}"/>
    <hyperlink ref="N35" location="'Cover Sheet'!A1" display="BACK to COVER SHEET" xr:uid="{00000000-0004-0000-1500-000003000000}"/>
    <hyperlink ref="B38" location="'T3.14 T3.5 Guidance Notes'!A1" display="Link to GUIDANCE NOTES for laminated structures" xr:uid="{00000000-0004-0000-1500-000004000000}"/>
    <hyperlink ref="B39" location="'T3.5 Guidance Notes'!A1" display="Link to GUIDANCE NOTES for anisotropic laminates" xr:uid="{00000000-0004-0000-1500-000005000000}"/>
  </hyperlinks>
  <pageMargins left="0.75" right="0.75" top="1" bottom="1" header="0" footer="0"/>
  <pageSetup paperSize="9" orientation="portrait"/>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CCFF99"/>
  </sheetPr>
  <dimension ref="A1:Z1000"/>
  <sheetViews>
    <sheetView showGridLines="0" workbookViewId="0"/>
  </sheetViews>
  <sheetFormatPr baseColWidth="10" defaultColWidth="12.5703125" defaultRowHeight="15" customHeight="1"/>
  <cols>
    <col min="1" max="1" width="3.42578125" customWidth="1"/>
    <col min="2" max="2" width="45.42578125" customWidth="1"/>
    <col min="3" max="3" width="11.42578125" customWidth="1"/>
    <col min="4" max="4" width="3.42578125" customWidth="1"/>
    <col min="5" max="5" width="11.5703125" customWidth="1"/>
    <col min="6" max="6" width="15.42578125" customWidth="1"/>
    <col min="7" max="7" width="11.5703125" customWidth="1"/>
    <col min="8" max="8" width="9" customWidth="1"/>
    <col min="9" max="9" width="8.5703125" customWidth="1"/>
    <col min="10" max="12" width="11.42578125" customWidth="1"/>
    <col min="13" max="13" width="3.42578125" customWidth="1"/>
    <col min="14" max="14" width="11.42578125" customWidth="1"/>
    <col min="15" max="15" width="40.85546875" customWidth="1"/>
    <col min="16" max="26" width="11.42578125" customWidth="1"/>
  </cols>
  <sheetData>
    <row r="1" spans="2:12" ht="12.75" customHeight="1">
      <c r="B1" s="213" t="s">
        <v>600</v>
      </c>
    </row>
    <row r="2" spans="2:12" ht="12.75" customHeight="1">
      <c r="C2" s="690" t="s">
        <v>461</v>
      </c>
      <c r="D2" s="587"/>
      <c r="E2" s="587"/>
      <c r="F2" s="697" t="s">
        <v>240</v>
      </c>
      <c r="G2" s="588"/>
    </row>
    <row r="3" spans="2:12" ht="12.75" customHeight="1"/>
    <row r="4" spans="2:12" ht="12.75" customHeight="1">
      <c r="B4" s="27" t="s">
        <v>436</v>
      </c>
      <c r="C4" s="27" t="s">
        <v>437</v>
      </c>
      <c r="D4" s="31"/>
      <c r="E4" s="27" t="s">
        <v>438</v>
      </c>
      <c r="F4" s="239" t="s">
        <v>462</v>
      </c>
      <c r="G4" s="27" t="s">
        <v>463</v>
      </c>
      <c r="I4" s="31"/>
      <c r="J4" s="32" t="s">
        <v>464</v>
      </c>
      <c r="K4" s="32" t="s">
        <v>465</v>
      </c>
    </row>
    <row r="5" spans="2:12" ht="12.75" customHeight="1">
      <c r="B5" s="43" t="s">
        <v>439</v>
      </c>
      <c r="C5" s="109" t="s">
        <v>202</v>
      </c>
      <c r="D5" s="67"/>
      <c r="E5" s="214" t="s">
        <v>202</v>
      </c>
      <c r="F5" s="233" t="s">
        <v>210</v>
      </c>
      <c r="G5" s="227"/>
      <c r="I5" s="225" t="s">
        <v>466</v>
      </c>
      <c r="J5" s="67">
        <f>F24/1000</f>
        <v>0</v>
      </c>
      <c r="K5" s="225">
        <f>J5</f>
        <v>0</v>
      </c>
    </row>
    <row r="6" spans="2:12" ht="12.75" customHeight="1">
      <c r="B6" s="43" t="s">
        <v>467</v>
      </c>
      <c r="C6" s="109" t="s">
        <v>247</v>
      </c>
      <c r="D6" s="67"/>
      <c r="E6" s="214" t="s">
        <v>247</v>
      </c>
      <c r="F6" s="318" t="s">
        <v>129</v>
      </c>
      <c r="G6" s="227"/>
      <c r="I6" s="225" t="s">
        <v>468</v>
      </c>
      <c r="J6" s="67">
        <f>F23/1000</f>
        <v>0</v>
      </c>
      <c r="K6" s="225">
        <f>F22/1000</f>
        <v>0</v>
      </c>
    </row>
    <row r="7" spans="2:12" ht="12.75" customHeight="1">
      <c r="B7" s="43" t="s">
        <v>441</v>
      </c>
      <c r="C7" s="126" t="str">
        <f>HLOOKUP(C5,MaterialData!$C$3:$P$4,2,FALSE)</f>
        <v>Steel</v>
      </c>
      <c r="D7" s="131"/>
      <c r="E7" s="126" t="str">
        <f>HLOOKUP(E5,MaterialData!$C$3:$S$4,2,FALSE)</f>
        <v>Steel</v>
      </c>
      <c r="F7" s="126">
        <f>HLOOKUP(F5,MaterialData!$C$3:$S$4,2,FALSE)</f>
        <v>0</v>
      </c>
      <c r="G7" s="228"/>
    </row>
    <row r="8" spans="2:12" ht="12.75" customHeight="1">
      <c r="B8" s="43" t="s">
        <v>223</v>
      </c>
      <c r="C8" s="126">
        <f t="array" ref="C8">INDEX(Innertable,MATCH($B8,MaterialData!$B$6:$B$11,0),MATCH(C$7,MaterialData!$C$4:$P$4,0))</f>
        <v>200000000000</v>
      </c>
      <c r="D8" s="131"/>
      <c r="E8" s="126">
        <f t="array" ref="E8">INDEX(Innertable,MATCH($B8,MaterialData!$B$6:$B$11,0),MATCH(E$7,MaterialData!$C$4:$S$4,0))</f>
        <v>200000000000</v>
      </c>
      <c r="F8" s="126" t="e">
        <f t="array" ref="F8">INDEX(Innertable,MATCH($B8,MaterialData!$B$6:$B$11,0),MATCH(F$7,MaterialData!$C$4:$S$4,0))</f>
        <v>#N/A</v>
      </c>
      <c r="G8" s="228"/>
      <c r="I8" s="225" t="s">
        <v>601</v>
      </c>
      <c r="J8" s="131">
        <f>J5*J6</f>
        <v>0</v>
      </c>
      <c r="K8" s="225" t="s">
        <v>602</v>
      </c>
      <c r="L8" s="131">
        <f>(J5*J6^3)/12</f>
        <v>0</v>
      </c>
    </row>
    <row r="9" spans="2:12" ht="12.75" customHeight="1">
      <c r="B9" s="43" t="s">
        <v>225</v>
      </c>
      <c r="C9" s="126">
        <f t="array" ref="C9">INDEX(Innertable,MATCH($B9,MaterialData!$B$6:$B$11,0),MATCH(C$7,MaterialData!$C$4:$P$4,0))</f>
        <v>305000000</v>
      </c>
      <c r="D9" s="131"/>
      <c r="E9" s="126">
        <f t="array" ref="E9">INDEX(Innertable,MATCH($B9,MaterialData!$B$6:$B$11,0),MATCH(E$7,MaterialData!$C$4:$S$4,0))</f>
        <v>305000000</v>
      </c>
      <c r="F9" s="126" t="e">
        <f t="array" ref="F9">INDEX(Innertable,MATCH($B9,MaterialData!$B$6:$B$11,0),MATCH(F$7,MaterialData!$C$4:$S$4,0))</f>
        <v>#N/A</v>
      </c>
      <c r="G9" s="228"/>
      <c r="I9" s="225" t="s">
        <v>603</v>
      </c>
      <c r="J9" s="131">
        <f>K5*K6</f>
        <v>0</v>
      </c>
      <c r="K9" s="225" t="s">
        <v>604</v>
      </c>
      <c r="L9" s="131">
        <f>(K5*K6^3)/12</f>
        <v>0</v>
      </c>
    </row>
    <row r="10" spans="2:12" ht="12.75" customHeight="1">
      <c r="B10" s="43" t="s">
        <v>227</v>
      </c>
      <c r="C10" s="126">
        <f t="array" ref="C10">INDEX(Innertable,MATCH($B10,MaterialData!$B$6:$B$11,0),MATCH(C$7,MaterialData!$C$4:$P$4,0))</f>
        <v>365000000</v>
      </c>
      <c r="D10" s="131"/>
      <c r="E10" s="126">
        <f t="array" ref="E10">INDEX(Innertable,MATCH($B10,MaterialData!$B$6:$B$11,0),MATCH(E$7,MaterialData!$C$4:$S$4,0))</f>
        <v>365000000</v>
      </c>
      <c r="F10" s="126" t="e">
        <f t="array" ref="F10">INDEX(Innertable,MATCH($B10,MaterialData!$B$6:$B$11,0),MATCH(F$7,MaterialData!$C$4:$S$4,0))</f>
        <v>#N/A</v>
      </c>
      <c r="G10" s="228"/>
      <c r="I10" s="225" t="s">
        <v>605</v>
      </c>
      <c r="J10" s="67">
        <f>J6/2</f>
        <v>0</v>
      </c>
      <c r="K10" s="225" t="s">
        <v>606</v>
      </c>
      <c r="L10" s="131" t="e">
        <f t="shared" ref="L10:L11" si="0">L8+(J8*($J$12-J10)^2)</f>
        <v>#DIV/0!</v>
      </c>
    </row>
    <row r="11" spans="2:12" ht="12.75" customHeight="1">
      <c r="B11" s="43" t="s">
        <v>229</v>
      </c>
      <c r="C11" s="126">
        <f t="array" ref="C11">INDEX(Innertable,MATCH($B11,MaterialData!$B$6:$B$11,0),MATCH(C$7,MaterialData!$C$4:$P$4,0))</f>
        <v>180000000</v>
      </c>
      <c r="D11" s="131"/>
      <c r="E11" s="126">
        <f t="array" ref="E11">INDEX(Innertable,MATCH($B11,MaterialData!$B$6:$B$11,0),MATCH(E$7,MaterialData!$C$4:$S$4,0))</f>
        <v>180000000</v>
      </c>
      <c r="F11" s="126" t="e">
        <f t="array" ref="F11">INDEX(Innertable,MATCH($B11,MaterialData!$B$6:$B$11,0),MATCH(F$7,MaterialData!$C$4:$S$4,0))</f>
        <v>#N/A</v>
      </c>
      <c r="G11" s="228"/>
      <c r="I11" s="225" t="s">
        <v>607</v>
      </c>
      <c r="J11" s="67">
        <f>(F20-0.5*F22)*0.001</f>
        <v>0</v>
      </c>
      <c r="K11" s="225" t="s">
        <v>608</v>
      </c>
      <c r="L11" s="131" t="e">
        <f t="shared" si="0"/>
        <v>#DIV/0!</v>
      </c>
    </row>
    <row r="12" spans="2:12" ht="12.75" customHeight="1">
      <c r="B12" s="43" t="s">
        <v>230</v>
      </c>
      <c r="C12" s="126">
        <f t="array" ref="C12">INDEX(Innertable,MATCH($B12,MaterialData!$B$6:$B$11,0),MATCH(C$7,MaterialData!$C$4:$P$4,0))</f>
        <v>300000000</v>
      </c>
      <c r="D12" s="131"/>
      <c r="E12" s="126">
        <f t="array" ref="E12">INDEX(Innertable,MATCH($B12,MaterialData!$B$6:$B$11,0),MATCH(E$7,MaterialData!$C$4:$S$4,0))</f>
        <v>300000000</v>
      </c>
      <c r="F12" s="126" t="e">
        <f t="array" ref="F12">INDEX(Innertable,MATCH($B12,MaterialData!$B$6:$B$11,0),MATCH(F$7,MaterialData!$C$4:$S$4,0))</f>
        <v>#N/A</v>
      </c>
      <c r="G12" s="228"/>
      <c r="I12" s="225" t="s">
        <v>477</v>
      </c>
      <c r="J12" s="229" t="e">
        <f>(J8*J10+J9*J11)/(J8+J9)</f>
        <v>#DIV/0!</v>
      </c>
      <c r="K12" s="225" t="s">
        <v>609</v>
      </c>
      <c r="L12" s="128" t="e">
        <f>SUM(L10:L11)</f>
        <v>#DIV/0!</v>
      </c>
    </row>
    <row r="13" spans="2:12" ht="12.75" customHeight="1">
      <c r="E13" s="227"/>
      <c r="G13" s="227"/>
      <c r="L13" s="131"/>
    </row>
    <row r="14" spans="2:12" ht="12.75" customHeight="1">
      <c r="B14" s="230" t="s">
        <v>479</v>
      </c>
      <c r="C14" s="109">
        <v>1</v>
      </c>
      <c r="E14" s="214">
        <v>1</v>
      </c>
      <c r="G14" s="227"/>
      <c r="L14" s="131"/>
    </row>
    <row r="15" spans="2:12" ht="12.75" customHeight="1">
      <c r="B15" s="43" t="s">
        <v>442</v>
      </c>
      <c r="C15" s="109">
        <f>IF(AND(E15&gt;=25,E15&lt;25.4,E16&gt;=2.5),25,25.4)</f>
        <v>25.4</v>
      </c>
      <c r="E15" s="214">
        <v>30</v>
      </c>
      <c r="G15" s="227"/>
      <c r="L15" s="131"/>
    </row>
    <row r="16" spans="2:12" ht="12.75" customHeight="1">
      <c r="B16" s="224" t="s">
        <v>443</v>
      </c>
      <c r="C16" s="327">
        <f>IF(AND(E15&gt;=25,E15&lt;25.4,E16&gt;=2.5),2.5,2.4)</f>
        <v>2.4</v>
      </c>
      <c r="E16" s="214">
        <v>2</v>
      </c>
      <c r="G16" s="227"/>
      <c r="L16" s="131"/>
    </row>
    <row r="17" spans="2:16" ht="12.75" customHeight="1">
      <c r="B17" s="43" t="s">
        <v>610</v>
      </c>
      <c r="C17" s="109"/>
      <c r="E17" s="214">
        <v>567.83600000000001</v>
      </c>
      <c r="G17" s="227"/>
      <c r="L17" s="131"/>
    </row>
    <row r="18" spans="2:16" ht="12.75" customHeight="1">
      <c r="B18" s="43" t="s">
        <v>611</v>
      </c>
      <c r="C18" s="109"/>
      <c r="E18" s="214">
        <v>169.583</v>
      </c>
      <c r="G18" s="227"/>
      <c r="J18" s="34"/>
      <c r="L18" s="131"/>
    </row>
    <row r="19" spans="2:16" ht="12.75" customHeight="1">
      <c r="E19" s="227"/>
      <c r="G19" s="227"/>
      <c r="L19" s="131"/>
    </row>
    <row r="20" spans="2:16" ht="12.75" customHeight="1">
      <c r="B20" s="43" t="s">
        <v>480</v>
      </c>
      <c r="E20" s="227"/>
      <c r="F20" s="232">
        <f>F21+F22+F23</f>
        <v>0</v>
      </c>
      <c r="G20" s="227"/>
      <c r="L20" s="131"/>
    </row>
    <row r="21" spans="2:16" ht="12.75" customHeight="1">
      <c r="B21" s="43" t="s">
        <v>481</v>
      </c>
      <c r="E21" s="227"/>
      <c r="F21" s="233"/>
      <c r="G21" s="227"/>
      <c r="L21" s="131"/>
    </row>
    <row r="22" spans="2:16" ht="12.75" customHeight="1">
      <c r="B22" s="43" t="s">
        <v>482</v>
      </c>
      <c r="E22" s="227"/>
      <c r="F22" s="233"/>
      <c r="G22" s="227"/>
      <c r="I22" s="23" t="str">
        <f>IF(AND(F22&lt;0.4*F23,F22&lt;1),"Asymmetrical lay-up: skin too thin in comparison, see T3.4.4.","")</f>
        <v/>
      </c>
      <c r="L22" s="131"/>
    </row>
    <row r="23" spans="2:16" ht="12.75" customHeight="1">
      <c r="B23" s="43" t="s">
        <v>483</v>
      </c>
      <c r="E23" s="227"/>
      <c r="F23" s="233"/>
      <c r="G23" s="227"/>
      <c r="I23" s="23" t="str">
        <f>IF(AND(F23&lt;0.4*F22,F23&lt;1),"Asymmetrical lay-up: skin too thin in comparison, see T3.4.4.","")</f>
        <v/>
      </c>
      <c r="L23" s="131"/>
    </row>
    <row r="24" spans="2:16" ht="12.75" customHeight="1">
      <c r="B24" s="43" t="s">
        <v>484</v>
      </c>
      <c r="E24" s="227"/>
      <c r="F24" s="233"/>
      <c r="G24" s="227"/>
      <c r="L24" s="131"/>
    </row>
    <row r="25" spans="2:16" ht="12.75" customHeight="1">
      <c r="E25" s="234"/>
      <c r="G25" s="227"/>
      <c r="L25" s="131"/>
    </row>
    <row r="26" spans="2:16" ht="12.75" customHeight="1">
      <c r="B26" s="43" t="s">
        <v>444</v>
      </c>
      <c r="C26" s="109">
        <f t="shared" ref="C26:C27" si="1">C15/1000</f>
        <v>2.5399999999999999E-2</v>
      </c>
      <c r="E26" s="109">
        <f>IF(F2="Composite only","No tubes",E15/1000)</f>
        <v>0.03</v>
      </c>
      <c r="G26" s="227"/>
      <c r="L26" s="131"/>
    </row>
    <row r="27" spans="2:16" ht="12.75" customHeight="1">
      <c r="B27" s="43" t="s">
        <v>445</v>
      </c>
      <c r="C27" s="109">
        <f t="shared" si="1"/>
        <v>2.3999999999999998E-3</v>
      </c>
      <c r="E27" s="109">
        <f>IF(F2="Composite only","",E16/1000)</f>
        <v>2E-3</v>
      </c>
      <c r="G27" s="234"/>
      <c r="L27" s="131"/>
      <c r="P27" s="215"/>
    </row>
    <row r="28" spans="2:16" ht="12.75" customHeight="1">
      <c r="B28" s="43" t="s">
        <v>446</v>
      </c>
      <c r="C28" s="126">
        <f>IF(C6="Round",((C26)^4-((C26-2*C27))^4)*3.142/64,((C26)^4-((C26-2*C27))^4)/12)</f>
        <v>1.1593489847999996E-8</v>
      </c>
      <c r="E28" s="126">
        <f>IF(F2="Composite only","",IF(E6="Round",((E26)^4-((E26-2*E27))^4)*3.142/64,IF(E6="Square",((E26)^4-((E26-2*E27))^4)/12,"")))</f>
        <v>1.7331272000000002E-8</v>
      </c>
      <c r="F28" s="217" t="str">
        <f>IF($F$2="Tubing only","Tubing Only",L12)</f>
        <v>Tubing Only</v>
      </c>
      <c r="G28" s="126">
        <f t="shared" ref="G28:G35" si="2">IF($F$2="Tubing only",E28,IF($F$2="Composite only",F28,IF($F$2="Tubes + Composite",E28+F28,"No Type Selected")))</f>
        <v>1.7331272000000002E-8</v>
      </c>
      <c r="L28" s="131"/>
      <c r="O28" s="131"/>
      <c r="P28" s="215"/>
    </row>
    <row r="29" spans="2:16" ht="12.75" customHeight="1">
      <c r="B29" s="43" t="s">
        <v>447</v>
      </c>
      <c r="C29" s="126">
        <f>C8*C28*C14</f>
        <v>2318.6979695999994</v>
      </c>
      <c r="D29" s="131"/>
      <c r="E29" s="126">
        <f>IF(F2="Composite only","",E8*E28*E14)</f>
        <v>3466.2544000000003</v>
      </c>
      <c r="F29" s="235" t="str">
        <f>IF(F28="Tubing Only","",F28*F8)</f>
        <v/>
      </c>
      <c r="G29" s="126">
        <f t="shared" si="2"/>
        <v>3466.2544000000003</v>
      </c>
      <c r="H29" s="44">
        <f t="shared" ref="H29:H37" si="3">100*G29/C29</f>
        <v>149.49141481320081</v>
      </c>
      <c r="I29" s="67" t="s">
        <v>499</v>
      </c>
    </row>
    <row r="30" spans="2:16" ht="12.75" customHeight="1">
      <c r="B30" s="43" t="s">
        <v>448</v>
      </c>
      <c r="C30" s="216">
        <f>IF(C26="no tubes","",IF(C14=0,"",IF(C6="Round",C14*((C15^2-(C15-2*C16)^2)*PI()/4),IF(C6="Square",C14*(C15^2-(C15-2*C16)^2),""))))</f>
        <v>173.41591447815662</v>
      </c>
      <c r="D30" s="236"/>
      <c r="E30" s="216">
        <f>IF(E26="no tubes","",IF(E14=0,"",IF(E6="Round",E14*((E15^2-(E15-2*E16)^2)*PI()/4),IF(E6="Square",E14*(E15^2-(E15-2*E16)^2),""))))</f>
        <v>175.92918860102841</v>
      </c>
      <c r="F30" s="216" t="str">
        <f>IF(F28="Tubing Only","",(F20-F21)*F24)</f>
        <v/>
      </c>
      <c r="G30" s="216">
        <f t="shared" si="2"/>
        <v>175.92918860102841</v>
      </c>
      <c r="H30" s="44">
        <f t="shared" si="3"/>
        <v>101.4492753623188</v>
      </c>
      <c r="I30" s="67" t="str">
        <f t="shared" ref="I30:I34" si="4">IF(AND(95&lt;H30,H30&lt;100),"Provided your actual tube measures &gt;= your nominal OD and wall this is OK","")</f>
        <v/>
      </c>
      <c r="O30" s="131"/>
    </row>
    <row r="31" spans="2:16" ht="12.75" customHeight="1">
      <c r="B31" s="43" t="s">
        <v>449</v>
      </c>
      <c r="C31" s="126">
        <f t="shared" ref="C31:C33" si="5">C$30*C9/1000000</f>
        <v>52891.853915837768</v>
      </c>
      <c r="D31" s="131"/>
      <c r="E31" s="126">
        <f>IF(F2="Composite only","",E$30*E9/1000000)</f>
        <v>53658.402523313671</v>
      </c>
      <c r="F31" s="126" t="str">
        <f>IF(F28="Tubing Only","",F30*F9/1000000)</f>
        <v/>
      </c>
      <c r="G31" s="126">
        <f t="shared" si="2"/>
        <v>53658.402523313671</v>
      </c>
      <c r="H31" s="44">
        <f t="shared" si="3"/>
        <v>101.44927536231882</v>
      </c>
      <c r="I31" s="67" t="str">
        <f t="shared" si="4"/>
        <v/>
      </c>
    </row>
    <row r="32" spans="2:16" ht="12.75" customHeight="1">
      <c r="B32" s="43" t="s">
        <v>450</v>
      </c>
      <c r="C32" s="126">
        <f t="shared" si="5"/>
        <v>63296.808784527166</v>
      </c>
      <c r="D32" s="131"/>
      <c r="E32" s="126">
        <f>IF(F2="Composite only","",E$30*E10/1000000)</f>
        <v>64214.153839375373</v>
      </c>
      <c r="F32" s="126" t="str">
        <f>IF(F28="Tubing Only","",F30*F10/1000000)</f>
        <v/>
      </c>
      <c r="G32" s="126">
        <f t="shared" si="2"/>
        <v>64214.153839375373</v>
      </c>
      <c r="H32" s="44">
        <f t="shared" si="3"/>
        <v>101.44927536231883</v>
      </c>
      <c r="I32" s="67" t="str">
        <f t="shared" si="4"/>
        <v/>
      </c>
      <c r="O32" s="131"/>
    </row>
    <row r="33" spans="1:26" ht="12.75" customHeight="1">
      <c r="B33" s="43" t="s">
        <v>451</v>
      </c>
      <c r="C33" s="126">
        <f t="shared" si="5"/>
        <v>31214.864606068193</v>
      </c>
      <c r="D33" s="131"/>
      <c r="E33" s="126">
        <f>IF(F2="Composite only","",E$30*E11/1000000)</f>
        <v>31667.253948185116</v>
      </c>
      <c r="F33" s="126" t="str">
        <f>IF(F28="Tubing Only","",F30*F9/1000000)</f>
        <v/>
      </c>
      <c r="G33" s="126">
        <f t="shared" si="2"/>
        <v>31667.253948185116</v>
      </c>
      <c r="H33" s="44">
        <f t="shared" si="3"/>
        <v>101.44927536231883</v>
      </c>
      <c r="I33" s="67" t="str">
        <f t="shared" si="4"/>
        <v/>
      </c>
      <c r="O33" s="131"/>
    </row>
    <row r="34" spans="1:26" ht="12.75" customHeight="1">
      <c r="B34" s="43" t="s">
        <v>452</v>
      </c>
      <c r="C34" s="126">
        <f>IF(C14=0,"",C$30*C12/1000000)</f>
        <v>52024.774343446981</v>
      </c>
      <c r="D34" s="131"/>
      <c r="E34" s="126">
        <f>IF(F2="Composite only","",E$30*E12/1000000)</f>
        <v>52778.756580308524</v>
      </c>
      <c r="F34" s="126" t="str">
        <f>IF(F28="tubing only","",F30*F10/1000000)</f>
        <v/>
      </c>
      <c r="G34" s="126">
        <f t="shared" si="2"/>
        <v>52778.756580308524</v>
      </c>
      <c r="H34" s="44">
        <f t="shared" si="3"/>
        <v>101.44927536231883</v>
      </c>
      <c r="I34" s="67" t="str">
        <f t="shared" si="4"/>
        <v/>
      </c>
      <c r="O34" s="131"/>
    </row>
    <row r="35" spans="1:26" ht="12.75" customHeight="1">
      <c r="B35" s="43" t="s">
        <v>453</v>
      </c>
      <c r="C35" s="126">
        <f>C14*4*C10*C28/(0.5*C26*1)</f>
        <v>1332.7948959118107</v>
      </c>
      <c r="E35" s="126">
        <f>IF(F2="Composite only","",E14*4*E10*E28/(0.5*E26*1))</f>
        <v>1686.9104746666669</v>
      </c>
      <c r="F35" s="126" t="str">
        <f>IF(F28="tubing only","",4*F10*(F28*2/(F20/1000))/1)</f>
        <v/>
      </c>
      <c r="G35" s="126">
        <f t="shared" si="2"/>
        <v>1686.9104746666669</v>
      </c>
      <c r="H35" s="44">
        <f t="shared" si="3"/>
        <v>126.5693978751767</v>
      </c>
      <c r="I35" s="67" t="str">
        <f>IF((99.9&gt;H35)*AND(H35&gt;60),"For Composites Only, Additional Proof Required","")</f>
        <v/>
      </c>
    </row>
    <row r="36" spans="1:26" ht="12.75" customHeight="1">
      <c r="B36" s="43" t="s">
        <v>454</v>
      </c>
      <c r="C36" s="126">
        <f>IF(C14=0,"",C35*1^3/(48*C29))</f>
        <v>1.1975065616797901E-2</v>
      </c>
      <c r="E36" s="126">
        <f>IF($F$2="tubing only",$C$35*1^3/(48*E29),"")</f>
        <v>8.0105373487577985E-3</v>
      </c>
      <c r="F36" s="126" t="str">
        <f>IF(NOT($F$2="tubing only"),$C$35*1^3/(48*F29),"")</f>
        <v/>
      </c>
      <c r="G36" s="126">
        <f>$C$35*1^3/(48*G29)</f>
        <v>8.0105373487577985E-3</v>
      </c>
      <c r="H36" s="44">
        <f t="shared" si="3"/>
        <v>66.893473531544572</v>
      </c>
      <c r="I36" s="67" t="str">
        <f>IF((100&lt;H36)*AND(H36&lt;=166.667),"For Composites Only, Additional Proof Required","")</f>
        <v/>
      </c>
    </row>
    <row r="37" spans="1:26" ht="12.75" customHeight="1">
      <c r="B37" s="43" t="s">
        <v>455</v>
      </c>
      <c r="C37" s="126">
        <f>0.5*C35*(C35*1^3/(48*C29))</f>
        <v>7.9801531661386313</v>
      </c>
      <c r="D37" s="228"/>
      <c r="E37" s="231">
        <f>IF(E26="no tubes","",0.5*E35*(E35*1^3/(48*E29)))</f>
        <v>8.5516989340740768</v>
      </c>
      <c r="F37" s="126" t="str">
        <f>IF(F28="tubing only","",0.5*F35*(F35*1^3/(48*F29)))</f>
        <v/>
      </c>
      <c r="G37" s="126">
        <f>IF($F$2="Tubing only",E37,IF($F$2="Composite only",F37,IF($F$2="Tubes + Composite",E37+F37,"No Type Selected")))</f>
        <v>8.5516989340740768</v>
      </c>
      <c r="H37" s="44">
        <f t="shared" si="3"/>
        <v>107.16209020098295</v>
      </c>
      <c r="I37" s="67" t="str">
        <f>IF((99.9&gt;H37)*AND(H37&gt;60),"For Composites Only, Additional Proof Required","")</f>
        <v/>
      </c>
      <c r="J37" s="39" t="s">
        <v>252</v>
      </c>
      <c r="K37" s="39"/>
      <c r="L37" s="39"/>
    </row>
    <row r="38" spans="1:26" ht="12.75" customHeight="1"/>
    <row r="39" spans="1:26" ht="12.75" customHeight="1">
      <c r="B39" s="328" t="s">
        <v>612</v>
      </c>
      <c r="C39" s="329"/>
      <c r="D39" s="329"/>
      <c r="E39" s="330">
        <f>IF(E18&lt;50,"",2*13000*MAX(E18,E17-E18)^3*MIN(E18,E17-E18)^2/(3*E8*E28*(3*MAX(E18,E17-E18)+MIN(E18,E17-E18))^2*1000000))</f>
        <v>2.4399838830059055</v>
      </c>
      <c r="F39" s="329"/>
      <c r="G39" s="329"/>
      <c r="H39" s="331" t="str">
        <f>IF(OR(E39&lt;=25,E18&lt;50),"PASS","FAIL")</f>
        <v>PASS</v>
      </c>
      <c r="I39" s="34"/>
    </row>
    <row r="40" spans="1:26" ht="12.75" customHeight="1">
      <c r="B40" s="332" t="s">
        <v>613</v>
      </c>
      <c r="E40" s="333">
        <f>ABS(-13000*E18^2*(E17-E18)/E17^2)</f>
        <v>461765.18988508824</v>
      </c>
      <c r="H40" s="334"/>
      <c r="I40" s="34"/>
    </row>
    <row r="41" spans="1:26" ht="12.75" customHeight="1">
      <c r="B41" s="332" t="s">
        <v>614</v>
      </c>
      <c r="E41" s="333">
        <f>ABS(-13000*E18*(E17-E18)^2/E17^2)</f>
        <v>1084421.0337551881</v>
      </c>
      <c r="H41" s="334"/>
    </row>
    <row r="42" spans="1:26" ht="12.75" customHeight="1">
      <c r="B42" s="332" t="s">
        <v>615</v>
      </c>
      <c r="E42" s="333">
        <f>2*13000*(E18^2*(E17-E18)^2)/E17^3</f>
        <v>647720.0183408804</v>
      </c>
      <c r="F42" s="34"/>
      <c r="H42" s="334"/>
      <c r="I42" s="24"/>
    </row>
    <row r="43" spans="1:26" ht="12.75" customHeight="1">
      <c r="B43" s="335" t="s">
        <v>616</v>
      </c>
      <c r="C43" s="336"/>
      <c r="D43" s="336"/>
      <c r="E43" s="337">
        <f>2*13000*(E17-E18)^3*E18^2/(3*E8*E28*(3*(E17-E18)+E18)^3)</f>
        <v>1788.39607884673</v>
      </c>
      <c r="F43" s="336"/>
      <c r="G43" s="336"/>
      <c r="H43" s="338" t="str">
        <f>IF(OR(E43&lt;=E10*(10^(-6)),E18&lt;50),"PASS","FAIL")</f>
        <v>FAIL</v>
      </c>
      <c r="I43" s="34"/>
    </row>
    <row r="44" spans="1:26" ht="12.75" customHeight="1"/>
    <row r="45" spans="1:26" ht="12.75" customHeight="1"/>
    <row r="46" spans="1:26" ht="12.75" customHeight="1">
      <c r="A46" s="34"/>
      <c r="B46" s="31" t="s">
        <v>485</v>
      </c>
      <c r="E46" s="131"/>
      <c r="I46" s="34"/>
      <c r="J46" s="34"/>
      <c r="K46" s="34"/>
      <c r="L46" s="34"/>
      <c r="M46" s="34"/>
      <c r="N46" s="34"/>
      <c r="O46" s="34"/>
      <c r="P46" s="34"/>
      <c r="Q46" s="34"/>
      <c r="R46" s="34"/>
      <c r="S46" s="34"/>
      <c r="T46" s="34"/>
      <c r="U46" s="34"/>
      <c r="V46" s="34"/>
      <c r="W46" s="34"/>
      <c r="X46" s="34"/>
      <c r="Y46" s="34"/>
      <c r="Z46" s="34"/>
    </row>
    <row r="47" spans="1:26" ht="12.75" customHeight="1">
      <c r="A47" s="34"/>
      <c r="B47" s="142"/>
      <c r="C47" s="143"/>
      <c r="D47" s="143"/>
      <c r="E47" s="143"/>
      <c r="F47" s="143"/>
      <c r="G47" s="143"/>
      <c r="H47" s="143"/>
      <c r="I47" s="143"/>
      <c r="J47" s="143"/>
      <c r="K47" s="143"/>
      <c r="L47" s="144"/>
      <c r="M47" s="34"/>
      <c r="N47" s="34"/>
      <c r="O47" s="34"/>
      <c r="P47" s="34"/>
      <c r="Q47" s="34"/>
      <c r="R47" s="34"/>
      <c r="S47" s="34"/>
      <c r="T47" s="34"/>
      <c r="U47" s="34"/>
      <c r="V47" s="34"/>
      <c r="W47" s="34"/>
      <c r="X47" s="34"/>
      <c r="Y47" s="34"/>
      <c r="Z47" s="34"/>
    </row>
    <row r="48" spans="1:26" ht="12.75" customHeight="1">
      <c r="A48" s="34"/>
      <c r="B48" s="238" t="s">
        <v>571</v>
      </c>
      <c r="C48" s="64"/>
      <c r="D48" s="64"/>
      <c r="E48" s="64"/>
      <c r="F48" s="64"/>
      <c r="G48" s="64"/>
      <c r="H48" s="64"/>
      <c r="I48" s="64"/>
      <c r="J48" s="64"/>
      <c r="K48" s="64"/>
      <c r="L48" s="96"/>
      <c r="M48" s="34"/>
      <c r="N48" s="34"/>
      <c r="O48" s="34"/>
      <c r="P48" s="34"/>
      <c r="Q48" s="34"/>
      <c r="R48" s="34"/>
      <c r="S48" s="34"/>
      <c r="T48" s="34"/>
      <c r="U48" s="34"/>
      <c r="V48" s="34"/>
      <c r="W48" s="34"/>
      <c r="X48" s="34"/>
      <c r="Y48" s="34"/>
      <c r="Z48" s="34"/>
    </row>
    <row r="49" spans="1:26" ht="12.75" customHeight="1">
      <c r="A49" s="34"/>
      <c r="B49" s="95"/>
      <c r="C49" s="64"/>
      <c r="D49" s="64"/>
      <c r="E49" s="64"/>
      <c r="F49" s="339"/>
      <c r="G49" s="64"/>
      <c r="H49" s="64"/>
      <c r="I49" s="64"/>
      <c r="J49" s="64"/>
      <c r="K49" s="64"/>
      <c r="L49" s="96"/>
      <c r="M49" s="34"/>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96"/>
      <c r="M50" s="34"/>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96"/>
      <c r="M51" s="34"/>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96"/>
      <c r="M52" s="34"/>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96"/>
      <c r="M53" s="34"/>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96"/>
      <c r="M54" s="34"/>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96"/>
      <c r="M55" s="34"/>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96"/>
      <c r="M56" s="34"/>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96"/>
      <c r="M57" s="34"/>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96"/>
      <c r="M58" s="34"/>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96"/>
      <c r="M59" s="34"/>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96"/>
      <c r="M60" s="34"/>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96"/>
      <c r="M61" s="34"/>
      <c r="N61" s="34"/>
      <c r="O61" s="34"/>
      <c r="P61" s="34"/>
      <c r="Q61" s="34"/>
      <c r="R61" s="34"/>
      <c r="S61" s="34"/>
      <c r="T61" s="34"/>
      <c r="U61" s="34"/>
      <c r="V61" s="34"/>
      <c r="W61" s="34"/>
      <c r="X61" s="34"/>
      <c r="Y61" s="34"/>
      <c r="Z61" s="34"/>
    </row>
    <row r="62" spans="1:26" ht="12.75" customHeight="1">
      <c r="A62" s="34"/>
      <c r="B62" s="95"/>
      <c r="C62" s="64"/>
      <c r="D62" s="64"/>
      <c r="E62" s="64"/>
      <c r="F62" s="64"/>
      <c r="G62" s="64"/>
      <c r="H62" s="64"/>
      <c r="I62" s="64"/>
      <c r="J62" s="64"/>
      <c r="K62" s="64"/>
      <c r="L62" s="96"/>
      <c r="M62" s="34"/>
      <c r="N62" s="34"/>
      <c r="O62" s="34"/>
      <c r="P62" s="34"/>
      <c r="Q62" s="34"/>
      <c r="R62" s="34"/>
      <c r="S62" s="34"/>
      <c r="T62" s="34"/>
      <c r="U62" s="34"/>
      <c r="V62" s="34"/>
      <c r="W62" s="34"/>
      <c r="X62" s="34"/>
      <c r="Y62" s="34"/>
      <c r="Z62" s="34"/>
    </row>
    <row r="63" spans="1:26" ht="12.75" customHeight="1">
      <c r="A63" s="34"/>
      <c r="B63" s="95"/>
      <c r="C63" s="64"/>
      <c r="D63" s="64"/>
      <c r="E63" s="64"/>
      <c r="F63" s="64"/>
      <c r="G63" s="64"/>
      <c r="H63" s="64"/>
      <c r="I63" s="64"/>
      <c r="J63" s="64"/>
      <c r="K63" s="64"/>
      <c r="L63" s="96"/>
      <c r="M63" s="34"/>
      <c r="N63" s="34"/>
      <c r="O63" s="34"/>
      <c r="P63" s="34"/>
      <c r="Q63" s="34"/>
      <c r="R63" s="34"/>
      <c r="S63" s="34"/>
      <c r="T63" s="34"/>
      <c r="U63" s="34"/>
      <c r="V63" s="34"/>
      <c r="W63" s="34"/>
      <c r="X63" s="34"/>
      <c r="Y63" s="34"/>
      <c r="Z63" s="34"/>
    </row>
    <row r="64" spans="1:26" ht="12.75" customHeight="1">
      <c r="A64" s="34"/>
      <c r="B64" s="95"/>
      <c r="C64" s="64"/>
      <c r="D64" s="64"/>
      <c r="E64" s="64"/>
      <c r="F64" s="64"/>
      <c r="G64" s="64"/>
      <c r="H64" s="64"/>
      <c r="I64" s="64"/>
      <c r="J64" s="64"/>
      <c r="K64" s="64"/>
      <c r="L64" s="96"/>
      <c r="M64" s="34"/>
      <c r="N64" s="34"/>
      <c r="O64" s="34"/>
      <c r="P64" s="34"/>
      <c r="Q64" s="34"/>
      <c r="R64" s="34"/>
      <c r="S64" s="34"/>
      <c r="T64" s="34"/>
      <c r="U64" s="34"/>
      <c r="V64" s="34"/>
      <c r="W64" s="34"/>
      <c r="X64" s="34"/>
      <c r="Y64" s="34"/>
      <c r="Z64" s="34"/>
    </row>
    <row r="65" spans="1:26" ht="12.75" customHeight="1">
      <c r="A65" s="34"/>
      <c r="B65" s="95"/>
      <c r="C65" s="64"/>
      <c r="D65" s="64"/>
      <c r="E65" s="64"/>
      <c r="F65" s="64"/>
      <c r="G65" s="64"/>
      <c r="H65" s="64"/>
      <c r="I65" s="64"/>
      <c r="J65" s="64"/>
      <c r="K65" s="64"/>
      <c r="L65" s="96"/>
      <c r="M65" s="34"/>
      <c r="N65" s="34"/>
      <c r="O65" s="34"/>
      <c r="P65" s="34"/>
      <c r="Q65" s="34"/>
      <c r="R65" s="34"/>
      <c r="S65" s="34"/>
      <c r="T65" s="34"/>
      <c r="U65" s="34"/>
      <c r="V65" s="34"/>
      <c r="W65" s="34"/>
      <c r="X65" s="34"/>
      <c r="Y65" s="34"/>
      <c r="Z65" s="34"/>
    </row>
    <row r="66" spans="1:26" ht="12.75" customHeight="1">
      <c r="A66" s="34"/>
      <c r="B66" s="95"/>
      <c r="C66" s="64"/>
      <c r="D66" s="64"/>
      <c r="E66" s="64"/>
      <c r="F66" s="64"/>
      <c r="G66" s="64"/>
      <c r="H66" s="64"/>
      <c r="I66" s="64"/>
      <c r="J66" s="64"/>
      <c r="K66" s="64"/>
      <c r="L66" s="96"/>
      <c r="M66" s="34"/>
      <c r="N66" s="34"/>
      <c r="O66" s="34"/>
      <c r="P66" s="34"/>
      <c r="Q66" s="34"/>
      <c r="R66" s="34"/>
      <c r="S66" s="34"/>
      <c r="T66" s="34"/>
      <c r="U66" s="34"/>
      <c r="V66" s="34"/>
      <c r="W66" s="34"/>
      <c r="X66" s="34"/>
      <c r="Y66" s="34"/>
      <c r="Z66" s="34"/>
    </row>
    <row r="67" spans="1:26" ht="12.75" customHeight="1">
      <c r="A67" s="34"/>
      <c r="B67" s="95"/>
      <c r="C67" s="64"/>
      <c r="D67" s="64"/>
      <c r="E67" s="64"/>
      <c r="F67" s="64"/>
      <c r="G67" s="64"/>
      <c r="H67" s="64"/>
      <c r="I67" s="64"/>
      <c r="J67" s="64"/>
      <c r="K67" s="64"/>
      <c r="L67" s="96"/>
      <c r="M67" s="34"/>
      <c r="N67" s="34"/>
      <c r="O67" s="34"/>
      <c r="P67" s="34"/>
      <c r="Q67" s="34"/>
      <c r="R67" s="34"/>
      <c r="S67" s="34"/>
      <c r="T67" s="34"/>
      <c r="U67" s="34"/>
      <c r="V67" s="34"/>
      <c r="W67" s="34"/>
      <c r="X67" s="34"/>
      <c r="Y67" s="34"/>
      <c r="Z67" s="34"/>
    </row>
    <row r="68" spans="1:26" ht="12.75" customHeight="1">
      <c r="A68" s="34"/>
      <c r="B68" s="95"/>
      <c r="C68" s="64"/>
      <c r="D68" s="64"/>
      <c r="E68" s="64"/>
      <c r="F68" s="64"/>
      <c r="G68" s="64"/>
      <c r="H68" s="64"/>
      <c r="I68" s="64"/>
      <c r="J68" s="64"/>
      <c r="K68" s="64"/>
      <c r="L68" s="96"/>
      <c r="M68" s="34"/>
      <c r="N68" s="34"/>
      <c r="O68" s="34"/>
      <c r="P68" s="34"/>
      <c r="Q68" s="34"/>
      <c r="R68" s="34"/>
      <c r="S68" s="34"/>
      <c r="T68" s="34"/>
      <c r="U68" s="34"/>
      <c r="V68" s="34"/>
      <c r="W68" s="34"/>
      <c r="X68" s="34"/>
      <c r="Y68" s="34"/>
      <c r="Z68" s="34"/>
    </row>
    <row r="69" spans="1:26" ht="12.75" customHeight="1">
      <c r="A69" s="34"/>
      <c r="B69" s="95"/>
      <c r="C69" s="64"/>
      <c r="D69" s="64"/>
      <c r="E69" s="64"/>
      <c r="F69" s="64"/>
      <c r="G69" s="64"/>
      <c r="H69" s="64"/>
      <c r="I69" s="64"/>
      <c r="J69" s="64"/>
      <c r="K69" s="64"/>
      <c r="L69" s="96"/>
      <c r="M69" s="34"/>
      <c r="N69" s="34"/>
      <c r="O69" s="34"/>
      <c r="P69" s="34"/>
      <c r="Q69" s="34"/>
      <c r="R69" s="34"/>
      <c r="S69" s="34"/>
      <c r="T69" s="34"/>
      <c r="U69" s="34"/>
      <c r="V69" s="34"/>
      <c r="W69" s="34"/>
      <c r="X69" s="34"/>
      <c r="Y69" s="34"/>
      <c r="Z69" s="34"/>
    </row>
    <row r="70" spans="1:26" ht="12.75" customHeight="1">
      <c r="A70" s="34"/>
      <c r="B70" s="95"/>
      <c r="C70" s="64"/>
      <c r="D70" s="64"/>
      <c r="E70" s="64"/>
      <c r="F70" s="64"/>
      <c r="G70" s="64"/>
      <c r="H70" s="64"/>
      <c r="I70" s="64"/>
      <c r="J70" s="64"/>
      <c r="K70" s="64"/>
      <c r="L70" s="96"/>
      <c r="M70" s="34"/>
      <c r="N70" s="34"/>
      <c r="O70" s="34"/>
      <c r="P70" s="34"/>
      <c r="Q70" s="34"/>
      <c r="R70" s="34"/>
      <c r="S70" s="34"/>
      <c r="T70" s="34"/>
      <c r="U70" s="34"/>
      <c r="V70" s="34"/>
      <c r="W70" s="34"/>
      <c r="X70" s="34"/>
      <c r="Y70" s="34"/>
      <c r="Z70" s="34"/>
    </row>
    <row r="71" spans="1:26" ht="12.75" customHeight="1">
      <c r="A71" s="34"/>
      <c r="B71" s="95"/>
      <c r="C71" s="64"/>
      <c r="D71" s="64"/>
      <c r="E71" s="64"/>
      <c r="F71" s="64"/>
      <c r="G71" s="64"/>
      <c r="H71" s="64"/>
      <c r="I71" s="64"/>
      <c r="J71" s="64"/>
      <c r="K71" s="64"/>
      <c r="L71" s="96"/>
      <c r="M71" s="34"/>
      <c r="N71" s="34"/>
      <c r="O71" s="34"/>
      <c r="P71" s="34"/>
      <c r="Q71" s="34"/>
      <c r="R71" s="34"/>
      <c r="S71" s="34"/>
      <c r="T71" s="34"/>
      <c r="U71" s="34"/>
      <c r="V71" s="34"/>
      <c r="W71" s="34"/>
      <c r="X71" s="34"/>
      <c r="Y71" s="34"/>
      <c r="Z71" s="34"/>
    </row>
    <row r="72" spans="1:26" ht="12.75" customHeight="1">
      <c r="A72" s="34"/>
      <c r="B72" s="95"/>
      <c r="C72" s="64"/>
      <c r="D72" s="64"/>
      <c r="E72" s="64"/>
      <c r="F72" s="64"/>
      <c r="G72" s="64"/>
      <c r="H72" s="64"/>
      <c r="I72" s="64"/>
      <c r="J72" s="64"/>
      <c r="K72" s="64"/>
      <c r="L72" s="96"/>
      <c r="M72" s="34"/>
      <c r="N72" s="34"/>
      <c r="O72" s="34"/>
      <c r="P72" s="34"/>
      <c r="Q72" s="34"/>
      <c r="R72" s="34"/>
      <c r="S72" s="34"/>
      <c r="T72" s="34"/>
      <c r="U72" s="34"/>
      <c r="V72" s="34"/>
      <c r="W72" s="34"/>
      <c r="X72" s="34"/>
      <c r="Y72" s="34"/>
      <c r="Z72" s="34"/>
    </row>
    <row r="73" spans="1:26" ht="12.75" customHeight="1">
      <c r="A73" s="34"/>
      <c r="B73" s="95"/>
      <c r="C73" s="64"/>
      <c r="D73" s="64"/>
      <c r="E73" s="64"/>
      <c r="F73" s="64"/>
      <c r="G73" s="64"/>
      <c r="H73" s="64"/>
      <c r="I73" s="64"/>
      <c r="J73" s="64"/>
      <c r="K73" s="64"/>
      <c r="L73" s="96"/>
      <c r="M73" s="34"/>
      <c r="N73" s="34"/>
      <c r="O73" s="34"/>
      <c r="P73" s="34"/>
      <c r="Q73" s="34"/>
      <c r="R73" s="34"/>
      <c r="S73" s="34"/>
      <c r="T73" s="34"/>
      <c r="U73" s="34"/>
      <c r="V73" s="34"/>
      <c r="W73" s="34"/>
      <c r="X73" s="34"/>
      <c r="Y73" s="34"/>
      <c r="Z73" s="34"/>
    </row>
    <row r="74" spans="1:26" ht="12.75" customHeight="1">
      <c r="A74" s="34"/>
      <c r="B74" s="95"/>
      <c r="C74" s="64"/>
      <c r="D74" s="64"/>
      <c r="E74" s="64"/>
      <c r="F74" s="64"/>
      <c r="G74" s="64"/>
      <c r="H74" s="64"/>
      <c r="I74" s="64"/>
      <c r="J74" s="64"/>
      <c r="K74" s="64"/>
      <c r="L74" s="96"/>
      <c r="M74" s="34"/>
      <c r="N74" s="34"/>
      <c r="O74" s="34"/>
      <c r="P74" s="34"/>
      <c r="Q74" s="34"/>
      <c r="R74" s="34"/>
      <c r="S74" s="34"/>
      <c r="T74" s="34"/>
      <c r="U74" s="34"/>
      <c r="V74" s="34"/>
      <c r="W74" s="34"/>
      <c r="X74" s="34"/>
      <c r="Y74" s="34"/>
      <c r="Z74" s="34"/>
    </row>
    <row r="75" spans="1:26" ht="12.75" customHeight="1">
      <c r="A75" s="34"/>
      <c r="B75" s="95"/>
      <c r="C75" s="64"/>
      <c r="D75" s="64"/>
      <c r="E75" s="64"/>
      <c r="F75" s="64"/>
      <c r="G75" s="64"/>
      <c r="H75" s="64"/>
      <c r="I75" s="64"/>
      <c r="J75" s="64"/>
      <c r="K75" s="64"/>
      <c r="L75" s="96"/>
      <c r="M75" s="34"/>
      <c r="N75" s="34"/>
      <c r="O75" s="34"/>
      <c r="P75" s="34"/>
      <c r="Q75" s="34"/>
      <c r="R75" s="34"/>
      <c r="S75" s="34"/>
      <c r="T75" s="34"/>
      <c r="U75" s="34"/>
      <c r="V75" s="34"/>
      <c r="W75" s="34"/>
      <c r="X75" s="34"/>
      <c r="Y75" s="34"/>
      <c r="Z75" s="34"/>
    </row>
    <row r="76" spans="1:26" ht="12.75" customHeight="1">
      <c r="A76" s="34"/>
      <c r="B76" s="95"/>
      <c r="C76" s="64"/>
      <c r="D76" s="64"/>
      <c r="E76" s="64"/>
      <c r="F76" s="64"/>
      <c r="G76" s="64"/>
      <c r="H76" s="64"/>
      <c r="I76" s="64"/>
      <c r="J76" s="64"/>
      <c r="K76" s="64"/>
      <c r="L76" s="96"/>
      <c r="M76" s="34"/>
      <c r="N76" s="34"/>
      <c r="O76" s="34"/>
      <c r="P76" s="34"/>
      <c r="Q76" s="34"/>
      <c r="R76" s="34"/>
      <c r="S76" s="34"/>
      <c r="T76" s="34"/>
      <c r="U76" s="34"/>
      <c r="V76" s="34"/>
      <c r="W76" s="34"/>
      <c r="X76" s="34"/>
      <c r="Y76" s="34"/>
      <c r="Z76" s="34"/>
    </row>
    <row r="77" spans="1:26" ht="12.75" customHeight="1">
      <c r="A77" s="34"/>
      <c r="B77" s="95"/>
      <c r="C77" s="64"/>
      <c r="D77" s="64"/>
      <c r="E77" s="64"/>
      <c r="F77" s="64"/>
      <c r="G77" s="64"/>
      <c r="H77" s="64"/>
      <c r="I77" s="64"/>
      <c r="J77" s="64"/>
      <c r="K77" s="64"/>
      <c r="L77" s="96"/>
      <c r="M77" s="34"/>
      <c r="N77" s="34"/>
      <c r="O77" s="34"/>
      <c r="P77" s="34"/>
      <c r="Q77" s="34"/>
      <c r="R77" s="34"/>
      <c r="S77" s="34"/>
      <c r="T77" s="34"/>
      <c r="U77" s="34"/>
      <c r="V77" s="34"/>
      <c r="W77" s="34"/>
      <c r="X77" s="34"/>
      <c r="Y77" s="34"/>
      <c r="Z77" s="34"/>
    </row>
    <row r="78" spans="1:26" ht="12.75" customHeight="1">
      <c r="A78" s="34"/>
      <c r="B78" s="95"/>
      <c r="C78" s="64"/>
      <c r="D78" s="64"/>
      <c r="E78" s="64"/>
      <c r="F78" s="64"/>
      <c r="G78" s="64"/>
      <c r="H78" s="64"/>
      <c r="I78" s="64"/>
      <c r="J78" s="64"/>
      <c r="K78" s="64"/>
      <c r="L78" s="96"/>
      <c r="M78" s="34"/>
      <c r="N78" s="34"/>
      <c r="O78" s="34"/>
      <c r="P78" s="34"/>
      <c r="Q78" s="34"/>
      <c r="R78" s="34"/>
      <c r="S78" s="34"/>
      <c r="T78" s="34"/>
      <c r="U78" s="34"/>
      <c r="V78" s="34"/>
      <c r="W78" s="34"/>
      <c r="X78" s="34"/>
      <c r="Y78" s="34"/>
      <c r="Z78" s="34"/>
    </row>
    <row r="79" spans="1:26" ht="12.75" customHeight="1">
      <c r="A79" s="34"/>
      <c r="B79" s="95"/>
      <c r="C79" s="64"/>
      <c r="D79" s="64"/>
      <c r="E79" s="64"/>
      <c r="F79" s="64"/>
      <c r="G79" s="64"/>
      <c r="H79" s="64"/>
      <c r="I79" s="64"/>
      <c r="J79" s="64"/>
      <c r="K79" s="64"/>
      <c r="L79" s="96"/>
      <c r="M79" s="34"/>
      <c r="N79" s="34"/>
      <c r="O79" s="34"/>
      <c r="P79" s="34"/>
      <c r="Q79" s="34"/>
      <c r="R79" s="34"/>
      <c r="S79" s="34"/>
      <c r="T79" s="34"/>
      <c r="U79" s="34"/>
      <c r="V79" s="34"/>
      <c r="W79" s="34"/>
      <c r="X79" s="34"/>
      <c r="Y79" s="34"/>
      <c r="Z79" s="34"/>
    </row>
    <row r="80" spans="1:26" ht="12.75" customHeight="1">
      <c r="A80" s="34"/>
      <c r="B80" s="95"/>
      <c r="C80" s="64"/>
      <c r="D80" s="64"/>
      <c r="E80" s="64"/>
      <c r="F80" s="64"/>
      <c r="G80" s="64"/>
      <c r="H80" s="64"/>
      <c r="I80" s="64"/>
      <c r="J80" s="64"/>
      <c r="K80" s="64"/>
      <c r="L80" s="96"/>
      <c r="M80" s="34"/>
      <c r="N80" s="34"/>
      <c r="O80" s="34"/>
      <c r="P80" s="34"/>
      <c r="Q80" s="34"/>
      <c r="R80" s="34"/>
      <c r="S80" s="34"/>
      <c r="T80" s="34"/>
      <c r="U80" s="34"/>
      <c r="V80" s="34"/>
      <c r="W80" s="34"/>
      <c r="X80" s="34"/>
      <c r="Y80" s="34"/>
      <c r="Z80" s="34"/>
    </row>
    <row r="81" spans="1:26" ht="12.75" customHeight="1">
      <c r="A81" s="34"/>
      <c r="B81" s="95"/>
      <c r="C81" s="64"/>
      <c r="D81" s="64"/>
      <c r="E81" s="64"/>
      <c r="F81" s="64"/>
      <c r="G81" s="64"/>
      <c r="H81" s="64"/>
      <c r="I81" s="64"/>
      <c r="J81" s="64"/>
      <c r="K81" s="64"/>
      <c r="L81" s="96"/>
      <c r="M81" s="34"/>
      <c r="N81" s="34"/>
      <c r="O81" s="34"/>
      <c r="P81" s="34"/>
      <c r="Q81" s="34"/>
      <c r="R81" s="34"/>
      <c r="S81" s="34"/>
      <c r="T81" s="34"/>
      <c r="U81" s="34"/>
      <c r="V81" s="34"/>
      <c r="W81" s="34"/>
      <c r="X81" s="34"/>
      <c r="Y81" s="34"/>
      <c r="Z81" s="34"/>
    </row>
    <row r="82" spans="1:26" ht="12.75" customHeight="1">
      <c r="A82" s="34"/>
      <c r="B82" s="95"/>
      <c r="C82" s="64"/>
      <c r="D82" s="64"/>
      <c r="E82" s="64"/>
      <c r="F82" s="64"/>
      <c r="G82" s="64"/>
      <c r="H82" s="64"/>
      <c r="I82" s="64"/>
      <c r="J82" s="64"/>
      <c r="K82" s="64"/>
      <c r="L82" s="96"/>
      <c r="M82" s="34"/>
      <c r="N82" s="34"/>
      <c r="O82" s="34"/>
      <c r="P82" s="34"/>
      <c r="Q82" s="34"/>
      <c r="R82" s="34"/>
      <c r="S82" s="34"/>
      <c r="T82" s="34"/>
      <c r="U82" s="34"/>
      <c r="V82" s="34"/>
      <c r="W82" s="34"/>
      <c r="X82" s="34"/>
      <c r="Y82" s="34"/>
      <c r="Z82" s="34"/>
    </row>
    <row r="83" spans="1:26" ht="12.75" customHeight="1">
      <c r="A83" s="34"/>
      <c r="B83" s="95"/>
      <c r="C83" s="64"/>
      <c r="D83" s="64"/>
      <c r="E83" s="64"/>
      <c r="F83" s="64"/>
      <c r="G83" s="64"/>
      <c r="H83" s="64"/>
      <c r="I83" s="64"/>
      <c r="J83" s="64"/>
      <c r="K83" s="64"/>
      <c r="L83" s="96"/>
      <c r="M83" s="34"/>
      <c r="N83" s="34"/>
      <c r="O83" s="34"/>
      <c r="P83" s="34"/>
      <c r="Q83" s="34"/>
      <c r="R83" s="34"/>
      <c r="S83" s="34"/>
      <c r="T83" s="34"/>
      <c r="U83" s="34"/>
      <c r="V83" s="34"/>
      <c r="W83" s="34"/>
      <c r="X83" s="34"/>
      <c r="Y83" s="34"/>
      <c r="Z83" s="34"/>
    </row>
    <row r="84" spans="1:26" ht="12.75" customHeight="1">
      <c r="A84" s="34"/>
      <c r="B84" s="95"/>
      <c r="C84" s="64"/>
      <c r="D84" s="64"/>
      <c r="E84" s="64"/>
      <c r="F84" s="64"/>
      <c r="G84" s="64"/>
      <c r="H84" s="64"/>
      <c r="I84" s="64"/>
      <c r="J84" s="64"/>
      <c r="K84" s="64"/>
      <c r="L84" s="96"/>
      <c r="M84" s="34"/>
      <c r="N84" s="34"/>
      <c r="O84" s="34"/>
      <c r="P84" s="34"/>
      <c r="Q84" s="34"/>
      <c r="R84" s="34"/>
      <c r="S84" s="34"/>
      <c r="T84" s="34"/>
      <c r="U84" s="34"/>
      <c r="V84" s="34"/>
      <c r="W84" s="34"/>
      <c r="X84" s="34"/>
      <c r="Y84" s="34"/>
      <c r="Z84" s="34"/>
    </row>
    <row r="85" spans="1:26" ht="12.75" customHeight="1">
      <c r="A85" s="34"/>
      <c r="B85" s="95"/>
      <c r="C85" s="64"/>
      <c r="D85" s="64"/>
      <c r="E85" s="64"/>
      <c r="F85" s="64"/>
      <c r="G85" s="64"/>
      <c r="H85" s="64"/>
      <c r="I85" s="64"/>
      <c r="J85" s="64"/>
      <c r="K85" s="64"/>
      <c r="L85" s="96"/>
      <c r="M85" s="34"/>
      <c r="N85" s="34"/>
      <c r="O85" s="34"/>
      <c r="P85" s="34"/>
      <c r="Q85" s="34"/>
      <c r="R85" s="34"/>
      <c r="S85" s="34"/>
      <c r="T85" s="34"/>
      <c r="U85" s="34"/>
      <c r="V85" s="34"/>
      <c r="W85" s="34"/>
      <c r="X85" s="34"/>
      <c r="Y85" s="34"/>
      <c r="Z85" s="34"/>
    </row>
    <row r="86" spans="1:26" ht="12.75" customHeight="1">
      <c r="A86" s="34"/>
      <c r="B86" s="95"/>
      <c r="C86" s="64"/>
      <c r="D86" s="64"/>
      <c r="E86" s="64"/>
      <c r="F86" s="64"/>
      <c r="G86" s="64"/>
      <c r="H86" s="64"/>
      <c r="I86" s="64"/>
      <c r="J86" s="64"/>
      <c r="K86" s="64"/>
      <c r="L86" s="96"/>
      <c r="M86" s="34"/>
      <c r="N86" s="34"/>
      <c r="O86" s="34"/>
      <c r="P86" s="34"/>
      <c r="Q86" s="34"/>
      <c r="R86" s="34"/>
      <c r="S86" s="34"/>
      <c r="T86" s="34"/>
      <c r="U86" s="34"/>
      <c r="V86" s="34"/>
      <c r="W86" s="34"/>
      <c r="X86" s="34"/>
      <c r="Y86" s="34"/>
      <c r="Z86" s="34"/>
    </row>
    <row r="87" spans="1:26" ht="12.75" customHeight="1">
      <c r="A87" s="34"/>
      <c r="B87" s="95"/>
      <c r="C87" s="64"/>
      <c r="D87" s="64"/>
      <c r="E87" s="64"/>
      <c r="F87" s="64"/>
      <c r="G87" s="64"/>
      <c r="H87" s="64"/>
      <c r="I87" s="64"/>
      <c r="J87" s="64"/>
      <c r="K87" s="64"/>
      <c r="L87" s="96"/>
      <c r="M87" s="34"/>
      <c r="N87" s="34"/>
      <c r="O87" s="34"/>
      <c r="P87" s="34"/>
      <c r="Q87" s="34"/>
      <c r="R87" s="34"/>
      <c r="S87" s="34"/>
      <c r="T87" s="34"/>
      <c r="U87" s="34"/>
      <c r="V87" s="34"/>
      <c r="W87" s="34"/>
      <c r="X87" s="34"/>
      <c r="Y87" s="34"/>
      <c r="Z87" s="34"/>
    </row>
    <row r="88" spans="1:26" ht="12.75" customHeight="1">
      <c r="A88" s="34"/>
      <c r="B88" s="95"/>
      <c r="C88" s="64"/>
      <c r="D88" s="64"/>
      <c r="E88" s="64"/>
      <c r="F88" s="64"/>
      <c r="G88" s="64"/>
      <c r="H88" s="64"/>
      <c r="I88" s="64"/>
      <c r="J88" s="64"/>
      <c r="K88" s="64"/>
      <c r="L88" s="96"/>
      <c r="M88" s="34"/>
      <c r="N88" s="34"/>
      <c r="O88" s="34"/>
      <c r="P88" s="34"/>
      <c r="Q88" s="34"/>
      <c r="R88" s="34"/>
      <c r="S88" s="34"/>
      <c r="T88" s="34"/>
      <c r="U88" s="34"/>
      <c r="V88" s="34"/>
      <c r="W88" s="34"/>
      <c r="X88" s="34"/>
      <c r="Y88" s="34"/>
      <c r="Z88" s="34"/>
    </row>
    <row r="89" spans="1:26" ht="12.75" customHeight="1">
      <c r="A89" s="34"/>
      <c r="B89" s="95"/>
      <c r="C89" s="64"/>
      <c r="D89" s="64"/>
      <c r="E89" s="64"/>
      <c r="F89" s="64"/>
      <c r="G89" s="64"/>
      <c r="H89" s="64"/>
      <c r="I89" s="64"/>
      <c r="J89" s="64"/>
      <c r="K89" s="64"/>
      <c r="L89" s="96"/>
      <c r="M89" s="34"/>
      <c r="N89" s="34"/>
      <c r="O89" s="34"/>
      <c r="P89" s="34"/>
      <c r="Q89" s="34"/>
      <c r="R89" s="34"/>
      <c r="S89" s="34"/>
      <c r="T89" s="34"/>
      <c r="U89" s="34"/>
      <c r="V89" s="34"/>
      <c r="W89" s="34"/>
      <c r="X89" s="34"/>
      <c r="Y89" s="34"/>
      <c r="Z89" s="34"/>
    </row>
    <row r="90" spans="1:26" ht="12.75" customHeight="1">
      <c r="A90" s="34"/>
      <c r="B90" s="95"/>
      <c r="C90" s="64"/>
      <c r="D90" s="64"/>
      <c r="E90" s="64"/>
      <c r="F90" s="64"/>
      <c r="G90" s="64"/>
      <c r="H90" s="64"/>
      <c r="I90" s="64"/>
      <c r="J90" s="64"/>
      <c r="K90" s="64"/>
      <c r="L90" s="96"/>
      <c r="M90" s="34"/>
      <c r="N90" s="34"/>
      <c r="O90" s="34"/>
      <c r="P90" s="34"/>
      <c r="Q90" s="34"/>
      <c r="R90" s="34"/>
      <c r="S90" s="34"/>
      <c r="T90" s="34"/>
      <c r="U90" s="34"/>
      <c r="V90" s="34"/>
      <c r="W90" s="34"/>
      <c r="X90" s="34"/>
      <c r="Y90" s="34"/>
      <c r="Z90" s="34"/>
    </row>
    <row r="91" spans="1:26" ht="12.75" customHeight="1">
      <c r="A91" s="34"/>
      <c r="B91" s="95"/>
      <c r="C91" s="64"/>
      <c r="D91" s="64"/>
      <c r="E91" s="64"/>
      <c r="F91" s="64"/>
      <c r="G91" s="64"/>
      <c r="H91" s="64"/>
      <c r="I91" s="64"/>
      <c r="J91" s="64"/>
      <c r="K91" s="64"/>
      <c r="L91" s="96"/>
      <c r="M91" s="34"/>
      <c r="N91" s="34"/>
      <c r="O91" s="34"/>
      <c r="P91" s="34"/>
      <c r="Q91" s="34"/>
      <c r="R91" s="34"/>
      <c r="S91" s="34"/>
      <c r="T91" s="34"/>
      <c r="U91" s="34"/>
      <c r="V91" s="34"/>
      <c r="W91" s="34"/>
      <c r="X91" s="34"/>
      <c r="Y91" s="34"/>
      <c r="Z91" s="34"/>
    </row>
    <row r="92" spans="1:26" ht="12.75" customHeight="1">
      <c r="A92" s="34"/>
      <c r="B92" s="95"/>
      <c r="C92" s="64"/>
      <c r="D92" s="64"/>
      <c r="E92" s="64"/>
      <c r="F92" s="64"/>
      <c r="G92" s="64"/>
      <c r="H92" s="64"/>
      <c r="I92" s="64"/>
      <c r="J92" s="64"/>
      <c r="K92" s="64"/>
      <c r="L92" s="96"/>
      <c r="M92" s="34"/>
      <c r="N92" s="34"/>
      <c r="O92" s="34"/>
      <c r="P92" s="34"/>
      <c r="Q92" s="34"/>
      <c r="R92" s="34"/>
      <c r="S92" s="34"/>
      <c r="T92" s="34"/>
      <c r="U92" s="34"/>
      <c r="V92" s="34"/>
      <c r="W92" s="34"/>
      <c r="X92" s="34"/>
      <c r="Y92" s="34"/>
      <c r="Z92" s="34"/>
    </row>
    <row r="93" spans="1:26" ht="12.75" customHeight="1">
      <c r="A93" s="34"/>
      <c r="B93" s="95"/>
      <c r="C93" s="64"/>
      <c r="D93" s="64"/>
      <c r="E93" s="64"/>
      <c r="F93" s="64"/>
      <c r="G93" s="64"/>
      <c r="H93" s="64"/>
      <c r="I93" s="64"/>
      <c r="J93" s="64"/>
      <c r="K93" s="64"/>
      <c r="L93" s="96"/>
      <c r="M93" s="34"/>
      <c r="N93" s="34"/>
      <c r="O93" s="34"/>
      <c r="P93" s="34"/>
      <c r="Q93" s="34"/>
      <c r="R93" s="34"/>
      <c r="S93" s="34"/>
      <c r="T93" s="34"/>
      <c r="U93" s="34"/>
      <c r="V93" s="34"/>
      <c r="W93" s="34"/>
      <c r="X93" s="34"/>
      <c r="Y93" s="34"/>
      <c r="Z93" s="34"/>
    </row>
    <row r="94" spans="1:26" ht="12.75" customHeight="1">
      <c r="A94" s="34"/>
      <c r="B94" s="95"/>
      <c r="C94" s="64"/>
      <c r="D94" s="64"/>
      <c r="E94" s="64"/>
      <c r="F94" s="64"/>
      <c r="G94" s="64"/>
      <c r="H94" s="64"/>
      <c r="I94" s="64"/>
      <c r="J94" s="64"/>
      <c r="K94" s="64"/>
      <c r="L94" s="96"/>
      <c r="M94" s="34"/>
      <c r="N94" s="34"/>
      <c r="O94" s="34"/>
      <c r="P94" s="34"/>
      <c r="Q94" s="34"/>
      <c r="R94" s="34"/>
      <c r="S94" s="34"/>
      <c r="T94" s="34"/>
      <c r="U94" s="34"/>
      <c r="V94" s="34"/>
      <c r="W94" s="34"/>
      <c r="X94" s="34"/>
      <c r="Y94" s="34"/>
      <c r="Z94" s="34"/>
    </row>
    <row r="95" spans="1:26" ht="12.75" customHeight="1">
      <c r="A95" s="34"/>
      <c r="B95" s="95"/>
      <c r="C95" s="64"/>
      <c r="D95" s="64"/>
      <c r="E95" s="64"/>
      <c r="F95" s="64"/>
      <c r="G95" s="64"/>
      <c r="H95" s="64"/>
      <c r="I95" s="64"/>
      <c r="J95" s="64"/>
      <c r="K95" s="64"/>
      <c r="L95" s="96"/>
      <c r="M95" s="34"/>
      <c r="N95" s="34"/>
      <c r="O95" s="34"/>
      <c r="P95" s="34"/>
      <c r="Q95" s="34"/>
      <c r="R95" s="34"/>
      <c r="S95" s="34"/>
      <c r="T95" s="34"/>
      <c r="U95" s="34"/>
      <c r="V95" s="34"/>
      <c r="W95" s="34"/>
      <c r="X95" s="34"/>
      <c r="Y95" s="34"/>
      <c r="Z95" s="34"/>
    </row>
    <row r="96" spans="1:26" ht="12.75" customHeight="1">
      <c r="A96" s="34"/>
      <c r="B96" s="95"/>
      <c r="C96" s="64"/>
      <c r="D96" s="64"/>
      <c r="E96" s="64"/>
      <c r="F96" s="64"/>
      <c r="G96" s="64"/>
      <c r="H96" s="64"/>
      <c r="I96" s="64"/>
      <c r="J96" s="64"/>
      <c r="K96" s="64"/>
      <c r="L96" s="96"/>
      <c r="M96" s="34"/>
      <c r="N96" s="34"/>
      <c r="O96" s="34"/>
      <c r="P96" s="34"/>
      <c r="Q96" s="34"/>
      <c r="R96" s="34"/>
      <c r="S96" s="34"/>
      <c r="T96" s="34"/>
      <c r="U96" s="34"/>
      <c r="V96" s="34"/>
      <c r="W96" s="34"/>
      <c r="X96" s="34"/>
      <c r="Y96" s="34"/>
      <c r="Z96" s="34"/>
    </row>
    <row r="97" spans="1:26" ht="12.75" customHeight="1">
      <c r="A97" s="34"/>
      <c r="B97" s="95"/>
      <c r="C97" s="64"/>
      <c r="D97" s="64"/>
      <c r="E97" s="64"/>
      <c r="F97" s="64"/>
      <c r="G97" s="64"/>
      <c r="H97" s="64"/>
      <c r="I97" s="64"/>
      <c r="J97" s="64"/>
      <c r="K97" s="64"/>
      <c r="L97" s="96"/>
      <c r="M97" s="34"/>
      <c r="N97" s="34"/>
      <c r="O97" s="34"/>
      <c r="P97" s="34"/>
      <c r="Q97" s="34"/>
      <c r="R97" s="34"/>
      <c r="S97" s="34"/>
      <c r="T97" s="34"/>
      <c r="U97" s="34"/>
      <c r="V97" s="34"/>
      <c r="W97" s="34"/>
      <c r="X97" s="34"/>
      <c r="Y97" s="34"/>
      <c r="Z97" s="34"/>
    </row>
    <row r="98" spans="1:26" ht="12.75" customHeight="1">
      <c r="A98" s="34"/>
      <c r="B98" s="95"/>
      <c r="C98" s="64"/>
      <c r="D98" s="64"/>
      <c r="E98" s="64"/>
      <c r="F98" s="64"/>
      <c r="G98" s="64"/>
      <c r="H98" s="64"/>
      <c r="I98" s="64"/>
      <c r="J98" s="64"/>
      <c r="K98" s="64"/>
      <c r="L98" s="96"/>
      <c r="M98" s="34"/>
      <c r="N98" s="34"/>
      <c r="O98" s="34"/>
      <c r="P98" s="34"/>
      <c r="Q98" s="34"/>
      <c r="R98" s="34"/>
      <c r="S98" s="34"/>
      <c r="T98" s="34"/>
      <c r="U98" s="34"/>
      <c r="V98" s="34"/>
      <c r="W98" s="34"/>
      <c r="X98" s="34"/>
      <c r="Y98" s="34"/>
      <c r="Z98" s="34"/>
    </row>
    <row r="99" spans="1:26" ht="12.75" customHeight="1">
      <c r="A99" s="34"/>
      <c r="B99" s="95"/>
      <c r="C99" s="64"/>
      <c r="D99" s="64"/>
      <c r="E99" s="64"/>
      <c r="F99" s="64"/>
      <c r="G99" s="64"/>
      <c r="H99" s="64"/>
      <c r="I99" s="64"/>
      <c r="J99" s="64"/>
      <c r="K99" s="64"/>
      <c r="L99" s="96"/>
      <c r="M99" s="34"/>
      <c r="N99" s="34"/>
      <c r="O99" s="34"/>
      <c r="P99" s="34"/>
      <c r="Q99" s="34"/>
      <c r="R99" s="34"/>
      <c r="S99" s="34"/>
      <c r="T99" s="34"/>
      <c r="U99" s="34"/>
      <c r="V99" s="34"/>
      <c r="W99" s="34"/>
      <c r="X99" s="34"/>
      <c r="Y99" s="34"/>
      <c r="Z99" s="34"/>
    </row>
    <row r="100" spans="1:26" ht="12.75" customHeight="1">
      <c r="A100" s="34"/>
      <c r="B100" s="95"/>
      <c r="C100" s="64"/>
      <c r="D100" s="64"/>
      <c r="E100" s="64"/>
      <c r="F100" s="64"/>
      <c r="G100" s="64"/>
      <c r="H100" s="64"/>
      <c r="I100" s="64"/>
      <c r="J100" s="64"/>
      <c r="K100" s="64"/>
      <c r="L100" s="96"/>
      <c r="M100" s="34"/>
      <c r="N100" s="34"/>
      <c r="O100" s="34"/>
      <c r="P100" s="34"/>
      <c r="Q100" s="34"/>
      <c r="R100" s="34"/>
      <c r="S100" s="34"/>
      <c r="T100" s="34"/>
      <c r="U100" s="34"/>
      <c r="V100" s="34"/>
      <c r="W100" s="34"/>
      <c r="X100" s="34"/>
      <c r="Y100" s="34"/>
      <c r="Z100" s="34"/>
    </row>
    <row r="101" spans="1:26" ht="12.75" customHeight="1">
      <c r="A101" s="34"/>
      <c r="B101" s="95"/>
      <c r="C101" s="64"/>
      <c r="D101" s="64"/>
      <c r="E101" s="64"/>
      <c r="F101" s="64"/>
      <c r="G101" s="64"/>
      <c r="H101" s="64"/>
      <c r="I101" s="64"/>
      <c r="J101" s="64"/>
      <c r="K101" s="64"/>
      <c r="L101" s="96"/>
      <c r="M101" s="34"/>
      <c r="N101" s="34"/>
      <c r="O101" s="34"/>
      <c r="P101" s="34"/>
      <c r="Q101" s="34"/>
      <c r="R101" s="34"/>
      <c r="S101" s="34"/>
      <c r="T101" s="34"/>
      <c r="U101" s="34"/>
      <c r="V101" s="34"/>
      <c r="W101" s="34"/>
      <c r="X101" s="34"/>
      <c r="Y101" s="34"/>
      <c r="Z101" s="34"/>
    </row>
    <row r="102" spans="1:26" ht="12.75" customHeight="1">
      <c r="A102" s="34"/>
      <c r="B102" s="95"/>
      <c r="C102" s="64"/>
      <c r="D102" s="64"/>
      <c r="E102" s="64"/>
      <c r="F102" s="64"/>
      <c r="G102" s="64"/>
      <c r="H102" s="64"/>
      <c r="I102" s="64"/>
      <c r="J102" s="64"/>
      <c r="K102" s="64"/>
      <c r="L102" s="96"/>
      <c r="M102" s="34"/>
      <c r="N102" s="34"/>
      <c r="O102" s="34"/>
      <c r="P102" s="34"/>
      <c r="Q102" s="34"/>
      <c r="R102" s="34"/>
      <c r="S102" s="34"/>
      <c r="T102" s="34"/>
      <c r="U102" s="34"/>
      <c r="V102" s="34"/>
      <c r="W102" s="34"/>
      <c r="X102" s="34"/>
      <c r="Y102" s="34"/>
      <c r="Z102" s="34"/>
    </row>
    <row r="103" spans="1:26" ht="12.75" customHeight="1">
      <c r="A103" s="34"/>
      <c r="B103" s="95"/>
      <c r="C103" s="64"/>
      <c r="D103" s="64"/>
      <c r="E103" s="64"/>
      <c r="F103" s="64"/>
      <c r="G103" s="64"/>
      <c r="H103" s="64"/>
      <c r="I103" s="64"/>
      <c r="J103" s="64"/>
      <c r="K103" s="64"/>
      <c r="L103" s="96"/>
      <c r="M103" s="34"/>
      <c r="N103" s="34"/>
      <c r="O103" s="34"/>
      <c r="P103" s="34"/>
      <c r="Q103" s="34"/>
      <c r="R103" s="34"/>
      <c r="S103" s="34"/>
      <c r="T103" s="34"/>
      <c r="U103" s="34"/>
      <c r="V103" s="34"/>
      <c r="W103" s="34"/>
      <c r="X103" s="34"/>
      <c r="Y103" s="34"/>
      <c r="Z103" s="34"/>
    </row>
    <row r="104" spans="1:26" ht="12.75" customHeight="1">
      <c r="A104" s="34"/>
      <c r="B104" s="95"/>
      <c r="C104" s="64"/>
      <c r="D104" s="64"/>
      <c r="E104" s="64"/>
      <c r="F104" s="64"/>
      <c r="G104" s="64"/>
      <c r="H104" s="64"/>
      <c r="I104" s="64"/>
      <c r="J104" s="64"/>
      <c r="K104" s="64"/>
      <c r="L104" s="96"/>
      <c r="M104" s="34"/>
      <c r="N104" s="34"/>
      <c r="O104" s="34"/>
      <c r="P104" s="34"/>
      <c r="Q104" s="34"/>
      <c r="R104" s="34"/>
      <c r="S104" s="34"/>
      <c r="T104" s="34"/>
      <c r="U104" s="34"/>
      <c r="V104" s="34"/>
      <c r="W104" s="34"/>
      <c r="X104" s="34"/>
      <c r="Y104" s="34"/>
      <c r="Z104" s="34"/>
    </row>
    <row r="105" spans="1:26" ht="12.75" customHeight="1">
      <c r="A105" s="34"/>
      <c r="B105" s="95"/>
      <c r="C105" s="64"/>
      <c r="D105" s="64"/>
      <c r="E105" s="64"/>
      <c r="F105" s="64"/>
      <c r="G105" s="64"/>
      <c r="H105" s="64"/>
      <c r="I105" s="64"/>
      <c r="J105" s="64"/>
      <c r="K105" s="64"/>
      <c r="L105" s="96"/>
      <c r="M105" s="34"/>
      <c r="N105" s="34"/>
      <c r="O105" s="34"/>
      <c r="P105" s="34"/>
      <c r="Q105" s="34"/>
      <c r="R105" s="34"/>
      <c r="S105" s="34"/>
      <c r="T105" s="34"/>
      <c r="U105" s="34"/>
      <c r="V105" s="34"/>
      <c r="W105" s="34"/>
      <c r="X105" s="34"/>
      <c r="Y105" s="34"/>
      <c r="Z105" s="34"/>
    </row>
    <row r="106" spans="1:26" ht="12.75" customHeight="1">
      <c r="A106" s="34"/>
      <c r="B106" s="95"/>
      <c r="C106" s="64"/>
      <c r="D106" s="64"/>
      <c r="E106" s="64"/>
      <c r="F106" s="64"/>
      <c r="G106" s="64"/>
      <c r="H106" s="64"/>
      <c r="I106" s="64"/>
      <c r="J106" s="64"/>
      <c r="K106" s="64"/>
      <c r="L106" s="96"/>
      <c r="M106" s="34"/>
      <c r="N106" s="34"/>
      <c r="O106" s="34"/>
      <c r="P106" s="34"/>
      <c r="Q106" s="34"/>
      <c r="R106" s="34"/>
      <c r="S106" s="34"/>
      <c r="T106" s="34"/>
      <c r="U106" s="34"/>
      <c r="V106" s="34"/>
      <c r="W106" s="34"/>
      <c r="X106" s="34"/>
      <c r="Y106" s="34"/>
      <c r="Z106" s="34"/>
    </row>
    <row r="107" spans="1:26" ht="12.75" customHeight="1">
      <c r="A107" s="34"/>
      <c r="B107" s="95"/>
      <c r="C107" s="64"/>
      <c r="D107" s="64"/>
      <c r="E107" s="64"/>
      <c r="F107" s="64"/>
      <c r="G107" s="64"/>
      <c r="H107" s="64"/>
      <c r="I107" s="64"/>
      <c r="J107" s="64"/>
      <c r="K107" s="64"/>
      <c r="L107" s="96"/>
      <c r="M107" s="34"/>
      <c r="N107" s="34"/>
      <c r="O107" s="34"/>
      <c r="P107" s="34"/>
      <c r="Q107" s="34"/>
      <c r="R107" s="34"/>
      <c r="S107" s="34"/>
      <c r="T107" s="34"/>
      <c r="U107" s="34"/>
      <c r="V107" s="34"/>
      <c r="W107" s="34"/>
      <c r="X107" s="34"/>
      <c r="Y107" s="34"/>
      <c r="Z107" s="34"/>
    </row>
    <row r="108" spans="1:26" ht="12.75" customHeight="1">
      <c r="A108" s="34"/>
      <c r="B108" s="95"/>
      <c r="C108" s="64"/>
      <c r="D108" s="64"/>
      <c r="E108" s="64"/>
      <c r="F108" s="64"/>
      <c r="G108" s="64"/>
      <c r="H108" s="64"/>
      <c r="I108" s="64"/>
      <c r="J108" s="64"/>
      <c r="K108" s="64"/>
      <c r="L108" s="96"/>
      <c r="M108" s="34"/>
      <c r="N108" s="34"/>
      <c r="O108" s="34"/>
      <c r="P108" s="34"/>
      <c r="Q108" s="34"/>
      <c r="R108" s="34"/>
      <c r="S108" s="34"/>
      <c r="T108" s="34"/>
      <c r="U108" s="34"/>
      <c r="V108" s="34"/>
      <c r="W108" s="34"/>
      <c r="X108" s="34"/>
      <c r="Y108" s="34"/>
      <c r="Z108" s="34"/>
    </row>
    <row r="109" spans="1:26" ht="12.75" customHeight="1">
      <c r="A109" s="34"/>
      <c r="B109" s="95"/>
      <c r="C109" s="64"/>
      <c r="D109" s="64"/>
      <c r="E109" s="64"/>
      <c r="F109" s="64"/>
      <c r="G109" s="64"/>
      <c r="H109" s="64"/>
      <c r="I109" s="64"/>
      <c r="J109" s="64"/>
      <c r="K109" s="64"/>
      <c r="L109" s="96"/>
      <c r="M109" s="34"/>
      <c r="N109" s="34"/>
      <c r="O109" s="34"/>
      <c r="P109" s="34"/>
      <c r="Q109" s="34"/>
      <c r="R109" s="34"/>
      <c r="S109" s="34"/>
      <c r="T109" s="34"/>
      <c r="U109" s="34"/>
      <c r="V109" s="34"/>
      <c r="W109" s="34"/>
      <c r="X109" s="34"/>
      <c r="Y109" s="34"/>
      <c r="Z109" s="34"/>
    </row>
    <row r="110" spans="1:26" ht="12.75" customHeight="1">
      <c r="A110" s="34"/>
      <c r="B110" s="95"/>
      <c r="C110" s="64"/>
      <c r="D110" s="64"/>
      <c r="E110" s="64"/>
      <c r="F110" s="64"/>
      <c r="G110" s="64"/>
      <c r="H110" s="64"/>
      <c r="I110" s="64"/>
      <c r="J110" s="64"/>
      <c r="K110" s="64"/>
      <c r="L110" s="96"/>
      <c r="M110" s="34"/>
      <c r="N110" s="34"/>
      <c r="O110" s="34"/>
      <c r="P110" s="34"/>
      <c r="Q110" s="34"/>
      <c r="R110" s="34"/>
      <c r="S110" s="34"/>
      <c r="T110" s="34"/>
      <c r="U110" s="34"/>
      <c r="V110" s="34"/>
      <c r="W110" s="34"/>
      <c r="X110" s="34"/>
      <c r="Y110" s="34"/>
      <c r="Z110" s="34"/>
    </row>
    <row r="111" spans="1:26" ht="12.75" customHeight="1">
      <c r="A111" s="34"/>
      <c r="B111" s="95"/>
      <c r="C111" s="64"/>
      <c r="D111" s="64"/>
      <c r="E111" s="64"/>
      <c r="F111" s="64"/>
      <c r="G111" s="64"/>
      <c r="H111" s="64"/>
      <c r="I111" s="64"/>
      <c r="J111" s="64"/>
      <c r="K111" s="64"/>
      <c r="L111" s="96"/>
      <c r="M111" s="34"/>
      <c r="N111" s="34"/>
      <c r="O111" s="34"/>
      <c r="P111" s="34"/>
      <c r="Q111" s="34"/>
      <c r="R111" s="34"/>
      <c r="S111" s="34"/>
      <c r="T111" s="34"/>
      <c r="U111" s="34"/>
      <c r="V111" s="34"/>
      <c r="W111" s="34"/>
      <c r="X111" s="34"/>
      <c r="Y111" s="34"/>
      <c r="Z111" s="34"/>
    </row>
    <row r="112" spans="1:26" ht="12.75" customHeight="1">
      <c r="A112" s="34"/>
      <c r="B112" s="95"/>
      <c r="C112" s="64"/>
      <c r="D112" s="64"/>
      <c r="E112" s="64"/>
      <c r="F112" s="64"/>
      <c r="G112" s="64"/>
      <c r="H112" s="64"/>
      <c r="I112" s="64"/>
      <c r="J112" s="64"/>
      <c r="K112" s="64"/>
      <c r="L112" s="96"/>
      <c r="M112" s="34"/>
      <c r="N112" s="34"/>
      <c r="O112" s="34"/>
      <c r="P112" s="34"/>
      <c r="Q112" s="34"/>
      <c r="R112" s="34"/>
      <c r="S112" s="34"/>
      <c r="T112" s="34"/>
      <c r="U112" s="34"/>
      <c r="V112" s="34"/>
      <c r="W112" s="34"/>
      <c r="X112" s="34"/>
      <c r="Y112" s="34"/>
      <c r="Z112" s="34"/>
    </row>
    <row r="113" spans="1:26" ht="12.75" customHeight="1">
      <c r="A113" s="34"/>
      <c r="B113" s="95"/>
      <c r="C113" s="64"/>
      <c r="D113" s="64"/>
      <c r="E113" s="64"/>
      <c r="F113" s="64"/>
      <c r="G113" s="64"/>
      <c r="H113" s="64"/>
      <c r="I113" s="64"/>
      <c r="J113" s="64"/>
      <c r="K113" s="64"/>
      <c r="L113" s="96"/>
      <c r="M113" s="34"/>
      <c r="N113" s="34"/>
      <c r="O113" s="34"/>
      <c r="P113" s="34"/>
      <c r="Q113" s="34"/>
      <c r="R113" s="34"/>
      <c r="S113" s="34"/>
      <c r="T113" s="34"/>
      <c r="U113" s="34"/>
      <c r="V113" s="34"/>
      <c r="W113" s="34"/>
      <c r="X113" s="34"/>
      <c r="Y113" s="34"/>
      <c r="Z113" s="34"/>
    </row>
    <row r="114" spans="1:26" ht="12.75" customHeight="1">
      <c r="A114" s="34"/>
      <c r="B114" s="95"/>
      <c r="C114" s="64"/>
      <c r="D114" s="64"/>
      <c r="E114" s="64"/>
      <c r="F114" s="64"/>
      <c r="G114" s="64"/>
      <c r="H114" s="64"/>
      <c r="I114" s="64"/>
      <c r="J114" s="64"/>
      <c r="K114" s="64"/>
      <c r="L114" s="96"/>
      <c r="M114" s="34"/>
      <c r="N114" s="34"/>
      <c r="O114" s="34"/>
      <c r="P114" s="34"/>
      <c r="Q114" s="34"/>
      <c r="R114" s="34"/>
      <c r="S114" s="34"/>
      <c r="T114" s="34"/>
      <c r="U114" s="34"/>
      <c r="V114" s="34"/>
      <c r="W114" s="34"/>
      <c r="X114" s="34"/>
      <c r="Y114" s="34"/>
      <c r="Z114" s="34"/>
    </row>
    <row r="115" spans="1:26" ht="12.75" customHeight="1">
      <c r="A115" s="34"/>
      <c r="B115" s="95"/>
      <c r="C115" s="64"/>
      <c r="D115" s="64"/>
      <c r="E115" s="64"/>
      <c r="F115" s="64"/>
      <c r="G115" s="64"/>
      <c r="H115" s="64"/>
      <c r="I115" s="64"/>
      <c r="J115" s="64"/>
      <c r="K115" s="64"/>
      <c r="L115" s="96"/>
      <c r="M115" s="34"/>
      <c r="N115" s="34"/>
      <c r="O115" s="34"/>
      <c r="P115" s="34"/>
      <c r="Q115" s="34"/>
      <c r="R115" s="34"/>
      <c r="S115" s="34"/>
      <c r="T115" s="34"/>
      <c r="U115" s="34"/>
      <c r="V115" s="34"/>
      <c r="W115" s="34"/>
      <c r="X115" s="34"/>
      <c r="Y115" s="34"/>
      <c r="Z115" s="34"/>
    </row>
    <row r="116" spans="1:26" ht="12.75" customHeight="1">
      <c r="A116" s="34"/>
      <c r="B116" s="95"/>
      <c r="C116" s="64"/>
      <c r="D116" s="64"/>
      <c r="E116" s="64"/>
      <c r="F116" s="64"/>
      <c r="G116" s="64"/>
      <c r="H116" s="64"/>
      <c r="I116" s="64"/>
      <c r="J116" s="64"/>
      <c r="K116" s="64"/>
      <c r="L116" s="96"/>
      <c r="M116" s="34"/>
      <c r="N116" s="34"/>
      <c r="O116" s="34"/>
      <c r="P116" s="34"/>
      <c r="Q116" s="34"/>
      <c r="R116" s="34"/>
      <c r="S116" s="34"/>
      <c r="T116" s="34"/>
      <c r="U116" s="34"/>
      <c r="V116" s="34"/>
      <c r="W116" s="34"/>
      <c r="X116" s="34"/>
      <c r="Y116" s="34"/>
      <c r="Z116" s="34"/>
    </row>
    <row r="117" spans="1:26" ht="12.75" customHeight="1">
      <c r="A117" s="34"/>
      <c r="B117" s="95"/>
      <c r="C117" s="64"/>
      <c r="D117" s="64"/>
      <c r="E117" s="64"/>
      <c r="F117" s="64"/>
      <c r="G117" s="64"/>
      <c r="H117" s="64"/>
      <c r="I117" s="64"/>
      <c r="J117" s="64"/>
      <c r="K117" s="64"/>
      <c r="L117" s="96"/>
      <c r="M117" s="34"/>
      <c r="N117" s="34"/>
      <c r="O117" s="34"/>
      <c r="P117" s="34"/>
      <c r="Q117" s="34"/>
      <c r="R117" s="34"/>
      <c r="S117" s="34"/>
      <c r="T117" s="34"/>
      <c r="U117" s="34"/>
      <c r="V117" s="34"/>
      <c r="W117" s="34"/>
      <c r="X117" s="34"/>
      <c r="Y117" s="34"/>
      <c r="Z117" s="34"/>
    </row>
    <row r="118" spans="1:26" ht="12.75" customHeight="1">
      <c r="A118" s="34"/>
      <c r="B118" s="95"/>
      <c r="C118" s="64"/>
      <c r="D118" s="64"/>
      <c r="E118" s="64"/>
      <c r="F118" s="64"/>
      <c r="G118" s="64"/>
      <c r="H118" s="64"/>
      <c r="I118" s="64"/>
      <c r="J118" s="64"/>
      <c r="K118" s="64"/>
      <c r="L118" s="96"/>
      <c r="M118" s="34"/>
      <c r="N118" s="34"/>
      <c r="O118" s="34"/>
      <c r="P118" s="34"/>
      <c r="Q118" s="34"/>
      <c r="R118" s="34"/>
      <c r="S118" s="34"/>
      <c r="T118" s="34"/>
      <c r="U118" s="34"/>
      <c r="V118" s="34"/>
      <c r="W118" s="34"/>
      <c r="X118" s="34"/>
      <c r="Y118" s="34"/>
      <c r="Z118" s="34"/>
    </row>
    <row r="119" spans="1:26" ht="12.75" customHeight="1">
      <c r="A119" s="34"/>
      <c r="B119" s="95"/>
      <c r="C119" s="64"/>
      <c r="D119" s="64"/>
      <c r="E119" s="64"/>
      <c r="F119" s="64"/>
      <c r="G119" s="64"/>
      <c r="H119" s="64"/>
      <c r="I119" s="64"/>
      <c r="J119" s="64"/>
      <c r="K119" s="64"/>
      <c r="L119" s="96"/>
      <c r="M119" s="34"/>
      <c r="N119" s="34"/>
      <c r="O119" s="34"/>
      <c r="P119" s="34"/>
      <c r="Q119" s="34"/>
      <c r="R119" s="34"/>
      <c r="S119" s="34"/>
      <c r="T119" s="34"/>
      <c r="U119" s="34"/>
      <c r="V119" s="34"/>
      <c r="W119" s="34"/>
      <c r="X119" s="34"/>
      <c r="Y119" s="34"/>
      <c r="Z119" s="34"/>
    </row>
    <row r="120" spans="1:26" ht="12.75" customHeight="1">
      <c r="A120" s="34"/>
      <c r="B120" s="95"/>
      <c r="C120" s="64"/>
      <c r="D120" s="64"/>
      <c r="E120" s="64"/>
      <c r="F120" s="64"/>
      <c r="G120" s="64"/>
      <c r="H120" s="64"/>
      <c r="I120" s="64"/>
      <c r="J120" s="64"/>
      <c r="K120" s="64"/>
      <c r="L120" s="96"/>
      <c r="M120" s="34"/>
      <c r="N120" s="34"/>
      <c r="O120" s="34"/>
      <c r="P120" s="34"/>
      <c r="Q120" s="34"/>
      <c r="R120" s="34"/>
      <c r="S120" s="34"/>
      <c r="T120" s="34"/>
      <c r="U120" s="34"/>
      <c r="V120" s="34"/>
      <c r="W120" s="34"/>
      <c r="X120" s="34"/>
      <c r="Y120" s="34"/>
      <c r="Z120" s="34"/>
    </row>
    <row r="121" spans="1:26" ht="12.75" customHeight="1">
      <c r="A121" s="34"/>
      <c r="B121" s="95"/>
      <c r="C121" s="64"/>
      <c r="D121" s="64"/>
      <c r="E121" s="64"/>
      <c r="F121" s="64"/>
      <c r="G121" s="64"/>
      <c r="H121" s="64"/>
      <c r="I121" s="64"/>
      <c r="J121" s="64"/>
      <c r="K121" s="64"/>
      <c r="L121" s="96"/>
      <c r="M121" s="34"/>
      <c r="N121" s="34"/>
      <c r="O121" s="34"/>
      <c r="P121" s="34"/>
      <c r="Q121" s="34"/>
      <c r="R121" s="34"/>
      <c r="S121" s="34"/>
      <c r="T121" s="34"/>
      <c r="U121" s="34"/>
      <c r="V121" s="34"/>
      <c r="W121" s="34"/>
      <c r="X121" s="34"/>
      <c r="Y121" s="34"/>
      <c r="Z121" s="34"/>
    </row>
    <row r="122" spans="1:26" ht="12.75" customHeight="1">
      <c r="A122" s="34"/>
      <c r="B122" s="95"/>
      <c r="C122" s="64"/>
      <c r="D122" s="64"/>
      <c r="E122" s="64"/>
      <c r="F122" s="64"/>
      <c r="G122" s="64"/>
      <c r="H122" s="64"/>
      <c r="I122" s="64"/>
      <c r="J122" s="64"/>
      <c r="K122" s="64"/>
      <c r="L122" s="96"/>
      <c r="M122" s="34"/>
      <c r="N122" s="34"/>
      <c r="O122" s="34"/>
      <c r="P122" s="34"/>
      <c r="Q122" s="34"/>
      <c r="R122" s="34"/>
      <c r="S122" s="34"/>
      <c r="T122" s="34"/>
      <c r="U122" s="34"/>
      <c r="V122" s="34"/>
      <c r="W122" s="34"/>
      <c r="X122" s="34"/>
      <c r="Y122" s="34"/>
      <c r="Z122" s="34"/>
    </row>
    <row r="123" spans="1:26" ht="12.75" customHeight="1">
      <c r="A123" s="34"/>
      <c r="B123" s="95"/>
      <c r="C123" s="64"/>
      <c r="D123" s="64"/>
      <c r="E123" s="64"/>
      <c r="F123" s="64"/>
      <c r="G123" s="64"/>
      <c r="H123" s="64"/>
      <c r="I123" s="64"/>
      <c r="J123" s="64"/>
      <c r="K123" s="64"/>
      <c r="L123" s="96"/>
      <c r="M123" s="34"/>
      <c r="N123" s="34"/>
      <c r="O123" s="34"/>
      <c r="P123" s="34"/>
      <c r="Q123" s="34"/>
      <c r="R123" s="34"/>
      <c r="S123" s="34"/>
      <c r="T123" s="34"/>
      <c r="U123" s="34"/>
      <c r="V123" s="34"/>
      <c r="W123" s="34"/>
      <c r="X123" s="34"/>
      <c r="Y123" s="34"/>
      <c r="Z123" s="34"/>
    </row>
    <row r="124" spans="1:26" ht="12.75" customHeight="1">
      <c r="A124" s="34"/>
      <c r="B124" s="95"/>
      <c r="C124" s="64"/>
      <c r="D124" s="64"/>
      <c r="E124" s="64"/>
      <c r="F124" s="64"/>
      <c r="G124" s="64"/>
      <c r="H124" s="64"/>
      <c r="I124" s="64"/>
      <c r="J124" s="64"/>
      <c r="K124" s="64"/>
      <c r="L124" s="96"/>
      <c r="M124" s="34"/>
      <c r="N124" s="34"/>
      <c r="O124" s="34"/>
      <c r="P124" s="34"/>
      <c r="Q124" s="34"/>
      <c r="R124" s="34"/>
      <c r="S124" s="34"/>
      <c r="T124" s="34"/>
      <c r="U124" s="34"/>
      <c r="V124" s="34"/>
      <c r="W124" s="34"/>
      <c r="X124" s="34"/>
      <c r="Y124" s="34"/>
      <c r="Z124" s="34"/>
    </row>
    <row r="125" spans="1:26" ht="12.75" customHeight="1">
      <c r="A125" s="34"/>
      <c r="B125" s="95"/>
      <c r="C125" s="64"/>
      <c r="D125" s="64"/>
      <c r="E125" s="64"/>
      <c r="F125" s="64"/>
      <c r="G125" s="64"/>
      <c r="H125" s="64"/>
      <c r="I125" s="64"/>
      <c r="J125" s="64"/>
      <c r="K125" s="64"/>
      <c r="L125" s="96"/>
      <c r="M125" s="34"/>
      <c r="N125" s="34"/>
      <c r="O125" s="34"/>
      <c r="P125" s="34"/>
      <c r="Q125" s="34"/>
      <c r="R125" s="34"/>
      <c r="S125" s="34"/>
      <c r="T125" s="34"/>
      <c r="U125" s="34"/>
      <c r="V125" s="34"/>
      <c r="W125" s="34"/>
      <c r="X125" s="34"/>
      <c r="Y125" s="34"/>
      <c r="Z125" s="34"/>
    </row>
    <row r="126" spans="1:26" ht="12.75" customHeight="1">
      <c r="A126" s="34"/>
      <c r="B126" s="95"/>
      <c r="C126" s="64"/>
      <c r="D126" s="64"/>
      <c r="E126" s="64"/>
      <c r="F126" s="64"/>
      <c r="G126" s="64"/>
      <c r="H126" s="64"/>
      <c r="I126" s="64"/>
      <c r="J126" s="64"/>
      <c r="K126" s="64"/>
      <c r="L126" s="96"/>
      <c r="M126" s="34"/>
      <c r="N126" s="34"/>
      <c r="O126" s="34"/>
      <c r="P126" s="34"/>
      <c r="Q126" s="34"/>
      <c r="R126" s="34"/>
      <c r="S126" s="34"/>
      <c r="T126" s="34"/>
      <c r="U126" s="34"/>
      <c r="V126" s="34"/>
      <c r="W126" s="34"/>
      <c r="X126" s="34"/>
      <c r="Y126" s="34"/>
      <c r="Z126" s="34"/>
    </row>
    <row r="127" spans="1:26" ht="12.75" customHeight="1">
      <c r="A127" s="34"/>
      <c r="B127" s="95"/>
      <c r="C127" s="64"/>
      <c r="D127" s="64"/>
      <c r="E127" s="64"/>
      <c r="F127" s="64"/>
      <c r="G127" s="64"/>
      <c r="H127" s="64"/>
      <c r="I127" s="64"/>
      <c r="J127" s="64"/>
      <c r="K127" s="64"/>
      <c r="L127" s="96"/>
      <c r="M127" s="34"/>
      <c r="N127" s="34"/>
      <c r="O127" s="34"/>
      <c r="P127" s="34"/>
      <c r="Q127" s="34"/>
      <c r="R127" s="34"/>
      <c r="S127" s="34"/>
      <c r="T127" s="34"/>
      <c r="U127" s="34"/>
      <c r="V127" s="34"/>
      <c r="W127" s="34"/>
      <c r="X127" s="34"/>
      <c r="Y127" s="34"/>
      <c r="Z127" s="34"/>
    </row>
    <row r="128" spans="1:26" ht="12.75" customHeight="1">
      <c r="A128" s="34"/>
      <c r="B128" s="95"/>
      <c r="C128" s="64"/>
      <c r="D128" s="64"/>
      <c r="E128" s="64"/>
      <c r="F128" s="64"/>
      <c r="G128" s="64"/>
      <c r="H128" s="64"/>
      <c r="I128" s="64"/>
      <c r="J128" s="64"/>
      <c r="K128" s="64"/>
      <c r="L128" s="96"/>
      <c r="M128" s="34"/>
      <c r="N128" s="34"/>
      <c r="O128" s="34"/>
      <c r="P128" s="34"/>
      <c r="Q128" s="34"/>
      <c r="R128" s="34"/>
      <c r="S128" s="34"/>
      <c r="T128" s="34"/>
      <c r="U128" s="34"/>
      <c r="V128" s="34"/>
      <c r="W128" s="34"/>
      <c r="X128" s="34"/>
      <c r="Y128" s="34"/>
      <c r="Z128" s="34"/>
    </row>
    <row r="129" spans="1:26" ht="12.75" customHeight="1">
      <c r="A129" s="34"/>
      <c r="B129" s="95"/>
      <c r="C129" s="64"/>
      <c r="D129" s="64"/>
      <c r="E129" s="64"/>
      <c r="F129" s="64"/>
      <c r="G129" s="64"/>
      <c r="H129" s="64"/>
      <c r="I129" s="64"/>
      <c r="J129" s="64"/>
      <c r="K129" s="64"/>
      <c r="L129" s="96"/>
      <c r="M129" s="34"/>
      <c r="N129" s="34"/>
      <c r="O129" s="34"/>
      <c r="P129" s="34"/>
      <c r="Q129" s="34"/>
      <c r="R129" s="34"/>
      <c r="S129" s="34"/>
      <c r="T129" s="34"/>
      <c r="U129" s="34"/>
      <c r="V129" s="34"/>
      <c r="W129" s="34"/>
      <c r="X129" s="34"/>
      <c r="Y129" s="34"/>
      <c r="Z129" s="34"/>
    </row>
    <row r="130" spans="1:26" ht="12.75" customHeight="1">
      <c r="A130" s="34"/>
      <c r="B130" s="95"/>
      <c r="C130" s="64"/>
      <c r="D130" s="64"/>
      <c r="E130" s="64"/>
      <c r="F130" s="64"/>
      <c r="G130" s="64"/>
      <c r="H130" s="64"/>
      <c r="I130" s="64"/>
      <c r="J130" s="64"/>
      <c r="K130" s="64"/>
      <c r="L130" s="96"/>
      <c r="M130" s="34"/>
      <c r="N130" s="34"/>
      <c r="O130" s="34"/>
      <c r="P130" s="34"/>
      <c r="Q130" s="34"/>
      <c r="R130" s="34"/>
      <c r="S130" s="34"/>
      <c r="T130" s="34"/>
      <c r="U130" s="34"/>
      <c r="V130" s="34"/>
      <c r="W130" s="34"/>
      <c r="X130" s="34"/>
      <c r="Y130" s="34"/>
      <c r="Z130" s="34"/>
    </row>
    <row r="131" spans="1:26" ht="12.75" customHeight="1">
      <c r="A131" s="34"/>
      <c r="B131" s="95"/>
      <c r="C131" s="64"/>
      <c r="D131" s="64"/>
      <c r="E131" s="64"/>
      <c r="F131" s="64"/>
      <c r="G131" s="64"/>
      <c r="H131" s="64"/>
      <c r="I131" s="64"/>
      <c r="J131" s="64"/>
      <c r="K131" s="64"/>
      <c r="L131" s="96"/>
      <c r="M131" s="34"/>
      <c r="N131" s="34"/>
      <c r="O131" s="34"/>
      <c r="P131" s="34"/>
      <c r="Q131" s="34"/>
      <c r="R131" s="34"/>
      <c r="S131" s="34"/>
      <c r="T131" s="34"/>
      <c r="U131" s="34"/>
      <c r="V131" s="34"/>
      <c r="W131" s="34"/>
      <c r="X131" s="34"/>
      <c r="Y131" s="34"/>
      <c r="Z131" s="34"/>
    </row>
    <row r="132" spans="1:26" ht="12.75" customHeight="1">
      <c r="A132" s="34"/>
      <c r="B132" s="95"/>
      <c r="C132" s="64"/>
      <c r="D132" s="64"/>
      <c r="E132" s="64"/>
      <c r="F132" s="64"/>
      <c r="G132" s="64"/>
      <c r="H132" s="64"/>
      <c r="I132" s="64"/>
      <c r="J132" s="64"/>
      <c r="K132" s="64"/>
      <c r="L132" s="96"/>
      <c r="M132" s="34"/>
      <c r="N132" s="34"/>
      <c r="O132" s="34"/>
      <c r="P132" s="34"/>
      <c r="Q132" s="34"/>
      <c r="R132" s="34"/>
      <c r="S132" s="34"/>
      <c r="T132" s="34"/>
      <c r="U132" s="34"/>
      <c r="V132" s="34"/>
      <c r="W132" s="34"/>
      <c r="X132" s="34"/>
      <c r="Y132" s="34"/>
      <c r="Z132" s="34"/>
    </row>
    <row r="133" spans="1:26" ht="12.75" customHeight="1">
      <c r="A133" s="34"/>
      <c r="B133" s="95"/>
      <c r="C133" s="64"/>
      <c r="D133" s="64"/>
      <c r="E133" s="64"/>
      <c r="F133" s="64"/>
      <c r="G133" s="64"/>
      <c r="H133" s="64"/>
      <c r="I133" s="64"/>
      <c r="J133" s="64"/>
      <c r="K133" s="64"/>
      <c r="L133" s="96"/>
      <c r="M133" s="34"/>
      <c r="N133" s="34"/>
      <c r="O133" s="34"/>
      <c r="P133" s="34"/>
      <c r="Q133" s="34"/>
      <c r="R133" s="34"/>
      <c r="S133" s="34"/>
      <c r="T133" s="34"/>
      <c r="U133" s="34"/>
      <c r="V133" s="34"/>
      <c r="W133" s="34"/>
      <c r="X133" s="34"/>
      <c r="Y133" s="34"/>
      <c r="Z133" s="34"/>
    </row>
    <row r="134" spans="1:26" ht="12.75" customHeight="1">
      <c r="A134" s="34"/>
      <c r="B134" s="95"/>
      <c r="C134" s="64"/>
      <c r="D134" s="64"/>
      <c r="E134" s="64"/>
      <c r="F134" s="64"/>
      <c r="G134" s="64"/>
      <c r="H134" s="64"/>
      <c r="I134" s="64"/>
      <c r="J134" s="64"/>
      <c r="K134" s="64"/>
      <c r="L134" s="96"/>
      <c r="M134" s="34"/>
      <c r="N134" s="34"/>
      <c r="O134" s="34"/>
      <c r="P134" s="34"/>
      <c r="Q134" s="34"/>
      <c r="R134" s="34"/>
      <c r="S134" s="34"/>
      <c r="T134" s="34"/>
      <c r="U134" s="34"/>
      <c r="V134" s="34"/>
      <c r="W134" s="34"/>
      <c r="X134" s="34"/>
      <c r="Y134" s="34"/>
      <c r="Z134" s="34"/>
    </row>
    <row r="135" spans="1:26" ht="12.75" customHeight="1">
      <c r="A135" s="34"/>
      <c r="B135" s="95"/>
      <c r="C135" s="64"/>
      <c r="D135" s="64"/>
      <c r="E135" s="64"/>
      <c r="F135" s="64"/>
      <c r="G135" s="64"/>
      <c r="H135" s="64"/>
      <c r="I135" s="64"/>
      <c r="J135" s="64"/>
      <c r="K135" s="64"/>
      <c r="L135" s="96"/>
      <c r="M135" s="34"/>
      <c r="N135" s="34"/>
      <c r="O135" s="34"/>
      <c r="P135" s="34"/>
      <c r="Q135" s="34"/>
      <c r="R135" s="34"/>
      <c r="S135" s="34"/>
      <c r="T135" s="34"/>
      <c r="U135" s="34"/>
      <c r="V135" s="34"/>
      <c r="W135" s="34"/>
      <c r="X135" s="34"/>
      <c r="Y135" s="34"/>
      <c r="Z135" s="34"/>
    </row>
    <row r="136" spans="1:26" ht="12.75" customHeight="1">
      <c r="A136" s="34"/>
      <c r="B136" s="95"/>
      <c r="C136" s="64"/>
      <c r="D136" s="64"/>
      <c r="E136" s="64"/>
      <c r="F136" s="64"/>
      <c r="G136" s="64"/>
      <c r="H136" s="64"/>
      <c r="I136" s="64"/>
      <c r="J136" s="64"/>
      <c r="K136" s="64"/>
      <c r="L136" s="96"/>
      <c r="M136" s="34"/>
      <c r="N136" s="34"/>
      <c r="O136" s="34"/>
      <c r="P136" s="34"/>
      <c r="Q136" s="34"/>
      <c r="R136" s="34"/>
      <c r="S136" s="34"/>
      <c r="T136" s="34"/>
      <c r="U136" s="34"/>
      <c r="V136" s="34"/>
      <c r="W136" s="34"/>
      <c r="X136" s="34"/>
      <c r="Y136" s="34"/>
      <c r="Z136" s="34"/>
    </row>
    <row r="137" spans="1:26" ht="12.75" customHeight="1">
      <c r="A137" s="34"/>
      <c r="B137" s="95"/>
      <c r="C137" s="64"/>
      <c r="D137" s="64"/>
      <c r="E137" s="64"/>
      <c r="F137" s="64"/>
      <c r="G137" s="64"/>
      <c r="H137" s="64"/>
      <c r="I137" s="64"/>
      <c r="J137" s="64"/>
      <c r="K137" s="64"/>
      <c r="L137" s="96"/>
      <c r="M137" s="34"/>
      <c r="N137" s="34"/>
      <c r="O137" s="34"/>
      <c r="P137" s="34"/>
      <c r="Q137" s="34"/>
      <c r="R137" s="34"/>
      <c r="S137" s="34"/>
      <c r="T137" s="34"/>
      <c r="U137" s="34"/>
      <c r="V137" s="34"/>
      <c r="W137" s="34"/>
      <c r="X137" s="34"/>
      <c r="Y137" s="34"/>
      <c r="Z137" s="34"/>
    </row>
    <row r="138" spans="1:26" ht="12.75" customHeight="1">
      <c r="A138" s="34"/>
      <c r="B138" s="95"/>
      <c r="C138" s="64"/>
      <c r="D138" s="64"/>
      <c r="E138" s="64"/>
      <c r="F138" s="64"/>
      <c r="G138" s="64"/>
      <c r="H138" s="64"/>
      <c r="I138" s="64"/>
      <c r="J138" s="64"/>
      <c r="K138" s="64"/>
      <c r="L138" s="96"/>
      <c r="M138" s="34"/>
      <c r="N138" s="34"/>
      <c r="O138" s="34"/>
      <c r="P138" s="34"/>
      <c r="Q138" s="34"/>
      <c r="R138" s="34"/>
      <c r="S138" s="34"/>
      <c r="T138" s="34"/>
      <c r="U138" s="34"/>
      <c r="V138" s="34"/>
      <c r="W138" s="34"/>
      <c r="X138" s="34"/>
      <c r="Y138" s="34"/>
      <c r="Z138" s="34"/>
    </row>
    <row r="139" spans="1:26" ht="12.75" customHeight="1">
      <c r="A139" s="34"/>
      <c r="B139" s="95"/>
      <c r="C139" s="64"/>
      <c r="D139" s="64"/>
      <c r="E139" s="64"/>
      <c r="F139" s="64"/>
      <c r="G139" s="64"/>
      <c r="H139" s="64"/>
      <c r="I139" s="64"/>
      <c r="J139" s="64"/>
      <c r="K139" s="64"/>
      <c r="L139" s="96"/>
      <c r="M139" s="34"/>
      <c r="N139" s="34"/>
      <c r="O139" s="34"/>
      <c r="P139" s="34"/>
      <c r="Q139" s="34"/>
      <c r="R139" s="34"/>
      <c r="S139" s="34"/>
      <c r="T139" s="34"/>
      <c r="U139" s="34"/>
      <c r="V139" s="34"/>
      <c r="W139" s="34"/>
      <c r="X139" s="34"/>
      <c r="Y139" s="34"/>
      <c r="Z139" s="34"/>
    </row>
    <row r="140" spans="1:26" ht="12.75" customHeight="1">
      <c r="A140" s="34"/>
      <c r="B140" s="95"/>
      <c r="C140" s="64"/>
      <c r="D140" s="64"/>
      <c r="E140" s="64"/>
      <c r="F140" s="64"/>
      <c r="G140" s="64"/>
      <c r="H140" s="64"/>
      <c r="I140" s="64"/>
      <c r="J140" s="64"/>
      <c r="K140" s="64"/>
      <c r="L140" s="96"/>
      <c r="M140" s="34"/>
      <c r="N140" s="34"/>
      <c r="O140" s="34"/>
      <c r="P140" s="34"/>
      <c r="Q140" s="34"/>
      <c r="R140" s="34"/>
      <c r="S140" s="34"/>
      <c r="T140" s="34"/>
      <c r="U140" s="34"/>
      <c r="V140" s="34"/>
      <c r="W140" s="34"/>
      <c r="X140" s="34"/>
      <c r="Y140" s="34"/>
      <c r="Z140" s="34"/>
    </row>
    <row r="141" spans="1:26" ht="12.75" customHeight="1">
      <c r="A141" s="34"/>
      <c r="B141" s="95"/>
      <c r="C141" s="64"/>
      <c r="D141" s="64"/>
      <c r="E141" s="64"/>
      <c r="F141" s="64"/>
      <c r="G141" s="64"/>
      <c r="H141" s="64"/>
      <c r="I141" s="64"/>
      <c r="J141" s="64"/>
      <c r="K141" s="64"/>
      <c r="L141" s="96"/>
      <c r="M141" s="34"/>
      <c r="N141" s="34"/>
      <c r="O141" s="34"/>
      <c r="P141" s="34"/>
      <c r="Q141" s="34"/>
      <c r="R141" s="34"/>
      <c r="S141" s="34"/>
      <c r="T141" s="34"/>
      <c r="U141" s="34"/>
      <c r="V141" s="34"/>
      <c r="W141" s="34"/>
      <c r="X141" s="34"/>
      <c r="Y141" s="34"/>
      <c r="Z141" s="34"/>
    </row>
    <row r="142" spans="1:26" ht="12.75" customHeight="1">
      <c r="A142" s="34"/>
      <c r="B142" s="95"/>
      <c r="C142" s="64"/>
      <c r="D142" s="64"/>
      <c r="E142" s="64"/>
      <c r="F142" s="64"/>
      <c r="G142" s="64"/>
      <c r="H142" s="64"/>
      <c r="I142" s="64"/>
      <c r="J142" s="64"/>
      <c r="K142" s="64"/>
      <c r="L142" s="96"/>
      <c r="M142" s="34"/>
      <c r="N142" s="34"/>
      <c r="O142" s="34"/>
      <c r="P142" s="34"/>
      <c r="Q142" s="34"/>
      <c r="R142" s="34"/>
      <c r="S142" s="34"/>
      <c r="T142" s="34"/>
      <c r="U142" s="34"/>
      <c r="V142" s="34"/>
      <c r="W142" s="34"/>
      <c r="X142" s="34"/>
      <c r="Y142" s="34"/>
      <c r="Z142" s="34"/>
    </row>
    <row r="143" spans="1:26" ht="12.75" customHeight="1">
      <c r="A143" s="34"/>
      <c r="B143" s="95"/>
      <c r="C143" s="64"/>
      <c r="D143" s="64"/>
      <c r="E143" s="64"/>
      <c r="F143" s="64"/>
      <c r="G143" s="64"/>
      <c r="H143" s="64"/>
      <c r="I143" s="64"/>
      <c r="J143" s="64"/>
      <c r="K143" s="64"/>
      <c r="L143" s="96"/>
      <c r="M143" s="34"/>
      <c r="N143" s="34"/>
      <c r="O143" s="34"/>
      <c r="P143" s="34"/>
      <c r="Q143" s="34"/>
      <c r="R143" s="34"/>
      <c r="S143" s="34"/>
      <c r="T143" s="34"/>
      <c r="U143" s="34"/>
      <c r="V143" s="34"/>
      <c r="W143" s="34"/>
      <c r="X143" s="34"/>
      <c r="Y143" s="34"/>
      <c r="Z143" s="34"/>
    </row>
    <row r="144" spans="1:26" ht="12.75" customHeight="1">
      <c r="A144" s="34"/>
      <c r="B144" s="95"/>
      <c r="C144" s="64"/>
      <c r="D144" s="64"/>
      <c r="E144" s="64"/>
      <c r="F144" s="64"/>
      <c r="G144" s="64"/>
      <c r="H144" s="64"/>
      <c r="I144" s="64"/>
      <c r="J144" s="64"/>
      <c r="K144" s="64"/>
      <c r="L144" s="96"/>
      <c r="M144" s="34"/>
      <c r="N144" s="34"/>
      <c r="O144" s="34"/>
      <c r="P144" s="34"/>
      <c r="Q144" s="34"/>
      <c r="R144" s="34"/>
      <c r="S144" s="34"/>
      <c r="T144" s="34"/>
      <c r="U144" s="34"/>
      <c r="V144" s="34"/>
      <c r="W144" s="34"/>
      <c r="X144" s="34"/>
      <c r="Y144" s="34"/>
      <c r="Z144" s="34"/>
    </row>
    <row r="145" spans="1:26" ht="12.75" customHeight="1">
      <c r="A145" s="34"/>
      <c r="B145" s="95"/>
      <c r="C145" s="64"/>
      <c r="D145" s="64"/>
      <c r="E145" s="64"/>
      <c r="F145" s="64"/>
      <c r="G145" s="64"/>
      <c r="H145" s="64"/>
      <c r="I145" s="64"/>
      <c r="J145" s="64"/>
      <c r="K145" s="64"/>
      <c r="L145" s="96"/>
      <c r="M145" s="34"/>
      <c r="N145" s="34"/>
      <c r="O145" s="34"/>
      <c r="P145" s="34"/>
      <c r="Q145" s="34"/>
      <c r="R145" s="34"/>
      <c r="S145" s="34"/>
      <c r="T145" s="34"/>
      <c r="U145" s="34"/>
      <c r="V145" s="34"/>
      <c r="W145" s="34"/>
      <c r="X145" s="34"/>
      <c r="Y145" s="34"/>
      <c r="Z145" s="34"/>
    </row>
    <row r="146" spans="1:26" ht="12.75" customHeight="1">
      <c r="A146" s="34"/>
      <c r="B146" s="95"/>
      <c r="C146" s="64"/>
      <c r="D146" s="64"/>
      <c r="E146" s="64"/>
      <c r="F146" s="64"/>
      <c r="G146" s="64"/>
      <c r="H146" s="64"/>
      <c r="I146" s="64"/>
      <c r="J146" s="64"/>
      <c r="K146" s="64"/>
      <c r="L146" s="96"/>
      <c r="M146" s="34"/>
      <c r="N146" s="34"/>
      <c r="O146" s="34"/>
      <c r="P146" s="34"/>
      <c r="Q146" s="34"/>
      <c r="R146" s="34"/>
      <c r="S146" s="34"/>
      <c r="T146" s="34"/>
      <c r="U146" s="34"/>
      <c r="V146" s="34"/>
      <c r="W146" s="34"/>
      <c r="X146" s="34"/>
      <c r="Y146" s="34"/>
      <c r="Z146" s="34"/>
    </row>
    <row r="147" spans="1:26" ht="12.75" customHeight="1">
      <c r="A147" s="34"/>
      <c r="B147" s="95"/>
      <c r="C147" s="64"/>
      <c r="D147" s="64"/>
      <c r="E147" s="64"/>
      <c r="F147" s="64"/>
      <c r="G147" s="64"/>
      <c r="H147" s="64"/>
      <c r="I147" s="64"/>
      <c r="J147" s="64"/>
      <c r="K147" s="64"/>
      <c r="L147" s="96"/>
      <c r="M147" s="34"/>
      <c r="N147" s="34"/>
      <c r="O147" s="34"/>
      <c r="P147" s="34"/>
      <c r="Q147" s="34"/>
      <c r="R147" s="34"/>
      <c r="S147" s="34"/>
      <c r="T147" s="34"/>
      <c r="U147" s="34"/>
      <c r="V147" s="34"/>
      <c r="W147" s="34"/>
      <c r="X147" s="34"/>
      <c r="Y147" s="34"/>
      <c r="Z147" s="34"/>
    </row>
    <row r="148" spans="1:26" ht="12.75" customHeight="1">
      <c r="A148" s="34"/>
      <c r="B148" s="95"/>
      <c r="C148" s="64"/>
      <c r="D148" s="64"/>
      <c r="E148" s="64"/>
      <c r="F148" s="64"/>
      <c r="G148" s="64"/>
      <c r="H148" s="64"/>
      <c r="I148" s="64"/>
      <c r="J148" s="64"/>
      <c r="K148" s="64"/>
      <c r="L148" s="96"/>
      <c r="M148" s="34"/>
      <c r="N148" s="34"/>
      <c r="O148" s="34"/>
      <c r="P148" s="34"/>
      <c r="Q148" s="34"/>
      <c r="R148" s="34"/>
      <c r="S148" s="34"/>
      <c r="T148" s="34"/>
      <c r="U148" s="34"/>
      <c r="V148" s="34"/>
      <c r="W148" s="34"/>
      <c r="X148" s="34"/>
      <c r="Y148" s="34"/>
      <c r="Z148" s="34"/>
    </row>
    <row r="149" spans="1:26" ht="12.75" customHeight="1">
      <c r="A149" s="34"/>
      <c r="B149" s="95"/>
      <c r="C149" s="64"/>
      <c r="D149" s="64"/>
      <c r="E149" s="64"/>
      <c r="F149" s="64"/>
      <c r="G149" s="64"/>
      <c r="H149" s="64"/>
      <c r="I149" s="64"/>
      <c r="J149" s="64"/>
      <c r="K149" s="64"/>
      <c r="L149" s="96"/>
      <c r="M149" s="34"/>
      <c r="N149" s="34"/>
      <c r="O149" s="34"/>
      <c r="P149" s="34"/>
      <c r="Q149" s="34"/>
      <c r="R149" s="34"/>
      <c r="S149" s="34"/>
      <c r="T149" s="34"/>
      <c r="U149" s="34"/>
      <c r="V149" s="34"/>
      <c r="W149" s="34"/>
      <c r="X149" s="34"/>
      <c r="Y149" s="34"/>
      <c r="Z149" s="34"/>
    </row>
    <row r="150" spans="1:26" ht="12.75" customHeight="1">
      <c r="A150" s="34"/>
      <c r="B150" s="95"/>
      <c r="C150" s="64"/>
      <c r="D150" s="64"/>
      <c r="E150" s="64"/>
      <c r="F150" s="64"/>
      <c r="G150" s="64"/>
      <c r="H150" s="64"/>
      <c r="I150" s="64"/>
      <c r="J150" s="64"/>
      <c r="K150" s="64"/>
      <c r="L150" s="96"/>
      <c r="M150" s="34"/>
      <c r="N150" s="34"/>
      <c r="O150" s="34"/>
      <c r="P150" s="34"/>
      <c r="Q150" s="34"/>
      <c r="R150" s="34"/>
      <c r="S150" s="34"/>
      <c r="T150" s="34"/>
      <c r="U150" s="34"/>
      <c r="V150" s="34"/>
      <c r="W150" s="34"/>
      <c r="X150" s="34"/>
      <c r="Y150" s="34"/>
      <c r="Z150" s="34"/>
    </row>
    <row r="151" spans="1:26" ht="12.75" customHeight="1">
      <c r="A151" s="34"/>
      <c r="B151" s="95"/>
      <c r="C151" s="64"/>
      <c r="D151" s="64"/>
      <c r="E151" s="64"/>
      <c r="F151" s="64"/>
      <c r="G151" s="64"/>
      <c r="H151" s="64"/>
      <c r="I151" s="64"/>
      <c r="J151" s="64"/>
      <c r="K151" s="64"/>
      <c r="L151" s="96"/>
      <c r="M151" s="34"/>
      <c r="N151" s="34"/>
      <c r="O151" s="34"/>
      <c r="P151" s="34"/>
      <c r="Q151" s="34"/>
      <c r="R151" s="34"/>
      <c r="S151" s="34"/>
      <c r="T151" s="34"/>
      <c r="U151" s="34"/>
      <c r="V151" s="34"/>
      <c r="W151" s="34"/>
      <c r="X151" s="34"/>
      <c r="Y151" s="34"/>
      <c r="Z151" s="34"/>
    </row>
    <row r="152" spans="1:26" ht="12.75" customHeight="1">
      <c r="A152" s="34"/>
      <c r="B152" s="95"/>
      <c r="C152" s="64"/>
      <c r="D152" s="64"/>
      <c r="E152" s="64"/>
      <c r="F152" s="64"/>
      <c r="G152" s="64"/>
      <c r="H152" s="64"/>
      <c r="I152" s="64"/>
      <c r="J152" s="64"/>
      <c r="K152" s="64"/>
      <c r="L152" s="96"/>
      <c r="M152" s="34"/>
      <c r="N152" s="34"/>
      <c r="O152" s="34"/>
      <c r="P152" s="34"/>
      <c r="Q152" s="34"/>
      <c r="R152" s="34"/>
      <c r="S152" s="34"/>
      <c r="T152" s="34"/>
      <c r="U152" s="34"/>
      <c r="V152" s="34"/>
      <c r="W152" s="34"/>
      <c r="X152" s="34"/>
      <c r="Y152" s="34"/>
      <c r="Z152" s="34"/>
    </row>
    <row r="153" spans="1:26" ht="12.75" customHeight="1">
      <c r="A153" s="34"/>
      <c r="B153" s="95"/>
      <c r="C153" s="64"/>
      <c r="D153" s="64"/>
      <c r="E153" s="64"/>
      <c r="F153" s="64"/>
      <c r="G153" s="64"/>
      <c r="H153" s="64"/>
      <c r="I153" s="64"/>
      <c r="J153" s="64"/>
      <c r="K153" s="64"/>
      <c r="L153" s="96"/>
      <c r="M153" s="34"/>
      <c r="N153" s="34"/>
      <c r="O153" s="34"/>
      <c r="P153" s="34"/>
      <c r="Q153" s="34"/>
      <c r="R153" s="34"/>
      <c r="S153" s="34"/>
      <c r="T153" s="34"/>
      <c r="U153" s="34"/>
      <c r="V153" s="34"/>
      <c r="W153" s="34"/>
      <c r="X153" s="34"/>
      <c r="Y153" s="34"/>
      <c r="Z153" s="34"/>
    </row>
    <row r="154" spans="1:26" ht="12.75" customHeight="1">
      <c r="A154" s="34"/>
      <c r="B154" s="95"/>
      <c r="C154" s="64"/>
      <c r="D154" s="64"/>
      <c r="E154" s="64"/>
      <c r="F154" s="64"/>
      <c r="G154" s="64"/>
      <c r="H154" s="64"/>
      <c r="I154" s="64"/>
      <c r="J154" s="64"/>
      <c r="K154" s="64"/>
      <c r="L154" s="96"/>
      <c r="M154" s="34"/>
      <c r="N154" s="34"/>
      <c r="O154" s="34"/>
      <c r="P154" s="34"/>
      <c r="Q154" s="34"/>
      <c r="R154" s="34"/>
      <c r="S154" s="34"/>
      <c r="T154" s="34"/>
      <c r="U154" s="34"/>
      <c r="V154" s="34"/>
      <c r="W154" s="34"/>
      <c r="X154" s="34"/>
      <c r="Y154" s="34"/>
      <c r="Z154" s="34"/>
    </row>
    <row r="155" spans="1:26" ht="12.75" customHeight="1">
      <c r="A155" s="34"/>
      <c r="B155" s="95"/>
      <c r="C155" s="64"/>
      <c r="D155" s="64"/>
      <c r="E155" s="64"/>
      <c r="F155" s="64"/>
      <c r="G155" s="64"/>
      <c r="H155" s="64"/>
      <c r="I155" s="64"/>
      <c r="J155" s="64"/>
      <c r="K155" s="64"/>
      <c r="L155" s="96"/>
      <c r="M155" s="34"/>
      <c r="N155" s="34"/>
      <c r="O155" s="34"/>
      <c r="P155" s="34"/>
      <c r="Q155" s="34"/>
      <c r="R155" s="34"/>
      <c r="S155" s="34"/>
      <c r="T155" s="34"/>
      <c r="U155" s="34"/>
      <c r="V155" s="34"/>
      <c r="W155" s="34"/>
      <c r="X155" s="34"/>
      <c r="Y155" s="34"/>
      <c r="Z155" s="34"/>
    </row>
    <row r="156" spans="1:26" ht="12.75" customHeight="1">
      <c r="A156" s="34"/>
      <c r="B156" s="95"/>
      <c r="C156" s="64"/>
      <c r="D156" s="64"/>
      <c r="E156" s="64"/>
      <c r="F156" s="64"/>
      <c r="G156" s="64"/>
      <c r="H156" s="64"/>
      <c r="I156" s="64"/>
      <c r="J156" s="64"/>
      <c r="K156" s="64"/>
      <c r="L156" s="96"/>
      <c r="M156" s="34"/>
      <c r="N156" s="34"/>
      <c r="O156" s="34"/>
      <c r="P156" s="34"/>
      <c r="Q156" s="34"/>
      <c r="R156" s="34"/>
      <c r="S156" s="34"/>
      <c r="T156" s="34"/>
      <c r="U156" s="34"/>
      <c r="V156" s="34"/>
      <c r="W156" s="34"/>
      <c r="X156" s="34"/>
      <c r="Y156" s="34"/>
      <c r="Z156" s="34"/>
    </row>
    <row r="157" spans="1:26" ht="12.75" customHeight="1">
      <c r="A157" s="34"/>
      <c r="B157" s="95"/>
      <c r="C157" s="64"/>
      <c r="D157" s="64"/>
      <c r="E157" s="64"/>
      <c r="F157" s="64"/>
      <c r="G157" s="64"/>
      <c r="H157" s="64"/>
      <c r="I157" s="64"/>
      <c r="J157" s="64"/>
      <c r="K157" s="64"/>
      <c r="L157" s="96"/>
      <c r="M157" s="34"/>
      <c r="N157" s="34"/>
      <c r="O157" s="34"/>
      <c r="P157" s="34"/>
      <c r="Q157" s="34"/>
      <c r="R157" s="34"/>
      <c r="S157" s="34"/>
      <c r="T157" s="34"/>
      <c r="U157" s="34"/>
      <c r="V157" s="34"/>
      <c r="W157" s="34"/>
      <c r="X157" s="34"/>
      <c r="Y157" s="34"/>
      <c r="Z157" s="34"/>
    </row>
    <row r="158" spans="1:26" ht="12.75" customHeight="1">
      <c r="A158" s="34"/>
      <c r="B158" s="95"/>
      <c r="C158" s="64"/>
      <c r="D158" s="64"/>
      <c r="E158" s="64"/>
      <c r="F158" s="64"/>
      <c r="G158" s="64"/>
      <c r="H158" s="64"/>
      <c r="I158" s="64"/>
      <c r="J158" s="64"/>
      <c r="K158" s="64"/>
      <c r="L158" s="96"/>
      <c r="M158" s="34"/>
      <c r="N158" s="34"/>
      <c r="O158" s="34"/>
      <c r="P158" s="34"/>
      <c r="Q158" s="34"/>
      <c r="R158" s="34"/>
      <c r="S158" s="34"/>
      <c r="T158" s="34"/>
      <c r="U158" s="34"/>
      <c r="V158" s="34"/>
      <c r="W158" s="34"/>
      <c r="X158" s="34"/>
      <c r="Y158" s="34"/>
      <c r="Z158" s="34"/>
    </row>
    <row r="159" spans="1:26" ht="12.75" customHeight="1">
      <c r="A159" s="34"/>
      <c r="B159" s="95"/>
      <c r="C159" s="64"/>
      <c r="D159" s="64"/>
      <c r="E159" s="64"/>
      <c r="F159" s="64"/>
      <c r="G159" s="64"/>
      <c r="H159" s="64"/>
      <c r="I159" s="64"/>
      <c r="J159" s="64"/>
      <c r="K159" s="64"/>
      <c r="L159" s="96"/>
      <c r="M159" s="34"/>
      <c r="N159" s="34"/>
      <c r="O159" s="34"/>
      <c r="P159" s="34"/>
      <c r="Q159" s="34"/>
      <c r="R159" s="34"/>
      <c r="S159" s="34"/>
      <c r="T159" s="34"/>
      <c r="U159" s="34"/>
      <c r="V159" s="34"/>
      <c r="W159" s="34"/>
      <c r="X159" s="34"/>
      <c r="Y159" s="34"/>
      <c r="Z159" s="34"/>
    </row>
    <row r="160" spans="1:26" ht="12.75" customHeight="1">
      <c r="A160" s="34"/>
      <c r="B160" s="95"/>
      <c r="C160" s="64"/>
      <c r="D160" s="64"/>
      <c r="E160" s="64"/>
      <c r="F160" s="64"/>
      <c r="G160" s="64"/>
      <c r="H160" s="64"/>
      <c r="I160" s="64"/>
      <c r="J160" s="64"/>
      <c r="K160" s="64"/>
      <c r="L160" s="96"/>
      <c r="M160" s="34"/>
      <c r="N160" s="34"/>
      <c r="O160" s="34"/>
      <c r="P160" s="34"/>
      <c r="Q160" s="34"/>
      <c r="R160" s="34"/>
      <c r="S160" s="34"/>
      <c r="T160" s="34"/>
      <c r="U160" s="34"/>
      <c r="V160" s="34"/>
      <c r="W160" s="34"/>
      <c r="X160" s="34"/>
      <c r="Y160" s="34"/>
      <c r="Z160" s="34"/>
    </row>
    <row r="161" spans="1:26" ht="12.75" customHeight="1">
      <c r="A161" s="34"/>
      <c r="B161" s="95"/>
      <c r="C161" s="64"/>
      <c r="D161" s="64"/>
      <c r="E161" s="64"/>
      <c r="F161" s="64"/>
      <c r="G161" s="64"/>
      <c r="H161" s="64"/>
      <c r="I161" s="64"/>
      <c r="J161" s="64"/>
      <c r="K161" s="64"/>
      <c r="L161" s="96"/>
      <c r="M161" s="34"/>
      <c r="N161" s="34"/>
      <c r="O161" s="34"/>
      <c r="P161" s="34"/>
      <c r="Q161" s="34"/>
      <c r="R161" s="34"/>
      <c r="S161" s="34"/>
      <c r="T161" s="34"/>
      <c r="U161" s="34"/>
      <c r="V161" s="34"/>
      <c r="W161" s="34"/>
      <c r="X161" s="34"/>
      <c r="Y161" s="34"/>
      <c r="Z161" s="34"/>
    </row>
    <row r="162" spans="1:26" ht="12.75" customHeight="1">
      <c r="A162" s="34"/>
      <c r="B162" s="95"/>
      <c r="C162" s="64"/>
      <c r="D162" s="64"/>
      <c r="E162" s="64"/>
      <c r="F162" s="64"/>
      <c r="G162" s="64"/>
      <c r="H162" s="64"/>
      <c r="I162" s="64"/>
      <c r="J162" s="64"/>
      <c r="K162" s="64"/>
      <c r="L162" s="96"/>
      <c r="M162" s="34"/>
      <c r="N162" s="34"/>
      <c r="O162" s="34"/>
      <c r="P162" s="34"/>
      <c r="Q162" s="34"/>
      <c r="R162" s="34"/>
      <c r="S162" s="34"/>
      <c r="T162" s="34"/>
      <c r="U162" s="34"/>
      <c r="V162" s="34"/>
      <c r="W162" s="34"/>
      <c r="X162" s="34"/>
      <c r="Y162" s="34"/>
      <c r="Z162" s="34"/>
    </row>
    <row r="163" spans="1:26" ht="12.75" customHeight="1">
      <c r="A163" s="34"/>
      <c r="B163" s="95"/>
      <c r="C163" s="64"/>
      <c r="D163" s="64"/>
      <c r="E163" s="64"/>
      <c r="F163" s="64"/>
      <c r="G163" s="64"/>
      <c r="H163" s="64"/>
      <c r="I163" s="64"/>
      <c r="J163" s="64"/>
      <c r="K163" s="64"/>
      <c r="L163" s="96"/>
      <c r="M163" s="34"/>
      <c r="N163" s="34"/>
      <c r="O163" s="34"/>
      <c r="P163" s="34"/>
      <c r="Q163" s="34"/>
      <c r="R163" s="34"/>
      <c r="S163" s="34"/>
      <c r="T163" s="34"/>
      <c r="U163" s="34"/>
      <c r="V163" s="34"/>
      <c r="W163" s="34"/>
      <c r="X163" s="34"/>
      <c r="Y163" s="34"/>
      <c r="Z163" s="34"/>
    </row>
    <row r="164" spans="1:26" ht="12.75" customHeight="1">
      <c r="A164" s="34"/>
      <c r="B164" s="95"/>
      <c r="C164" s="64"/>
      <c r="D164" s="64"/>
      <c r="E164" s="64"/>
      <c r="F164" s="64"/>
      <c r="G164" s="64"/>
      <c r="H164" s="64"/>
      <c r="I164" s="64"/>
      <c r="J164" s="64"/>
      <c r="K164" s="64"/>
      <c r="L164" s="96"/>
      <c r="M164" s="34"/>
      <c r="N164" s="34"/>
      <c r="O164" s="34"/>
      <c r="P164" s="34"/>
      <c r="Q164" s="34"/>
      <c r="R164" s="34"/>
      <c r="S164" s="34"/>
      <c r="T164" s="34"/>
      <c r="U164" s="34"/>
      <c r="V164" s="34"/>
      <c r="W164" s="34"/>
      <c r="X164" s="34"/>
      <c r="Y164" s="34"/>
      <c r="Z164" s="34"/>
    </row>
    <row r="165" spans="1:26" ht="12.75" customHeight="1">
      <c r="A165" s="34"/>
      <c r="B165" s="95"/>
      <c r="C165" s="64"/>
      <c r="D165" s="64"/>
      <c r="E165" s="64"/>
      <c r="F165" s="64"/>
      <c r="G165" s="64"/>
      <c r="H165" s="64"/>
      <c r="I165" s="64"/>
      <c r="J165" s="64"/>
      <c r="K165" s="64"/>
      <c r="L165" s="96"/>
      <c r="M165" s="34"/>
      <c r="N165" s="34"/>
      <c r="O165" s="34"/>
      <c r="P165" s="34"/>
      <c r="Q165" s="34"/>
      <c r="R165" s="34"/>
      <c r="S165" s="34"/>
      <c r="T165" s="34"/>
      <c r="U165" s="34"/>
      <c r="V165" s="34"/>
      <c r="W165" s="34"/>
      <c r="X165" s="34"/>
      <c r="Y165" s="34"/>
      <c r="Z165" s="34"/>
    </row>
    <row r="166" spans="1:26" ht="12.75" customHeight="1">
      <c r="A166" s="34"/>
      <c r="B166" s="95"/>
      <c r="C166" s="64"/>
      <c r="D166" s="64"/>
      <c r="E166" s="64"/>
      <c r="F166" s="64"/>
      <c r="G166" s="64"/>
      <c r="H166" s="64"/>
      <c r="I166" s="64"/>
      <c r="J166" s="64"/>
      <c r="K166" s="64"/>
      <c r="L166" s="96"/>
      <c r="M166" s="34"/>
      <c r="N166" s="34"/>
      <c r="O166" s="34"/>
      <c r="P166" s="34"/>
      <c r="Q166" s="34"/>
      <c r="R166" s="34"/>
      <c r="S166" s="34"/>
      <c r="T166" s="34"/>
      <c r="U166" s="34"/>
      <c r="V166" s="34"/>
      <c r="W166" s="34"/>
      <c r="X166" s="34"/>
      <c r="Y166" s="34"/>
      <c r="Z166" s="34"/>
    </row>
    <row r="167" spans="1:26" ht="12.75" customHeight="1">
      <c r="A167" s="34"/>
      <c r="B167" s="95"/>
      <c r="C167" s="64"/>
      <c r="D167" s="64"/>
      <c r="E167" s="64"/>
      <c r="F167" s="64"/>
      <c r="G167" s="64"/>
      <c r="H167" s="64"/>
      <c r="I167" s="64"/>
      <c r="J167" s="64"/>
      <c r="K167" s="64"/>
      <c r="L167" s="96"/>
      <c r="M167" s="34"/>
      <c r="N167" s="34"/>
      <c r="O167" s="34"/>
      <c r="P167" s="34"/>
      <c r="Q167" s="34"/>
      <c r="R167" s="34"/>
      <c r="S167" s="34"/>
      <c r="T167" s="34"/>
      <c r="U167" s="34"/>
      <c r="V167" s="34"/>
      <c r="W167" s="34"/>
      <c r="X167" s="34"/>
      <c r="Y167" s="34"/>
      <c r="Z167" s="34"/>
    </row>
    <row r="168" spans="1:26" ht="12.75" customHeight="1">
      <c r="A168" s="34"/>
      <c r="B168" s="95"/>
      <c r="C168" s="64"/>
      <c r="D168" s="64"/>
      <c r="E168" s="64"/>
      <c r="F168" s="64"/>
      <c r="G168" s="64"/>
      <c r="H168" s="64"/>
      <c r="I168" s="64"/>
      <c r="J168" s="64"/>
      <c r="K168" s="64"/>
      <c r="L168" s="96"/>
      <c r="M168" s="34"/>
      <c r="N168" s="34"/>
      <c r="O168" s="34"/>
      <c r="P168" s="34"/>
      <c r="Q168" s="34"/>
      <c r="R168" s="34"/>
      <c r="S168" s="34"/>
      <c r="T168" s="34"/>
      <c r="U168" s="34"/>
      <c r="V168" s="34"/>
      <c r="W168" s="34"/>
      <c r="X168" s="34"/>
      <c r="Y168" s="34"/>
      <c r="Z168" s="34"/>
    </row>
    <row r="169" spans="1:26" ht="12.75" customHeight="1">
      <c r="A169" s="34"/>
      <c r="B169" s="95"/>
      <c r="C169" s="64"/>
      <c r="D169" s="64"/>
      <c r="E169" s="64"/>
      <c r="F169" s="64"/>
      <c r="G169" s="64"/>
      <c r="H169" s="64"/>
      <c r="I169" s="64"/>
      <c r="J169" s="64"/>
      <c r="K169" s="64"/>
      <c r="L169" s="96"/>
      <c r="M169" s="34"/>
      <c r="N169" s="34"/>
      <c r="O169" s="34"/>
      <c r="P169" s="34"/>
      <c r="Q169" s="34"/>
      <c r="R169" s="34"/>
      <c r="S169" s="34"/>
      <c r="T169" s="34"/>
      <c r="U169" s="34"/>
      <c r="V169" s="34"/>
      <c r="W169" s="34"/>
      <c r="X169" s="34"/>
      <c r="Y169" s="34"/>
      <c r="Z169" s="34"/>
    </row>
    <row r="170" spans="1:26" ht="12.75" customHeight="1">
      <c r="A170" s="34"/>
      <c r="B170" s="95"/>
      <c r="C170" s="64"/>
      <c r="D170" s="64"/>
      <c r="E170" s="64"/>
      <c r="F170" s="64"/>
      <c r="G170" s="64"/>
      <c r="H170" s="64"/>
      <c r="I170" s="64"/>
      <c r="J170" s="64"/>
      <c r="K170" s="64"/>
      <c r="L170" s="96"/>
      <c r="M170" s="34"/>
      <c r="N170" s="34"/>
      <c r="O170" s="34"/>
      <c r="P170" s="34"/>
      <c r="Q170" s="34"/>
      <c r="R170" s="34"/>
      <c r="S170" s="34"/>
      <c r="T170" s="34"/>
      <c r="U170" s="34"/>
      <c r="V170" s="34"/>
      <c r="W170" s="34"/>
      <c r="X170" s="34"/>
      <c r="Y170" s="34"/>
      <c r="Z170" s="34"/>
    </row>
    <row r="171" spans="1:26" ht="12.75" customHeight="1">
      <c r="A171" s="34"/>
      <c r="B171" s="95"/>
      <c r="C171" s="64"/>
      <c r="D171" s="64"/>
      <c r="E171" s="64"/>
      <c r="F171" s="64"/>
      <c r="G171" s="64"/>
      <c r="H171" s="64"/>
      <c r="I171" s="64"/>
      <c r="J171" s="64"/>
      <c r="K171" s="64"/>
      <c r="L171" s="96"/>
      <c r="M171" s="34"/>
      <c r="N171" s="34"/>
      <c r="O171" s="34"/>
      <c r="P171" s="34"/>
      <c r="Q171" s="34"/>
      <c r="R171" s="34"/>
      <c r="S171" s="34"/>
      <c r="T171" s="34"/>
      <c r="U171" s="34"/>
      <c r="V171" s="34"/>
      <c r="W171" s="34"/>
      <c r="X171" s="34"/>
      <c r="Y171" s="34"/>
      <c r="Z171" s="34"/>
    </row>
    <row r="172" spans="1:26" ht="12.75" customHeight="1">
      <c r="A172" s="34"/>
      <c r="B172" s="95"/>
      <c r="C172" s="64"/>
      <c r="D172" s="64"/>
      <c r="E172" s="64"/>
      <c r="F172" s="64"/>
      <c r="G172" s="64"/>
      <c r="H172" s="64"/>
      <c r="I172" s="64"/>
      <c r="J172" s="64"/>
      <c r="K172" s="64"/>
      <c r="L172" s="96"/>
      <c r="M172" s="34"/>
      <c r="N172" s="34"/>
      <c r="O172" s="34"/>
      <c r="P172" s="34"/>
      <c r="Q172" s="34"/>
      <c r="R172" s="34"/>
      <c r="S172" s="34"/>
      <c r="T172" s="34"/>
      <c r="U172" s="34"/>
      <c r="V172" s="34"/>
      <c r="W172" s="34"/>
      <c r="X172" s="34"/>
      <c r="Y172" s="34"/>
      <c r="Z172" s="34"/>
    </row>
    <row r="173" spans="1:26" ht="12.75" customHeight="1">
      <c r="A173" s="34"/>
      <c r="B173" s="95"/>
      <c r="C173" s="64"/>
      <c r="D173" s="64"/>
      <c r="E173" s="64"/>
      <c r="F173" s="64"/>
      <c r="G173" s="64"/>
      <c r="H173" s="64"/>
      <c r="I173" s="64"/>
      <c r="J173" s="64"/>
      <c r="K173" s="64"/>
      <c r="L173" s="96"/>
      <c r="M173" s="34"/>
      <c r="N173" s="34"/>
      <c r="O173" s="34"/>
      <c r="P173" s="34"/>
      <c r="Q173" s="34"/>
      <c r="R173" s="34"/>
      <c r="S173" s="34"/>
      <c r="T173" s="34"/>
      <c r="U173" s="34"/>
      <c r="V173" s="34"/>
      <c r="W173" s="34"/>
      <c r="X173" s="34"/>
      <c r="Y173" s="34"/>
      <c r="Z173" s="34"/>
    </row>
    <row r="174" spans="1:26" ht="12.75" customHeight="1">
      <c r="A174" s="34"/>
      <c r="B174" s="95"/>
      <c r="C174" s="64"/>
      <c r="D174" s="64"/>
      <c r="E174" s="64"/>
      <c r="F174" s="64"/>
      <c r="G174" s="64"/>
      <c r="H174" s="64"/>
      <c r="I174" s="64"/>
      <c r="J174" s="64"/>
      <c r="K174" s="64"/>
      <c r="L174" s="96"/>
      <c r="M174" s="34"/>
      <c r="N174" s="34"/>
      <c r="O174" s="34"/>
      <c r="P174" s="34"/>
      <c r="Q174" s="34"/>
      <c r="R174" s="34"/>
      <c r="S174" s="34"/>
      <c r="T174" s="34"/>
      <c r="U174" s="34"/>
      <c r="V174" s="34"/>
      <c r="W174" s="34"/>
      <c r="X174" s="34"/>
      <c r="Y174" s="34"/>
      <c r="Z174" s="34"/>
    </row>
    <row r="175" spans="1:26" ht="12.75" customHeight="1">
      <c r="A175" s="34"/>
      <c r="B175" s="95"/>
      <c r="C175" s="64"/>
      <c r="D175" s="64"/>
      <c r="E175" s="64"/>
      <c r="F175" s="64"/>
      <c r="G175" s="64"/>
      <c r="H175" s="64"/>
      <c r="I175" s="64"/>
      <c r="J175" s="64"/>
      <c r="K175" s="64"/>
      <c r="L175" s="96"/>
      <c r="M175" s="34"/>
      <c r="N175" s="34"/>
      <c r="O175" s="34"/>
      <c r="P175" s="34"/>
      <c r="Q175" s="34"/>
      <c r="R175" s="34"/>
      <c r="S175" s="34"/>
      <c r="T175" s="34"/>
      <c r="U175" s="34"/>
      <c r="V175" s="34"/>
      <c r="W175" s="34"/>
      <c r="X175" s="34"/>
      <c r="Y175" s="34"/>
      <c r="Z175" s="34"/>
    </row>
    <row r="176" spans="1:26" ht="12.75" customHeight="1">
      <c r="A176" s="34"/>
      <c r="B176" s="95"/>
      <c r="C176" s="64"/>
      <c r="D176" s="64"/>
      <c r="E176" s="64"/>
      <c r="F176" s="64"/>
      <c r="G176" s="64"/>
      <c r="H176" s="64"/>
      <c r="I176" s="64"/>
      <c r="J176" s="64"/>
      <c r="K176" s="64"/>
      <c r="L176" s="96"/>
      <c r="M176" s="34"/>
      <c r="N176" s="34"/>
      <c r="O176" s="34"/>
      <c r="P176" s="34"/>
      <c r="Q176" s="34"/>
      <c r="R176" s="34"/>
      <c r="S176" s="34"/>
      <c r="T176" s="34"/>
      <c r="U176" s="34"/>
      <c r="V176" s="34"/>
      <c r="W176" s="34"/>
      <c r="X176" s="34"/>
      <c r="Y176" s="34"/>
      <c r="Z176" s="34"/>
    </row>
    <row r="177" spans="1:26" ht="12.75" customHeight="1">
      <c r="A177" s="34"/>
      <c r="B177" s="95"/>
      <c r="C177" s="64"/>
      <c r="D177" s="64"/>
      <c r="E177" s="64"/>
      <c r="F177" s="64"/>
      <c r="G177" s="64"/>
      <c r="H177" s="64"/>
      <c r="I177" s="64"/>
      <c r="J177" s="64"/>
      <c r="K177" s="64"/>
      <c r="L177" s="96"/>
      <c r="M177" s="34"/>
      <c r="N177" s="34"/>
      <c r="O177" s="34"/>
      <c r="P177" s="34"/>
      <c r="Q177" s="34"/>
      <c r="R177" s="34"/>
      <c r="S177" s="34"/>
      <c r="T177" s="34"/>
      <c r="U177" s="34"/>
      <c r="V177" s="34"/>
      <c r="W177" s="34"/>
      <c r="X177" s="34"/>
      <c r="Y177" s="34"/>
      <c r="Z177" s="34"/>
    </row>
    <row r="178" spans="1:26" ht="12.75" customHeight="1">
      <c r="A178" s="34"/>
      <c r="B178" s="95"/>
      <c r="C178" s="64"/>
      <c r="D178" s="64"/>
      <c r="E178" s="64"/>
      <c r="F178" s="64"/>
      <c r="G178" s="64"/>
      <c r="H178" s="64"/>
      <c r="I178" s="64"/>
      <c r="J178" s="64"/>
      <c r="K178" s="64"/>
      <c r="L178" s="96"/>
      <c r="M178" s="34"/>
      <c r="N178" s="34"/>
      <c r="O178" s="34"/>
      <c r="P178" s="34"/>
      <c r="Q178" s="34"/>
      <c r="R178" s="34"/>
      <c r="S178" s="34"/>
      <c r="T178" s="34"/>
      <c r="U178" s="34"/>
      <c r="V178" s="34"/>
      <c r="W178" s="34"/>
      <c r="X178" s="34"/>
      <c r="Y178" s="34"/>
      <c r="Z178" s="34"/>
    </row>
    <row r="179" spans="1:26" ht="12.75" customHeight="1">
      <c r="A179" s="34"/>
      <c r="B179" s="95"/>
      <c r="C179" s="64"/>
      <c r="D179" s="64"/>
      <c r="E179" s="64"/>
      <c r="F179" s="64"/>
      <c r="G179" s="64"/>
      <c r="H179" s="64"/>
      <c r="I179" s="64"/>
      <c r="J179" s="64"/>
      <c r="K179" s="64"/>
      <c r="L179" s="96"/>
      <c r="M179" s="34"/>
      <c r="N179" s="34"/>
      <c r="O179" s="34"/>
      <c r="P179" s="34"/>
      <c r="Q179" s="34"/>
      <c r="R179" s="34"/>
      <c r="S179" s="34"/>
      <c r="T179" s="34"/>
      <c r="U179" s="34"/>
      <c r="V179" s="34"/>
      <c r="W179" s="34"/>
      <c r="X179" s="34"/>
      <c r="Y179" s="34"/>
      <c r="Z179" s="34"/>
    </row>
    <row r="180" spans="1:26" ht="12.75" customHeight="1">
      <c r="A180" s="34"/>
      <c r="B180" s="95"/>
      <c r="C180" s="64"/>
      <c r="D180" s="64"/>
      <c r="E180" s="64"/>
      <c r="F180" s="64"/>
      <c r="G180" s="64"/>
      <c r="H180" s="64"/>
      <c r="I180" s="64"/>
      <c r="J180" s="64"/>
      <c r="K180" s="64"/>
      <c r="L180" s="96"/>
      <c r="M180" s="34"/>
      <c r="N180" s="34"/>
      <c r="O180" s="34"/>
      <c r="P180" s="34"/>
      <c r="Q180" s="34"/>
      <c r="R180" s="34"/>
      <c r="S180" s="34"/>
      <c r="T180" s="34"/>
      <c r="U180" s="34"/>
      <c r="V180" s="34"/>
      <c r="W180" s="34"/>
      <c r="X180" s="34"/>
      <c r="Y180" s="34"/>
      <c r="Z180" s="34"/>
    </row>
    <row r="181" spans="1:26" ht="12.75" customHeight="1">
      <c r="A181" s="34"/>
      <c r="B181" s="95"/>
      <c r="C181" s="64"/>
      <c r="D181" s="64"/>
      <c r="E181" s="64"/>
      <c r="F181" s="64"/>
      <c r="G181" s="64"/>
      <c r="H181" s="64"/>
      <c r="I181" s="64"/>
      <c r="J181" s="64"/>
      <c r="K181" s="64"/>
      <c r="L181" s="96"/>
      <c r="M181" s="34"/>
      <c r="N181" s="34"/>
      <c r="O181" s="34"/>
      <c r="P181" s="34"/>
      <c r="Q181" s="34"/>
      <c r="R181" s="34"/>
      <c r="S181" s="34"/>
      <c r="T181" s="34"/>
      <c r="U181" s="34"/>
      <c r="V181" s="34"/>
      <c r="W181" s="34"/>
      <c r="X181" s="34"/>
      <c r="Y181" s="34"/>
      <c r="Z181" s="34"/>
    </row>
    <row r="182" spans="1:26" ht="12.75" customHeight="1">
      <c r="A182" s="34"/>
      <c r="B182" s="95"/>
      <c r="C182" s="64"/>
      <c r="D182" s="64"/>
      <c r="E182" s="64"/>
      <c r="F182" s="64"/>
      <c r="G182" s="64"/>
      <c r="H182" s="64"/>
      <c r="I182" s="64"/>
      <c r="J182" s="64"/>
      <c r="K182" s="64"/>
      <c r="L182" s="96"/>
      <c r="M182" s="34"/>
      <c r="N182" s="34"/>
      <c r="O182" s="34"/>
      <c r="P182" s="34"/>
      <c r="Q182" s="34"/>
      <c r="R182" s="34"/>
      <c r="S182" s="34"/>
      <c r="T182" s="34"/>
      <c r="U182" s="34"/>
      <c r="V182" s="34"/>
      <c r="W182" s="34"/>
      <c r="X182" s="34"/>
      <c r="Y182" s="34"/>
      <c r="Z182" s="34"/>
    </row>
    <row r="183" spans="1:26" ht="12.75" customHeight="1">
      <c r="A183" s="34"/>
      <c r="B183" s="95"/>
      <c r="C183" s="64"/>
      <c r="D183" s="64"/>
      <c r="E183" s="64"/>
      <c r="F183" s="64"/>
      <c r="G183" s="64"/>
      <c r="H183" s="64"/>
      <c r="I183" s="64"/>
      <c r="J183" s="64"/>
      <c r="K183" s="64"/>
      <c r="L183" s="96"/>
      <c r="M183" s="34"/>
      <c r="N183" s="34"/>
      <c r="O183" s="34"/>
      <c r="P183" s="34"/>
      <c r="Q183" s="34"/>
      <c r="R183" s="34"/>
      <c r="S183" s="34"/>
      <c r="T183" s="34"/>
      <c r="U183" s="34"/>
      <c r="V183" s="34"/>
      <c r="W183" s="34"/>
      <c r="X183" s="34"/>
      <c r="Y183" s="34"/>
      <c r="Z183" s="34"/>
    </row>
    <row r="184" spans="1:26" ht="12.75" customHeight="1">
      <c r="A184" s="34"/>
      <c r="B184" s="95"/>
      <c r="C184" s="64"/>
      <c r="D184" s="64"/>
      <c r="E184" s="64"/>
      <c r="F184" s="64"/>
      <c r="G184" s="64"/>
      <c r="H184" s="64"/>
      <c r="I184" s="64"/>
      <c r="J184" s="64"/>
      <c r="K184" s="64"/>
      <c r="L184" s="96"/>
      <c r="M184" s="34"/>
      <c r="N184" s="34"/>
      <c r="O184" s="34"/>
      <c r="P184" s="34"/>
      <c r="Q184" s="34"/>
      <c r="R184" s="34"/>
      <c r="S184" s="34"/>
      <c r="T184" s="34"/>
      <c r="U184" s="34"/>
      <c r="V184" s="34"/>
      <c r="W184" s="34"/>
      <c r="X184" s="34"/>
      <c r="Y184" s="34"/>
      <c r="Z184" s="34"/>
    </row>
    <row r="185" spans="1:26" ht="12.75" customHeight="1">
      <c r="A185" s="34"/>
      <c r="B185" s="95"/>
      <c r="C185" s="64"/>
      <c r="D185" s="64"/>
      <c r="E185" s="64"/>
      <c r="F185" s="64"/>
      <c r="G185" s="64"/>
      <c r="H185" s="64"/>
      <c r="I185" s="64"/>
      <c r="J185" s="64"/>
      <c r="K185" s="64"/>
      <c r="L185" s="96"/>
      <c r="M185" s="34"/>
      <c r="N185" s="34"/>
      <c r="O185" s="34"/>
      <c r="P185" s="34"/>
      <c r="Q185" s="34"/>
      <c r="R185" s="34"/>
      <c r="S185" s="34"/>
      <c r="T185" s="34"/>
      <c r="U185" s="34"/>
      <c r="V185" s="34"/>
      <c r="W185" s="34"/>
      <c r="X185" s="34"/>
      <c r="Y185" s="34"/>
      <c r="Z185" s="34"/>
    </row>
    <row r="186" spans="1:26" ht="12.75" customHeight="1">
      <c r="A186" s="34"/>
      <c r="B186" s="95"/>
      <c r="C186" s="64"/>
      <c r="D186" s="64"/>
      <c r="E186" s="64"/>
      <c r="F186" s="64"/>
      <c r="G186" s="64"/>
      <c r="H186" s="64"/>
      <c r="I186" s="64"/>
      <c r="J186" s="64"/>
      <c r="K186" s="64"/>
      <c r="L186" s="96"/>
      <c r="M186" s="34"/>
      <c r="N186" s="34"/>
      <c r="O186" s="34"/>
      <c r="P186" s="34"/>
      <c r="Q186" s="34"/>
      <c r="R186" s="34"/>
      <c r="S186" s="34"/>
      <c r="T186" s="34"/>
      <c r="U186" s="34"/>
      <c r="V186" s="34"/>
      <c r="W186" s="34"/>
      <c r="X186" s="34"/>
      <c r="Y186" s="34"/>
      <c r="Z186" s="34"/>
    </row>
    <row r="187" spans="1:26" ht="12.75" customHeight="1">
      <c r="A187" s="34"/>
      <c r="B187" s="95"/>
      <c r="C187" s="64"/>
      <c r="D187" s="64"/>
      <c r="E187" s="64"/>
      <c r="F187" s="64"/>
      <c r="G187" s="64"/>
      <c r="H187" s="64"/>
      <c r="I187" s="64"/>
      <c r="J187" s="64"/>
      <c r="K187" s="64"/>
      <c r="L187" s="96"/>
      <c r="M187" s="34"/>
      <c r="N187" s="34"/>
      <c r="O187" s="34"/>
      <c r="P187" s="34"/>
      <c r="Q187" s="34"/>
      <c r="R187" s="34"/>
      <c r="S187" s="34"/>
      <c r="T187" s="34"/>
      <c r="U187" s="34"/>
      <c r="V187" s="34"/>
      <c r="W187" s="34"/>
      <c r="X187" s="34"/>
      <c r="Y187" s="34"/>
      <c r="Z187" s="34"/>
    </row>
    <row r="188" spans="1:26" ht="12.75" customHeight="1">
      <c r="A188" s="34"/>
      <c r="B188" s="95"/>
      <c r="C188" s="64"/>
      <c r="D188" s="64"/>
      <c r="E188" s="64"/>
      <c r="F188" s="64"/>
      <c r="G188" s="64"/>
      <c r="H188" s="64"/>
      <c r="I188" s="64"/>
      <c r="J188" s="64"/>
      <c r="K188" s="64"/>
      <c r="L188" s="96"/>
      <c r="M188" s="34"/>
      <c r="N188" s="34"/>
      <c r="O188" s="34"/>
      <c r="P188" s="34"/>
      <c r="Q188" s="34"/>
      <c r="R188" s="34"/>
      <c r="S188" s="34"/>
      <c r="T188" s="34"/>
      <c r="U188" s="34"/>
      <c r="V188" s="34"/>
      <c r="W188" s="34"/>
      <c r="X188" s="34"/>
      <c r="Y188" s="34"/>
      <c r="Z188" s="34"/>
    </row>
    <row r="189" spans="1:26" ht="12.75" customHeight="1">
      <c r="A189" s="34"/>
      <c r="B189" s="95"/>
      <c r="C189" s="64"/>
      <c r="D189" s="64"/>
      <c r="E189" s="64"/>
      <c r="F189" s="64"/>
      <c r="G189" s="64"/>
      <c r="H189" s="64"/>
      <c r="I189" s="64"/>
      <c r="J189" s="64"/>
      <c r="K189" s="64"/>
      <c r="L189" s="96"/>
      <c r="M189" s="34"/>
      <c r="N189" s="34"/>
      <c r="O189" s="34"/>
      <c r="P189" s="34"/>
      <c r="Q189" s="34"/>
      <c r="R189" s="34"/>
      <c r="S189" s="34"/>
      <c r="T189" s="34"/>
      <c r="U189" s="34"/>
      <c r="V189" s="34"/>
      <c r="W189" s="34"/>
      <c r="X189" s="34"/>
      <c r="Y189" s="34"/>
      <c r="Z189" s="34"/>
    </row>
    <row r="190" spans="1:26" ht="12.75" customHeight="1">
      <c r="A190" s="34"/>
      <c r="B190" s="95"/>
      <c r="C190" s="64"/>
      <c r="D190" s="64"/>
      <c r="E190" s="64"/>
      <c r="F190" s="64"/>
      <c r="G190" s="64"/>
      <c r="H190" s="64"/>
      <c r="I190" s="64"/>
      <c r="J190" s="64"/>
      <c r="K190" s="64"/>
      <c r="L190" s="96"/>
      <c r="M190" s="34"/>
      <c r="N190" s="34"/>
      <c r="O190" s="34"/>
      <c r="P190" s="34"/>
      <c r="Q190" s="34"/>
      <c r="R190" s="34"/>
      <c r="S190" s="34"/>
      <c r="T190" s="34"/>
      <c r="U190" s="34"/>
      <c r="V190" s="34"/>
      <c r="W190" s="34"/>
      <c r="X190" s="34"/>
      <c r="Y190" s="34"/>
      <c r="Z190" s="34"/>
    </row>
    <row r="191" spans="1:26" ht="12.75" customHeight="1">
      <c r="A191" s="34"/>
      <c r="B191" s="95"/>
      <c r="C191" s="64"/>
      <c r="D191" s="64"/>
      <c r="E191" s="64"/>
      <c r="F191" s="64"/>
      <c r="G191" s="64"/>
      <c r="H191" s="64"/>
      <c r="I191" s="64"/>
      <c r="J191" s="64"/>
      <c r="K191" s="64"/>
      <c r="L191" s="96"/>
      <c r="M191" s="34"/>
      <c r="N191" s="34"/>
      <c r="O191" s="34"/>
      <c r="P191" s="34"/>
      <c r="Q191" s="34"/>
      <c r="R191" s="34"/>
      <c r="S191" s="34"/>
      <c r="T191" s="34"/>
      <c r="U191" s="34"/>
      <c r="V191" s="34"/>
      <c r="W191" s="34"/>
      <c r="X191" s="34"/>
      <c r="Y191" s="34"/>
      <c r="Z191" s="34"/>
    </row>
    <row r="192" spans="1:26" ht="12.75" customHeight="1">
      <c r="A192" s="34"/>
      <c r="B192" s="95"/>
      <c r="C192" s="64"/>
      <c r="D192" s="64"/>
      <c r="E192" s="64"/>
      <c r="F192" s="64"/>
      <c r="G192" s="64"/>
      <c r="H192" s="64"/>
      <c r="I192" s="64"/>
      <c r="J192" s="64"/>
      <c r="K192" s="64"/>
      <c r="L192" s="96"/>
      <c r="M192" s="34"/>
      <c r="N192" s="34"/>
      <c r="O192" s="34"/>
      <c r="P192" s="34"/>
      <c r="Q192" s="34"/>
      <c r="R192" s="34"/>
      <c r="S192" s="34"/>
      <c r="T192" s="34"/>
      <c r="U192" s="34"/>
      <c r="V192" s="34"/>
      <c r="W192" s="34"/>
      <c r="X192" s="34"/>
      <c r="Y192" s="34"/>
      <c r="Z192" s="34"/>
    </row>
    <row r="193" spans="1:26" ht="12.75" customHeight="1">
      <c r="A193" s="34"/>
      <c r="B193" s="95"/>
      <c r="C193" s="64"/>
      <c r="D193" s="64"/>
      <c r="E193" s="64"/>
      <c r="F193" s="64"/>
      <c r="G193" s="64"/>
      <c r="H193" s="64"/>
      <c r="I193" s="64"/>
      <c r="J193" s="64"/>
      <c r="K193" s="64"/>
      <c r="L193" s="96"/>
      <c r="M193" s="34"/>
      <c r="N193" s="34"/>
      <c r="O193" s="34"/>
      <c r="P193" s="34"/>
      <c r="Q193" s="34"/>
      <c r="R193" s="34"/>
      <c r="S193" s="34"/>
      <c r="T193" s="34"/>
      <c r="U193" s="34"/>
      <c r="V193" s="34"/>
      <c r="W193" s="34"/>
      <c r="X193" s="34"/>
      <c r="Y193" s="34"/>
      <c r="Z193" s="34"/>
    </row>
    <row r="194" spans="1:26" ht="12.75" customHeight="1">
      <c r="A194" s="34"/>
      <c r="B194" s="95"/>
      <c r="C194" s="64"/>
      <c r="D194" s="64"/>
      <c r="E194" s="64"/>
      <c r="F194" s="64"/>
      <c r="G194" s="64"/>
      <c r="H194" s="64"/>
      <c r="I194" s="64"/>
      <c r="J194" s="64"/>
      <c r="K194" s="64"/>
      <c r="L194" s="96"/>
      <c r="M194" s="34"/>
      <c r="N194" s="34"/>
      <c r="O194" s="34"/>
      <c r="P194" s="34"/>
      <c r="Q194" s="34"/>
      <c r="R194" s="34"/>
      <c r="S194" s="34"/>
      <c r="T194" s="34"/>
      <c r="U194" s="34"/>
      <c r="V194" s="34"/>
      <c r="W194" s="34"/>
      <c r="X194" s="34"/>
      <c r="Y194" s="34"/>
      <c r="Z194" s="34"/>
    </row>
    <row r="195" spans="1:26" ht="12.75" customHeight="1">
      <c r="A195" s="34"/>
      <c r="B195" s="95"/>
      <c r="C195" s="64"/>
      <c r="D195" s="64"/>
      <c r="E195" s="64"/>
      <c r="F195" s="64"/>
      <c r="G195" s="64"/>
      <c r="H195" s="64"/>
      <c r="I195" s="64"/>
      <c r="J195" s="64"/>
      <c r="K195" s="64"/>
      <c r="L195" s="96"/>
      <c r="M195" s="34"/>
      <c r="N195" s="34"/>
      <c r="O195" s="34"/>
      <c r="P195" s="34"/>
      <c r="Q195" s="34"/>
      <c r="R195" s="34"/>
      <c r="S195" s="34"/>
      <c r="T195" s="34"/>
      <c r="U195" s="34"/>
      <c r="V195" s="34"/>
      <c r="W195" s="34"/>
      <c r="X195" s="34"/>
      <c r="Y195" s="34"/>
      <c r="Z195" s="34"/>
    </row>
    <row r="196" spans="1:26" ht="12.75" customHeight="1">
      <c r="A196" s="34"/>
      <c r="B196" s="95"/>
      <c r="C196" s="64"/>
      <c r="D196" s="64"/>
      <c r="E196" s="64"/>
      <c r="F196" s="64"/>
      <c r="G196" s="64"/>
      <c r="H196" s="64"/>
      <c r="I196" s="64"/>
      <c r="J196" s="64"/>
      <c r="K196" s="64"/>
      <c r="L196" s="96"/>
      <c r="M196" s="34"/>
      <c r="N196" s="34"/>
      <c r="O196" s="34"/>
      <c r="P196" s="34"/>
      <c r="Q196" s="34"/>
      <c r="R196" s="34"/>
      <c r="S196" s="34"/>
      <c r="T196" s="34"/>
      <c r="U196" s="34"/>
      <c r="V196" s="34"/>
      <c r="W196" s="34"/>
      <c r="X196" s="34"/>
      <c r="Y196" s="34"/>
      <c r="Z196" s="34"/>
    </row>
    <row r="197" spans="1:26" ht="12.75" customHeight="1">
      <c r="A197" s="34"/>
      <c r="B197" s="95"/>
      <c r="C197" s="64"/>
      <c r="D197" s="64"/>
      <c r="E197" s="64"/>
      <c r="F197" s="64"/>
      <c r="G197" s="64"/>
      <c r="H197" s="64"/>
      <c r="I197" s="64"/>
      <c r="J197" s="64"/>
      <c r="K197" s="64"/>
      <c r="L197" s="96"/>
      <c r="M197" s="34"/>
      <c r="N197" s="34"/>
      <c r="O197" s="34"/>
      <c r="P197" s="34"/>
      <c r="Q197" s="34"/>
      <c r="R197" s="34"/>
      <c r="S197" s="34"/>
      <c r="T197" s="34"/>
      <c r="U197" s="34"/>
      <c r="V197" s="34"/>
      <c r="W197" s="34"/>
      <c r="X197" s="34"/>
      <c r="Y197" s="34"/>
      <c r="Z197" s="34"/>
    </row>
    <row r="198" spans="1:26" ht="12.75" customHeight="1">
      <c r="A198" s="34"/>
      <c r="B198" s="100"/>
      <c r="C198" s="101"/>
      <c r="D198" s="101"/>
      <c r="E198" s="101"/>
      <c r="F198" s="101"/>
      <c r="G198" s="101"/>
      <c r="H198" s="101"/>
      <c r="I198" s="101"/>
      <c r="J198" s="101"/>
      <c r="K198" s="101"/>
      <c r="L198" s="150"/>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row r="201" spans="1:26" ht="12.75" customHeight="1"/>
    <row r="202" spans="1:26" ht="12.75" customHeight="1"/>
    <row r="203" spans="1:26" ht="12.75" customHeight="1"/>
    <row r="204" spans="1:26" ht="12.75" customHeight="1"/>
    <row r="205" spans="1:26" ht="12.75" customHeight="1"/>
    <row r="206" spans="1:26" ht="12.75" customHeight="1"/>
    <row r="207" spans="1:26" ht="12.75" customHeight="1"/>
    <row r="208" spans="1:26"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F22">
    <cfRule type="expression" dxfId="212" priority="1">
      <formula>AND(F22&lt;0.4*F23,F22&lt;1)</formula>
    </cfRule>
  </conditionalFormatting>
  <conditionalFormatting sqref="F23">
    <cfRule type="expression" dxfId="211" priority="2">
      <formula>AND(F23&lt;0.4*F22,F23&lt;1)</formula>
    </cfRule>
  </conditionalFormatting>
  <conditionalFormatting sqref="H29">
    <cfRule type="expression" dxfId="210" priority="3">
      <formula>AND($H$27 &gt;= 60, $H$27 &lt; 100)</formula>
    </cfRule>
    <cfRule type="cellIs" dxfId="209" priority="4" stopIfTrue="1" operator="notBetween">
      <formula>60</formula>
      <formula>100</formula>
    </cfRule>
  </conditionalFormatting>
  <conditionalFormatting sqref="H29:H30">
    <cfRule type="cellIs" dxfId="208" priority="5" stopIfTrue="1" operator="greaterThanOrEqual">
      <formula>100</formula>
    </cfRule>
  </conditionalFormatting>
  <conditionalFormatting sqref="H30">
    <cfRule type="cellIs" dxfId="207" priority="6" stopIfTrue="1" operator="lessThan">
      <formula>100</formula>
    </cfRule>
  </conditionalFormatting>
  <conditionalFormatting sqref="H31:H35 H37">
    <cfRule type="cellIs" dxfId="206" priority="7" stopIfTrue="1" operator="greaterThan">
      <formula>99.9</formula>
    </cfRule>
    <cfRule type="cellIs" dxfId="205" priority="8" stopIfTrue="1" operator="lessThan">
      <formula>99.9</formula>
    </cfRule>
  </conditionalFormatting>
  <conditionalFormatting sqref="H36">
    <cfRule type="expression" dxfId="204" priority="9">
      <formula>AND($H$34 &gt; 100, $H$34 &lt;= 166.667)</formula>
    </cfRule>
    <cfRule type="cellIs" dxfId="203" priority="10" stopIfTrue="1" operator="greaterThanOrEqual">
      <formula>166.667</formula>
    </cfRule>
    <cfRule type="cellIs" dxfId="202" priority="11" stopIfTrue="1" operator="lessThanOrEqual">
      <formula>100</formula>
    </cfRule>
  </conditionalFormatting>
  <conditionalFormatting sqref="H39:H43">
    <cfRule type="cellIs" dxfId="201" priority="12" operator="equal">
      <formula>"FAIL"</formula>
    </cfRule>
    <cfRule type="cellIs" dxfId="200" priority="13" operator="equal">
      <formula>"PASS"</formula>
    </cfRule>
  </conditionalFormatting>
  <dataValidations count="5">
    <dataValidation type="list" allowBlank="1" showErrorMessage="1" sqref="F2" xr:uid="{00000000-0002-0000-1600-000000000000}">
      <formula1>ConstructionType</formula1>
    </dataValidation>
    <dataValidation type="list" allowBlank="1" showErrorMessage="1" sqref="F5" xr:uid="{00000000-0002-0000-1600-000001000000}">
      <formula1>Material</formula1>
    </dataValidation>
    <dataValidation type="list" allowBlank="1" showInputMessage="1" showErrorMessage="1" prompt="Select Material" sqref="E5" xr:uid="{00000000-0002-0000-1600-000002000000}">
      <formula1>Metallic_Mats</formula1>
    </dataValidation>
    <dataValidation type="list" allowBlank="1" showErrorMessage="1" sqref="E6" xr:uid="{00000000-0002-0000-1600-000003000000}">
      <formula1>Tube_Type</formula1>
    </dataValidation>
    <dataValidation type="list" allowBlank="1" showInputMessage="1" showErrorMessage="1" prompt="Select Material" sqref="C5:D5 D6" xr:uid="{00000000-0002-0000-1600-000004000000}">
      <formula1>Materials</formula1>
    </dataValidation>
  </dataValidations>
  <hyperlinks>
    <hyperlink ref="B14" location="'T1.1 Guidance Notes'!A1" display="Number of tubes" xr:uid="{00000000-0004-0000-1600-000000000000}"/>
    <hyperlink ref="J37" location="'Cover Sheet'!A1" display="BACK to COVER SHEET" xr:uid="{00000000-0004-0000-1600-000001000000}"/>
    <hyperlink ref="B48" location="'T4.5 Guidance Notes'!T1" display="Link to GUIDANCE NOTES" xr:uid="{00000000-0004-0000-1600-000002000000}"/>
  </hyperlinks>
  <pageMargins left="0.75" right="0.75" top="1" bottom="1" header="0" footer="0"/>
  <pageSetup paperSize="9" orientation="portrait"/>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CCFF99"/>
  </sheetPr>
  <dimension ref="B1:V1000"/>
  <sheetViews>
    <sheetView showGridLines="0" topLeftCell="A4" workbookViewId="0">
      <selection activeCell="E15" sqref="E15"/>
    </sheetView>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5.5703125" customWidth="1"/>
    <col min="10" max="10" width="16" customWidth="1"/>
    <col min="11" max="11" width="11.5703125" customWidth="1"/>
    <col min="12" max="12" width="6.5703125" customWidth="1"/>
    <col min="13" max="13" width="11.140625" customWidth="1"/>
    <col min="14" max="16" width="11.42578125" customWidth="1"/>
    <col min="17" max="17" width="4" customWidth="1"/>
    <col min="18" max="26" width="11.42578125" customWidth="1"/>
  </cols>
  <sheetData>
    <row r="1" spans="2:22" ht="12.75" customHeight="1">
      <c r="B1" s="213" t="s">
        <v>617</v>
      </c>
    </row>
    <row r="2" spans="2:22" ht="12.75" customHeight="1">
      <c r="C2" s="690" t="s">
        <v>461</v>
      </c>
      <c r="D2" s="587"/>
      <c r="E2" s="588"/>
      <c r="F2" s="697" t="s">
        <v>240</v>
      </c>
      <c r="G2" s="588"/>
    </row>
    <row r="3" spans="2:22" ht="12.75" customHeight="1"/>
    <row r="4" spans="2:22" ht="25.5" customHeight="1">
      <c r="B4" s="27" t="s">
        <v>436</v>
      </c>
      <c r="C4" s="240" t="s">
        <v>437</v>
      </c>
      <c r="D4" s="31"/>
      <c r="E4" s="240" t="s">
        <v>574</v>
      </c>
      <c r="F4" s="240" t="s">
        <v>503</v>
      </c>
      <c r="G4" s="240" t="s">
        <v>504</v>
      </c>
      <c r="H4" s="240" t="s">
        <v>505</v>
      </c>
      <c r="I4" s="240" t="s">
        <v>575</v>
      </c>
      <c r="J4" s="316" t="s">
        <v>576</v>
      </c>
      <c r="K4" s="240" t="s">
        <v>463</v>
      </c>
      <c r="S4" s="31" t="s">
        <v>577</v>
      </c>
      <c r="T4" s="32" t="s">
        <v>464</v>
      </c>
      <c r="U4" s="32" t="s">
        <v>465</v>
      </c>
    </row>
    <row r="5" spans="2:22" ht="12.75" customHeight="1">
      <c r="B5" s="43" t="s">
        <v>439</v>
      </c>
      <c r="C5" s="109" t="s">
        <v>202</v>
      </c>
      <c r="D5" s="67"/>
      <c r="E5" s="214" t="s">
        <v>202</v>
      </c>
      <c r="F5" s="214" t="s">
        <v>202</v>
      </c>
      <c r="G5" s="214" t="s">
        <v>202</v>
      </c>
      <c r="H5" s="224"/>
      <c r="I5" s="214" t="s">
        <v>205</v>
      </c>
      <c r="J5" s="233" t="s">
        <v>205</v>
      </c>
      <c r="K5" s="227"/>
      <c r="S5" s="225" t="s">
        <v>466</v>
      </c>
      <c r="T5" s="67">
        <f>I22/1000</f>
        <v>0</v>
      </c>
      <c r="U5" s="225">
        <f>T5</f>
        <v>0</v>
      </c>
    </row>
    <row r="6" spans="2:22" ht="12.75" customHeight="1">
      <c r="B6" s="43" t="s">
        <v>467</v>
      </c>
      <c r="C6" s="109" t="s">
        <v>247</v>
      </c>
      <c r="D6" s="67"/>
      <c r="E6" s="214" t="s">
        <v>247</v>
      </c>
      <c r="F6" s="214" t="s">
        <v>249</v>
      </c>
      <c r="G6" s="214" t="s">
        <v>247</v>
      </c>
      <c r="H6" s="227"/>
      <c r="I6" s="318" t="s">
        <v>113</v>
      </c>
      <c r="J6" s="109" t="s">
        <v>113</v>
      </c>
      <c r="K6" s="227"/>
      <c r="S6" s="225" t="s">
        <v>468</v>
      </c>
      <c r="T6" s="67">
        <f>I21/1000</f>
        <v>0</v>
      </c>
      <c r="U6" s="225">
        <f>I20/1000</f>
        <v>0</v>
      </c>
    </row>
    <row r="7" spans="2:22" ht="12.75" customHeight="1">
      <c r="B7" s="43" t="s">
        <v>441</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220</v>
      </c>
      <c r="J7" s="319" t="s">
        <v>220</v>
      </c>
      <c r="K7" s="228"/>
    </row>
    <row r="8" spans="2:22" ht="12.75" customHeight="1">
      <c r="B8" s="43" t="s">
        <v>223</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618</v>
      </c>
      <c r="T8" s="131">
        <f>T5*T6</f>
        <v>0</v>
      </c>
      <c r="U8" s="225" t="s">
        <v>619</v>
      </c>
      <c r="V8" s="131">
        <f>(T5*T6^3)/12</f>
        <v>0</v>
      </c>
    </row>
    <row r="9" spans="2:22" ht="12.75" customHeight="1">
      <c r="B9" s="43" t="s">
        <v>225</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620</v>
      </c>
      <c r="T9" s="131">
        <f>U5*U6</f>
        <v>0</v>
      </c>
      <c r="U9" s="225" t="s">
        <v>621</v>
      </c>
      <c r="V9" s="131">
        <f>(U5*U6^3)/12</f>
        <v>0</v>
      </c>
    </row>
    <row r="10" spans="2:22" ht="12.75" customHeight="1">
      <c r="B10" s="43" t="s">
        <v>227</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622</v>
      </c>
      <c r="T10" s="67">
        <f>T6/2</f>
        <v>0</v>
      </c>
      <c r="U10" s="225" t="s">
        <v>623</v>
      </c>
      <c r="V10" s="131" t="e">
        <f t="shared" ref="V10:V11" si="0">V8+(T8*($T$12-T10)^2)</f>
        <v>#DIV/0!</v>
      </c>
    </row>
    <row r="11" spans="2:22" ht="12.75" customHeight="1">
      <c r="B11" s="43" t="s">
        <v>229</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624</v>
      </c>
      <c r="T11" s="67">
        <f>(I18-0.5*I20)*0.001</f>
        <v>0</v>
      </c>
      <c r="U11" s="225" t="s">
        <v>625</v>
      </c>
      <c r="V11" s="131" t="e">
        <f t="shared" si="0"/>
        <v>#DIV/0!</v>
      </c>
    </row>
    <row r="12" spans="2:22" ht="12.75" customHeight="1">
      <c r="B12" s="43" t="s">
        <v>230</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477</v>
      </c>
      <c r="T12" s="229" t="e">
        <f>(T8*T10+T9*T11)/(T8+T9)</f>
        <v>#DIV/0!</v>
      </c>
      <c r="U12" s="225" t="s">
        <v>626</v>
      </c>
      <c r="V12" s="128" t="e">
        <f>SUM(V10:V11)</f>
        <v>#DIV/0!</v>
      </c>
    </row>
    <row r="13" spans="2:22" ht="12.75" customHeight="1">
      <c r="B13" s="43" t="s">
        <v>587</v>
      </c>
      <c r="C13" s="321" t="s">
        <v>129</v>
      </c>
      <c r="E13" s="214" t="s">
        <v>588</v>
      </c>
      <c r="F13" s="321" t="s">
        <v>129</v>
      </c>
      <c r="G13" s="321" t="s">
        <v>129</v>
      </c>
      <c r="H13" s="227"/>
      <c r="I13" s="224"/>
      <c r="K13" s="227"/>
      <c r="V13" s="131"/>
    </row>
    <row r="14" spans="2:22" ht="12.75" customHeight="1">
      <c r="B14" s="230" t="s">
        <v>479</v>
      </c>
      <c r="C14" s="109">
        <v>3</v>
      </c>
      <c r="E14" s="214">
        <v>3</v>
      </c>
      <c r="F14" s="214">
        <v>0</v>
      </c>
      <c r="G14" s="214">
        <v>0</v>
      </c>
      <c r="H14" s="227"/>
      <c r="I14" s="227"/>
      <c r="K14" s="227"/>
      <c r="S14" s="31" t="s">
        <v>589</v>
      </c>
      <c r="T14" s="32" t="s">
        <v>464</v>
      </c>
      <c r="U14" s="32" t="s">
        <v>465</v>
      </c>
    </row>
    <row r="15" spans="2:22" ht="12.75" customHeight="1">
      <c r="B15" s="43" t="s">
        <v>442</v>
      </c>
      <c r="C15" s="109">
        <v>25.4</v>
      </c>
      <c r="E15" s="214">
        <v>28</v>
      </c>
      <c r="F15" s="214">
        <v>25.4</v>
      </c>
      <c r="G15" s="214">
        <v>25.4</v>
      </c>
      <c r="H15" s="227"/>
      <c r="I15" s="227"/>
      <c r="K15" s="227"/>
      <c r="S15" s="225" t="s">
        <v>466</v>
      </c>
      <c r="T15" s="67">
        <f t="shared" ref="T15:T16" si="1">J21/1000</f>
        <v>0</v>
      </c>
      <c r="U15" s="225">
        <f>J20/1000</f>
        <v>0</v>
      </c>
    </row>
    <row r="16" spans="2:22" ht="12.75" customHeight="1">
      <c r="B16" s="43" t="s">
        <v>443</v>
      </c>
      <c r="C16" s="109">
        <v>1.6</v>
      </c>
      <c r="E16" s="214">
        <v>1.5</v>
      </c>
      <c r="F16" s="214">
        <v>1.6</v>
      </c>
      <c r="G16" s="214">
        <v>1.6</v>
      </c>
      <c r="H16" s="227"/>
      <c r="I16" s="227"/>
      <c r="K16" s="227"/>
      <c r="S16" s="225" t="s">
        <v>468</v>
      </c>
      <c r="T16" s="67">
        <f t="shared" si="1"/>
        <v>0</v>
      </c>
      <c r="U16" s="225">
        <f>J22/1000</f>
        <v>0</v>
      </c>
    </row>
    <row r="17" spans="2:22" ht="12.75" customHeight="1">
      <c r="E17" s="243"/>
      <c r="F17" s="322" t="s">
        <v>515</v>
      </c>
      <c r="G17" s="132" t="str">
        <f>IF(AND(L27&gt;=100,F2="tubing only",NOT(OR(E18="NO",F18="NO",G18="NO"))),"YES","NO")</f>
        <v>NO</v>
      </c>
      <c r="H17" s="227"/>
      <c r="I17" s="234"/>
      <c r="K17" s="227"/>
    </row>
    <row r="18" spans="2:22" ht="12.75" customHeight="1">
      <c r="B18" s="43" t="s">
        <v>480</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627</v>
      </c>
      <c r="T18" s="131">
        <f>T15*T16</f>
        <v>0</v>
      </c>
      <c r="U18" s="225" t="s">
        <v>628</v>
      </c>
      <c r="V18" s="131">
        <f>(T15^3*T16)/12</f>
        <v>0</v>
      </c>
    </row>
    <row r="19" spans="2:22" ht="12.75" customHeight="1">
      <c r="B19" s="43" t="s">
        <v>481</v>
      </c>
      <c r="E19" s="80"/>
      <c r="G19" s="141"/>
      <c r="H19" s="227"/>
      <c r="I19" s="233"/>
      <c r="J19" s="214"/>
      <c r="K19" s="227"/>
      <c r="S19" s="225" t="s">
        <v>629</v>
      </c>
      <c r="T19" s="131">
        <f>U15*U16</f>
        <v>0</v>
      </c>
      <c r="U19" s="225" t="s">
        <v>630</v>
      </c>
      <c r="V19" s="131">
        <f>(U15^3*U16)/12</f>
        <v>0</v>
      </c>
    </row>
    <row r="20" spans="2:22" ht="12.75" customHeight="1">
      <c r="B20" s="43" t="s">
        <v>482</v>
      </c>
      <c r="E20" s="80"/>
      <c r="G20" s="141"/>
      <c r="H20" s="227"/>
      <c r="I20" s="214"/>
      <c r="J20" s="233"/>
      <c r="K20" s="227"/>
      <c r="M20" s="23" t="str">
        <f>IF(OR(AND(I20&lt;0.4*I21,I20&lt;1),AND(J20&lt;0.4*J21,J20&lt;1)),"Asymmetrical lay-up: skin too thin in comparison, see T3.4.4.","")</f>
        <v/>
      </c>
      <c r="N20" s="317"/>
      <c r="S20" s="225" t="s">
        <v>631</v>
      </c>
      <c r="T20" s="67">
        <f>J21/2000</f>
        <v>0</v>
      </c>
      <c r="U20" s="225" t="s">
        <v>632</v>
      </c>
      <c r="V20" s="131" t="e">
        <f t="shared" ref="V20:V21" si="4">V18+(T18*($T$22-T20)^2)</f>
        <v>#DIV/0!</v>
      </c>
    </row>
    <row r="21" spans="2:22" ht="12.75" customHeight="1">
      <c r="B21" s="43" t="s">
        <v>483</v>
      </c>
      <c r="E21" s="80"/>
      <c r="G21" s="141"/>
      <c r="H21" s="227"/>
      <c r="I21" s="214"/>
      <c r="J21" s="233"/>
      <c r="K21" s="227"/>
      <c r="M21" s="23" t="str">
        <f>IF(OR(AND(I21&lt;0.4*I20,I21&lt;1),AND(J21&lt;0.4*J20,J21&lt;1)),"Asymmetrical lay-up: skin too thin in comparison, see T3.4.4.","")</f>
        <v/>
      </c>
      <c r="N21" s="317"/>
      <c r="S21" s="225" t="s">
        <v>633</v>
      </c>
      <c r="T21" s="67">
        <f>(J18-0.5*J20)*0.001</f>
        <v>0</v>
      </c>
      <c r="U21" s="225" t="s">
        <v>634</v>
      </c>
      <c r="V21" s="131" t="e">
        <f t="shared" si="4"/>
        <v>#DIV/0!</v>
      </c>
    </row>
    <row r="22" spans="2:22" ht="12.75" customHeight="1">
      <c r="B22" s="43" t="s">
        <v>598</v>
      </c>
      <c r="E22" s="80"/>
      <c r="G22" s="141"/>
      <c r="H22" s="227"/>
      <c r="I22" s="233"/>
      <c r="J22" s="214"/>
      <c r="K22" s="227"/>
      <c r="S22" s="225" t="s">
        <v>477</v>
      </c>
      <c r="T22" s="229" t="e">
        <f>(T18*T20+T19*T21)/(T18+T19)</f>
        <v>#DIV/0!</v>
      </c>
      <c r="U22" s="225" t="s">
        <v>635</v>
      </c>
      <c r="V22" s="128" t="e">
        <f>SUM(V20:V21)</f>
        <v>#DIV/0!</v>
      </c>
    </row>
    <row r="23" spans="2:22" ht="12.75" customHeight="1">
      <c r="E23" s="251"/>
      <c r="F23" s="25"/>
      <c r="G23" s="197"/>
      <c r="H23" s="227"/>
      <c r="I23" s="224"/>
      <c r="K23" s="227"/>
      <c r="V23" s="131"/>
    </row>
    <row r="24" spans="2:22" ht="12.75" customHeight="1">
      <c r="B24" s="43" t="s">
        <v>444</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445</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446</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447</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499</v>
      </c>
    </row>
    <row r="28" spans="2:22" ht="12.75" customHeight="1">
      <c r="B28" s="43" t="s">
        <v>448</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449</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450</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451</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452</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453</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454</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455</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252</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485</v>
      </c>
      <c r="E37" s="131"/>
    </row>
    <row r="38" spans="2:16" ht="12.75" customHeight="1">
      <c r="B38" s="237" t="s">
        <v>407</v>
      </c>
      <c r="C38" s="143"/>
      <c r="D38" s="143"/>
      <c r="E38" s="143"/>
      <c r="F38" s="143"/>
      <c r="G38" s="143"/>
      <c r="H38" s="143"/>
      <c r="I38" s="143"/>
      <c r="J38" s="143"/>
      <c r="K38" s="143"/>
      <c r="L38" s="143"/>
      <c r="M38" s="143"/>
      <c r="N38" s="143"/>
      <c r="O38" s="143"/>
      <c r="P38" s="144"/>
    </row>
    <row r="39" spans="2:16" ht="12.75" customHeight="1">
      <c r="B39" s="238" t="s">
        <v>487</v>
      </c>
      <c r="C39" s="64"/>
      <c r="D39" s="64"/>
      <c r="E39" s="64"/>
      <c r="F39" s="64"/>
      <c r="G39" s="64"/>
      <c r="H39" s="64"/>
      <c r="I39" s="64"/>
      <c r="J39" s="64"/>
      <c r="K39" s="64"/>
      <c r="L39" s="64"/>
      <c r="M39" s="64"/>
      <c r="N39" s="64"/>
      <c r="O39" s="64"/>
      <c r="P39" s="96"/>
    </row>
    <row r="40" spans="2:16" ht="12.75" customHeight="1">
      <c r="B40" s="238"/>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95"/>
      <c r="C56" s="64"/>
      <c r="D56" s="64"/>
      <c r="E56" s="64"/>
      <c r="F56" s="64"/>
      <c r="G56" s="64"/>
      <c r="H56" s="64"/>
      <c r="I56" s="64"/>
      <c r="J56" s="64"/>
      <c r="K56" s="64"/>
      <c r="L56" s="64"/>
      <c r="M56" s="64"/>
      <c r="N56" s="64"/>
      <c r="O56" s="64"/>
      <c r="P56" s="96"/>
    </row>
    <row r="57" spans="2:16" ht="12.75" customHeight="1">
      <c r="B57" s="706" t="s">
        <v>636</v>
      </c>
      <c r="C57" s="582"/>
      <c r="D57" s="582"/>
      <c r="E57" s="582"/>
      <c r="F57" s="582"/>
      <c r="G57" s="583"/>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7:G57"/>
  </mergeCells>
  <conditionalFormatting sqref="E16:G16">
    <cfRule type="cellIs" dxfId="199" priority="1" stopIfTrue="1" operator="lessThan">
      <formula>1.2</formula>
    </cfRule>
  </conditionalFormatting>
  <conditionalFormatting sqref="E27:G33">
    <cfRule type="cellIs" dxfId="198" priority="2" stopIfTrue="1" operator="lessThan">
      <formula>0.95*$C27*(E$14/$C$14)</formula>
    </cfRule>
  </conditionalFormatting>
  <conditionalFormatting sqref="E35:G35">
    <cfRule type="cellIs" dxfId="197" priority="3" stopIfTrue="1" operator="lessThan">
      <formula>0.95*$C35*(E$14/$C$14)</formula>
    </cfRule>
  </conditionalFormatting>
  <conditionalFormatting sqref="I22">
    <cfRule type="cellIs" dxfId="196" priority="4" stopIfTrue="1" operator="greaterThan">
      <formula>320</formula>
    </cfRule>
    <cfRule type="cellIs" dxfId="195" priority="5" stopIfTrue="1" operator="greaterThan">
      <formula>320</formula>
    </cfRule>
  </conditionalFormatting>
  <conditionalFormatting sqref="I27">
    <cfRule type="cellIs" dxfId="194" priority="6" stopIfTrue="1" operator="lessThan">
      <formula>$C$27*(2/3)</formula>
    </cfRule>
  </conditionalFormatting>
  <conditionalFormatting sqref="I20:J20">
    <cfRule type="expression" dxfId="193" priority="7">
      <formula>AND(I20&lt;0.4*I21,I20&lt;1)</formula>
    </cfRule>
  </conditionalFormatting>
  <conditionalFormatting sqref="I21:J21">
    <cfRule type="expression" dxfId="192" priority="8">
      <formula>AND(I21&lt;0.4*I20,I21&lt;1)</formula>
    </cfRule>
  </conditionalFormatting>
  <conditionalFormatting sqref="J27">
    <cfRule type="cellIs" dxfId="191" priority="9" stopIfTrue="1" operator="lessThan">
      <formula>$C$27/3</formula>
    </cfRule>
  </conditionalFormatting>
  <conditionalFormatting sqref="L27">
    <cfRule type="expression" dxfId="190" priority="10">
      <formula>AND($H$27 &gt;= 60, $H$27 &lt; 100)</formula>
    </cfRule>
    <cfRule type="cellIs" dxfId="189" priority="11" stopIfTrue="1" operator="notBetween">
      <formula>60</formula>
      <formula>100</formula>
    </cfRule>
  </conditionalFormatting>
  <conditionalFormatting sqref="L27:L33">
    <cfRule type="cellIs" dxfId="188" priority="12" stopIfTrue="1" operator="greaterThanOrEqual">
      <formula>100</formula>
    </cfRule>
  </conditionalFormatting>
  <conditionalFormatting sqref="L28:L33">
    <cfRule type="cellIs" dxfId="187" priority="13" stopIfTrue="1" operator="lessThan">
      <formula>100</formula>
    </cfRule>
  </conditionalFormatting>
  <conditionalFormatting sqref="L34">
    <cfRule type="expression" dxfId="186" priority="14">
      <formula>AND($H$34 &gt; 100, $H$34 &lt;= 166.667)</formula>
    </cfRule>
    <cfRule type="cellIs" dxfId="185" priority="15" stopIfTrue="1" operator="greaterThanOrEqual">
      <formula>166.667</formula>
    </cfRule>
    <cfRule type="cellIs" dxfId="184" priority="16" stopIfTrue="1" operator="lessThanOrEqual">
      <formula>100</formula>
    </cfRule>
  </conditionalFormatting>
  <conditionalFormatting sqref="L35">
    <cfRule type="cellIs" dxfId="183" priority="17" stopIfTrue="1" operator="greaterThanOrEqual">
      <formula>100</formula>
    </cfRule>
    <cfRule type="cellIs" dxfId="182" priority="18" stopIfTrue="1" operator="lessThan">
      <formula>100</formula>
    </cfRule>
  </conditionalFormatting>
  <dataValidations count="6">
    <dataValidation type="list" allowBlank="1" showErrorMessage="1" sqref="F2" xr:uid="{00000000-0002-0000-1700-000000000000}">
      <formula1>ConstructionType</formula1>
    </dataValidation>
    <dataValidation type="list" allowBlank="1" showErrorMessage="1" sqref="I5:J5" xr:uid="{00000000-0002-0000-1700-000001000000}">
      <formula1>Material</formula1>
    </dataValidation>
    <dataValidation type="list" allowBlank="1" showInputMessage="1" showErrorMessage="1" prompt="Select Material" sqref="E5:G5" xr:uid="{00000000-0002-0000-1700-000002000000}">
      <formula1>Metallic_Mats</formula1>
    </dataValidation>
    <dataValidation type="list" allowBlank="1" showErrorMessage="1" sqref="E13" xr:uid="{00000000-0002-0000-1700-000003000000}">
      <formula1>"Straight,Bent/Multi"</formula1>
    </dataValidation>
    <dataValidation type="list" allowBlank="1" showInputMessage="1" showErrorMessage="1" prompt="Select Material" sqref="C5:D5 D6" xr:uid="{00000000-0002-0000-1700-000004000000}">
      <formula1>Materials</formula1>
    </dataValidation>
    <dataValidation type="list" allowBlank="1" showInputMessage="1" showErrorMessage="1" prompt="Select Material" sqref="E6:G6" xr:uid="{00000000-0002-0000-1700-000005000000}">
      <formula1>Tube_Type</formula1>
    </dataValidation>
  </dataValidations>
  <hyperlinks>
    <hyperlink ref="I7" location="'T3.5 Laminate Test'!A1" display="T3.5_Laminate" xr:uid="{00000000-0004-0000-1700-000000000000}"/>
    <hyperlink ref="J7" location="'T3.5 Laminate Test'!A1" display="T3.5_Laminate" xr:uid="{00000000-0004-0000-1700-000001000000}"/>
    <hyperlink ref="B14" location="'T1.1 Guidance Notes'!A1" display="Number of tubes" xr:uid="{00000000-0004-0000-1700-000002000000}"/>
    <hyperlink ref="N35" location="'Cover Sheet'!A1" display="BACK to COVER SHEET" xr:uid="{00000000-0004-0000-1700-000003000000}"/>
    <hyperlink ref="B38" location="'EV4.4 Guidance Notes'!A1" display="Link to GUIDANCE NOTES for laminated structures" xr:uid="{00000000-0004-0000-1700-000004000000}"/>
    <hyperlink ref="B39" location="'T3.5 Guidance Notes'!A1" display="Link to GUIDANCE NOTES for anisotropic laminates" xr:uid="{00000000-0004-0000-1700-000005000000}"/>
  </hyperlinks>
  <pageMargins left="0.75" right="0.75" top="1" bottom="1" header="0" footer="0"/>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CFF99"/>
  </sheetPr>
  <dimension ref="B1:V1000"/>
  <sheetViews>
    <sheetView showGridLines="0" workbookViewId="0">
      <selection activeCell="I2" sqref="I2"/>
    </sheetView>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5.5703125" customWidth="1"/>
    <col min="10" max="10" width="16" customWidth="1"/>
    <col min="11" max="11" width="11.5703125" customWidth="1"/>
    <col min="12" max="12" width="6.5703125" customWidth="1"/>
    <col min="13" max="13" width="11.140625" customWidth="1"/>
    <col min="14" max="16" width="11.42578125" customWidth="1"/>
    <col min="17" max="17" width="4" customWidth="1"/>
    <col min="18" max="26" width="11.42578125" customWidth="1"/>
  </cols>
  <sheetData>
    <row r="1" spans="2:22" ht="12.75" customHeight="1">
      <c r="B1" s="213" t="s">
        <v>637</v>
      </c>
    </row>
    <row r="2" spans="2:22" ht="12.75" customHeight="1">
      <c r="C2" s="690" t="s">
        <v>461</v>
      </c>
      <c r="D2" s="587"/>
      <c r="E2" s="588"/>
      <c r="F2" s="697" t="s">
        <v>240</v>
      </c>
      <c r="G2" s="588"/>
    </row>
    <row r="3" spans="2:22" ht="12.75" customHeight="1"/>
    <row r="4" spans="2:22" ht="25.5" customHeight="1">
      <c r="B4" s="27" t="s">
        <v>436</v>
      </c>
      <c r="C4" s="240" t="s">
        <v>437</v>
      </c>
      <c r="D4" s="31"/>
      <c r="E4" s="240" t="s">
        <v>574</v>
      </c>
      <c r="F4" s="240" t="s">
        <v>503</v>
      </c>
      <c r="G4" s="240" t="s">
        <v>504</v>
      </c>
      <c r="H4" s="240" t="s">
        <v>505</v>
      </c>
      <c r="I4" s="240" t="s">
        <v>575</v>
      </c>
      <c r="J4" s="316" t="s">
        <v>576</v>
      </c>
      <c r="K4" s="240" t="s">
        <v>463</v>
      </c>
      <c r="S4" s="31" t="s">
        <v>577</v>
      </c>
      <c r="T4" s="32" t="s">
        <v>464</v>
      </c>
      <c r="U4" s="32" t="s">
        <v>465</v>
      </c>
    </row>
    <row r="5" spans="2:22" ht="12.75" customHeight="1">
      <c r="B5" s="43" t="s">
        <v>439</v>
      </c>
      <c r="C5" s="109" t="s">
        <v>202</v>
      </c>
      <c r="D5" s="67"/>
      <c r="E5" s="214" t="s">
        <v>202</v>
      </c>
      <c r="F5" s="214" t="s">
        <v>202</v>
      </c>
      <c r="G5" s="214" t="s">
        <v>202</v>
      </c>
      <c r="H5" s="224"/>
      <c r="I5" s="214" t="s">
        <v>205</v>
      </c>
      <c r="J5" s="233" t="s">
        <v>205</v>
      </c>
      <c r="K5" s="227"/>
      <c r="S5" s="225" t="s">
        <v>466</v>
      </c>
      <c r="T5" s="67">
        <f>I22/1000</f>
        <v>0</v>
      </c>
      <c r="U5" s="225">
        <f>T5</f>
        <v>0</v>
      </c>
    </row>
    <row r="6" spans="2:22" ht="12.75" customHeight="1">
      <c r="B6" s="43" t="s">
        <v>467</v>
      </c>
      <c r="C6" s="109" t="s">
        <v>247</v>
      </c>
      <c r="D6" s="67"/>
      <c r="E6" s="214" t="s">
        <v>247</v>
      </c>
      <c r="F6" s="214" t="s">
        <v>247</v>
      </c>
      <c r="G6" s="214" t="s">
        <v>247</v>
      </c>
      <c r="H6" s="227"/>
      <c r="I6" s="318" t="s">
        <v>113</v>
      </c>
      <c r="J6" s="109" t="s">
        <v>113</v>
      </c>
      <c r="K6" s="227"/>
      <c r="S6" s="225" t="s">
        <v>468</v>
      </c>
      <c r="T6" s="67">
        <f>I21/1000</f>
        <v>0</v>
      </c>
      <c r="U6" s="225">
        <f>I20/1000</f>
        <v>0</v>
      </c>
    </row>
    <row r="7" spans="2:22" ht="12.75" customHeight="1">
      <c r="B7" s="43" t="s">
        <v>441</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220</v>
      </c>
      <c r="J7" s="319" t="s">
        <v>220</v>
      </c>
      <c r="K7" s="228"/>
    </row>
    <row r="8" spans="2:22" ht="12.75" customHeight="1">
      <c r="B8" s="43" t="s">
        <v>223</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320">
        <f t="array" ref="J8">INDEX(Innertable,MATCH($B8,MaterialData!$B$6:$B$11,0),MATCH(J$7,MaterialData!$C$4:$S$4,0))</f>
        <v>0</v>
      </c>
      <c r="K8" s="227"/>
      <c r="S8" s="225" t="s">
        <v>638</v>
      </c>
      <c r="T8" s="131">
        <f>T5*T6</f>
        <v>0</v>
      </c>
      <c r="U8" s="225" t="s">
        <v>639</v>
      </c>
      <c r="V8" s="131">
        <f>(T5*T6^3)/12</f>
        <v>0</v>
      </c>
    </row>
    <row r="9" spans="2:22" ht="12.75" customHeight="1">
      <c r="B9" s="43" t="s">
        <v>225</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320" t="e">
        <f t="array" ref="J9">INDEX(Innertable,MATCH($B9,MaterialData!$B$6:$B$11,0),MATCH(J$7,MaterialData!$C$4:$S$4,0))</f>
        <v>#DIV/0!</v>
      </c>
      <c r="K9" s="228"/>
      <c r="S9" s="225" t="s">
        <v>640</v>
      </c>
      <c r="T9" s="131">
        <f>U5*U6</f>
        <v>0</v>
      </c>
      <c r="U9" s="225" t="s">
        <v>641</v>
      </c>
      <c r="V9" s="131">
        <f>(U5*U6^3)/12</f>
        <v>0</v>
      </c>
    </row>
    <row r="10" spans="2:22" ht="12.75" customHeight="1">
      <c r="B10" s="43" t="s">
        <v>227</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320" t="e">
        <f t="array" ref="J10">INDEX(Innertable,MATCH($B10,MaterialData!$B$6:$B$11,0),MATCH(J$7,MaterialData!$C$4:$S$4,0))</f>
        <v>#DIV/0!</v>
      </c>
      <c r="K10" s="228"/>
      <c r="S10" s="225" t="s">
        <v>642</v>
      </c>
      <c r="T10" s="67">
        <f>T6/2</f>
        <v>0</v>
      </c>
      <c r="U10" s="225" t="s">
        <v>643</v>
      </c>
      <c r="V10" s="131" t="e">
        <f t="shared" ref="V10:V11" si="0">V8+(T8*($T$12-T10)^2)</f>
        <v>#DIV/0!</v>
      </c>
    </row>
    <row r="11" spans="2:22" ht="12.75" customHeight="1">
      <c r="B11" s="43" t="s">
        <v>229</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320" t="str">
        <f t="array" ref="J11">INDEX(Innertable,MATCH($B11,MaterialData!$B$6:$B$11,0),MATCH(J$7,MaterialData!$C$4:$S$4,0))</f>
        <v>N/A</v>
      </c>
      <c r="K11" s="228"/>
      <c r="S11" s="225" t="s">
        <v>644</v>
      </c>
      <c r="T11" s="67">
        <f>(I18-0.5*I20)*0.001</f>
        <v>0</v>
      </c>
      <c r="U11" s="225" t="s">
        <v>645</v>
      </c>
      <c r="V11" s="131" t="e">
        <f t="shared" si="0"/>
        <v>#DIV/0!</v>
      </c>
    </row>
    <row r="12" spans="2:22" ht="12.75" customHeight="1">
      <c r="B12" s="43" t="s">
        <v>230</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320" t="str">
        <f t="array" ref="J12">INDEX(Innertable,MATCH($B12,MaterialData!$B$6:$B$11,0),MATCH(J$7,MaterialData!$C$4:$S$4,0))</f>
        <v>N/A</v>
      </c>
      <c r="K12" s="228"/>
      <c r="S12" s="225" t="s">
        <v>477</v>
      </c>
      <c r="T12" s="229" t="e">
        <f>(T8*T10+T9*T11)/(T8+T9)</f>
        <v>#DIV/0!</v>
      </c>
      <c r="U12" s="225" t="s">
        <v>646</v>
      </c>
      <c r="V12" s="128" t="e">
        <f>SUM(V10:V11)</f>
        <v>#DIV/0!</v>
      </c>
    </row>
    <row r="13" spans="2:22" ht="12.75" customHeight="1">
      <c r="B13" s="43" t="s">
        <v>587</v>
      </c>
      <c r="C13" s="321" t="s">
        <v>129</v>
      </c>
      <c r="E13" s="214" t="s">
        <v>647</v>
      </c>
      <c r="F13" s="321" t="s">
        <v>129</v>
      </c>
      <c r="G13" s="321" t="s">
        <v>129</v>
      </c>
      <c r="H13" s="227"/>
      <c r="I13" s="224"/>
      <c r="K13" s="227"/>
      <c r="V13" s="131"/>
    </row>
    <row r="14" spans="2:22" ht="12.75" customHeight="1">
      <c r="B14" s="230" t="s">
        <v>479</v>
      </c>
      <c r="C14" s="109">
        <v>3</v>
      </c>
      <c r="E14" s="214">
        <v>3</v>
      </c>
      <c r="F14" s="214">
        <v>0</v>
      </c>
      <c r="G14" s="214">
        <v>0</v>
      </c>
      <c r="H14" s="227"/>
      <c r="I14" s="227"/>
      <c r="K14" s="227"/>
      <c r="S14" s="31" t="s">
        <v>589</v>
      </c>
      <c r="T14" s="32" t="s">
        <v>464</v>
      </c>
      <c r="U14" s="32" t="s">
        <v>465</v>
      </c>
    </row>
    <row r="15" spans="2:22" ht="12.75" customHeight="1">
      <c r="B15" s="43" t="s">
        <v>442</v>
      </c>
      <c r="C15" s="109">
        <v>25.4</v>
      </c>
      <c r="E15" s="214">
        <v>28</v>
      </c>
      <c r="F15" s="214">
        <v>25.4</v>
      </c>
      <c r="G15" s="214">
        <v>25.4</v>
      </c>
      <c r="H15" s="227"/>
      <c r="I15" s="227"/>
      <c r="K15" s="227"/>
      <c r="S15" s="225" t="s">
        <v>466</v>
      </c>
      <c r="T15" s="67">
        <f t="shared" ref="T15:T16" si="1">J21/1000</f>
        <v>0</v>
      </c>
      <c r="U15" s="225">
        <f>J20/1000</f>
        <v>0</v>
      </c>
    </row>
    <row r="16" spans="2:22" ht="12.75" customHeight="1">
      <c r="B16" s="43" t="s">
        <v>443</v>
      </c>
      <c r="C16" s="109">
        <v>1.6</v>
      </c>
      <c r="E16" s="214">
        <v>1.5</v>
      </c>
      <c r="F16" s="214">
        <v>1.6</v>
      </c>
      <c r="G16" s="214">
        <v>1.6</v>
      </c>
      <c r="H16" s="227"/>
      <c r="I16" s="227"/>
      <c r="K16" s="227"/>
      <c r="S16" s="225" t="s">
        <v>468</v>
      </c>
      <c r="T16" s="67">
        <f t="shared" si="1"/>
        <v>0</v>
      </c>
      <c r="U16" s="225">
        <f>J22/1000</f>
        <v>0</v>
      </c>
    </row>
    <row r="17" spans="2:22" ht="12.75" customHeight="1">
      <c r="E17" s="243"/>
      <c r="F17" s="322" t="s">
        <v>515</v>
      </c>
      <c r="G17" s="132" t="str">
        <f>IF(AND(L27&gt;=100,F2="tubing only",NOT(OR(E18="NO",F18="NO",G18="NO"))),"YES","NO")</f>
        <v>NO</v>
      </c>
      <c r="H17" s="227"/>
      <c r="I17" s="234"/>
      <c r="K17" s="227"/>
    </row>
    <row r="18" spans="2:22" ht="12.75" customHeight="1">
      <c r="B18" s="43" t="s">
        <v>480</v>
      </c>
      <c r="E18" s="323" t="str">
        <f t="shared" ref="E18:G18" si="2">IF(E14=0,"N/A",IF(AND(E5=$C$5,OR(OR(E15&gt;=$C$15,AND(E15&gt;=25,E15&lt;25.4,E16&gt;=1.75)),AND(E6="square",E15&gt;=25,E16&gt;=1.25)),OR(AND(E6="round",E16&gt;=1.6),OR(AND(E6="square",E16&gt;=1.25,E15&gt;=25),AND(E6="square",E16&gt;=1.2,E15&gt;=26)))),"YES","NO"))</f>
        <v>NO</v>
      </c>
      <c r="F18" s="324" t="str">
        <f t="shared" si="2"/>
        <v>N/A</v>
      </c>
      <c r="G18" s="324" t="str">
        <f t="shared" si="2"/>
        <v>N/A</v>
      </c>
      <c r="H18" s="227"/>
      <c r="I18" s="312">
        <f t="shared" ref="I18:J18" si="3">I19+I20+I21</f>
        <v>0</v>
      </c>
      <c r="J18" s="232">
        <f t="shared" si="3"/>
        <v>0</v>
      </c>
      <c r="K18" s="227"/>
      <c r="S18" s="225" t="s">
        <v>648</v>
      </c>
      <c r="T18" s="131">
        <f>T15*T16</f>
        <v>0</v>
      </c>
      <c r="U18" s="225" t="s">
        <v>649</v>
      </c>
      <c r="V18" s="131">
        <f>(T15^3*T16)/12</f>
        <v>0</v>
      </c>
    </row>
    <row r="19" spans="2:22" ht="12.75" customHeight="1">
      <c r="B19" s="43" t="s">
        <v>481</v>
      </c>
      <c r="E19" s="80"/>
      <c r="G19" s="141"/>
      <c r="H19" s="227"/>
      <c r="I19" s="233"/>
      <c r="J19" s="214"/>
      <c r="K19" s="227"/>
      <c r="S19" s="225" t="s">
        <v>650</v>
      </c>
      <c r="T19" s="131">
        <f>U15*U16</f>
        <v>0</v>
      </c>
      <c r="U19" s="225" t="s">
        <v>651</v>
      </c>
      <c r="V19" s="131">
        <f>(U15^3*U16)/12</f>
        <v>0</v>
      </c>
    </row>
    <row r="20" spans="2:22" ht="12.75" customHeight="1">
      <c r="B20" s="43" t="s">
        <v>482</v>
      </c>
      <c r="E20" s="80"/>
      <c r="G20" s="141"/>
      <c r="H20" s="227"/>
      <c r="I20" s="214"/>
      <c r="J20" s="233"/>
      <c r="K20" s="227"/>
      <c r="M20" s="23" t="str">
        <f>IF(OR(AND(I20&lt;0.4*I21,I20&lt;1),AND(J20&lt;0.4*J21,J20&lt;1)),"Asymmetrical lay-up: skin too thin in comparison, see T3.4.4.","")</f>
        <v/>
      </c>
      <c r="N20" s="317"/>
      <c r="S20" s="225" t="s">
        <v>652</v>
      </c>
      <c r="T20" s="67">
        <f>J21/2000</f>
        <v>0</v>
      </c>
      <c r="U20" s="225" t="s">
        <v>653</v>
      </c>
      <c r="V20" s="131" t="e">
        <f t="shared" ref="V20:V21" si="4">V18+(T18*($T$22-T20)^2)</f>
        <v>#DIV/0!</v>
      </c>
    </row>
    <row r="21" spans="2:22" ht="12.75" customHeight="1">
      <c r="B21" s="43" t="s">
        <v>483</v>
      </c>
      <c r="E21" s="80"/>
      <c r="G21" s="141"/>
      <c r="H21" s="227"/>
      <c r="I21" s="214"/>
      <c r="J21" s="233"/>
      <c r="K21" s="227"/>
      <c r="M21" s="23" t="str">
        <f>IF(OR(AND(I21&lt;0.4*I20,I21&lt;1),AND(J21&lt;0.4*J20,J21&lt;1)),"Asymmetrical lay-up: skin too thin in comparison, see T3.4.4.","")</f>
        <v/>
      </c>
      <c r="N21" s="317"/>
      <c r="S21" s="225" t="s">
        <v>654</v>
      </c>
      <c r="T21" s="67">
        <f>(J18-0.5*J20)*0.001</f>
        <v>0</v>
      </c>
      <c r="U21" s="225" t="s">
        <v>655</v>
      </c>
      <c r="V21" s="131" t="e">
        <f t="shared" si="4"/>
        <v>#DIV/0!</v>
      </c>
    </row>
    <row r="22" spans="2:22" ht="12.75" customHeight="1">
      <c r="B22" s="43" t="s">
        <v>598</v>
      </c>
      <c r="E22" s="80"/>
      <c r="G22" s="141"/>
      <c r="H22" s="227"/>
      <c r="I22" s="233"/>
      <c r="J22" s="214"/>
      <c r="K22" s="227"/>
      <c r="S22" s="225" t="s">
        <v>477</v>
      </c>
      <c r="T22" s="229" t="e">
        <f>(T18*T20+T19*T21)/(T18+T19)</f>
        <v>#DIV/0!</v>
      </c>
      <c r="U22" s="225" t="s">
        <v>656</v>
      </c>
      <c r="V22" s="128" t="e">
        <f>SUM(V20:V21)</f>
        <v>#DIV/0!</v>
      </c>
    </row>
    <row r="23" spans="2:22" ht="12.75" customHeight="1">
      <c r="E23" s="251"/>
      <c r="F23" s="25"/>
      <c r="G23" s="197"/>
      <c r="H23" s="227"/>
      <c r="I23" s="224"/>
      <c r="K23" s="227"/>
      <c r="P23" s="131"/>
    </row>
    <row r="24" spans="2:22" ht="12.75" customHeight="1">
      <c r="B24" s="43" t="s">
        <v>444</v>
      </c>
      <c r="C24" s="109">
        <f t="shared" ref="C24:C25" si="5">C15/1000</f>
        <v>2.5399999999999999E-2</v>
      </c>
      <c r="E24" s="109">
        <f t="shared" ref="E24:G24" si="6">IF($F$2="composite only","No tubes",IF(E14=0,"No tubes",E15/1000))</f>
        <v>2.8000000000000001E-2</v>
      </c>
      <c r="F24" s="109" t="str">
        <f t="shared" si="6"/>
        <v>No tubes</v>
      </c>
      <c r="G24" s="109" t="str">
        <f t="shared" si="6"/>
        <v>No tubes</v>
      </c>
      <c r="H24" s="227"/>
      <c r="I24" s="227"/>
      <c r="K24" s="227"/>
      <c r="P24" s="131"/>
    </row>
    <row r="25" spans="2:22" ht="12.75" customHeight="1">
      <c r="B25" s="43" t="s">
        <v>445</v>
      </c>
      <c r="C25" s="109">
        <f t="shared" si="5"/>
        <v>1.6000000000000001E-3</v>
      </c>
      <c r="E25" s="109">
        <f t="shared" ref="E25:G25" si="7">IF(E24="no tubes","",IF(E14=0,"",E16/1000))</f>
        <v>1.5E-3</v>
      </c>
      <c r="F25" s="109" t="str">
        <f t="shared" si="7"/>
        <v/>
      </c>
      <c r="G25" s="109" t="str">
        <f t="shared" si="7"/>
        <v/>
      </c>
      <c r="H25" s="234"/>
      <c r="I25" s="234"/>
      <c r="K25" s="234"/>
      <c r="P25" s="131"/>
      <c r="T25" s="215"/>
    </row>
    <row r="26" spans="2:22" ht="12.75" customHeight="1">
      <c r="B26" s="43" t="s">
        <v>446</v>
      </c>
      <c r="C26" s="126">
        <f>IF(C6="Round",((C24)^4-((C24-2*C25))^4)*3.142/64,((C24)^4-((C24-2*C25))^4)/12)</f>
        <v>8.5099184800000022E-9</v>
      </c>
      <c r="E26" s="126">
        <f t="shared" ref="E26:G26" si="8">IF(E24="no tubes","",IF(E14=0,"",IF(E6="Round",(((E24)^4-((E24-2*E25))^4)*3.142/64),IF(E6="Square",(((E24)^4-((E24-2*E25))^4)/12),""))))</f>
        <v>1.0998521906249999E-8</v>
      </c>
      <c r="F26" s="126" t="str">
        <f t="shared" si="8"/>
        <v/>
      </c>
      <c r="G26" s="126" t="str">
        <f t="shared" si="8"/>
        <v/>
      </c>
      <c r="H26" s="126">
        <f t="shared" ref="H26:H33" si="9">IF(SUM(E26:G26)&gt;0,SUM(E26:G26),"")</f>
        <v>1.0998521906249999E-8</v>
      </c>
      <c r="I26" s="235" t="str">
        <f>IF($F$2="Tubing only","Tubing Only",V12)</f>
        <v>Tubing Only</v>
      </c>
      <c r="J26" s="235" t="str">
        <f>IF($F$2="Tubing only","Tubing Only",V22)</f>
        <v>Tubing Only</v>
      </c>
      <c r="K26" s="126">
        <f t="shared" ref="K26:K28" si="10">IF($F$2="Tubing only",H26,IF($F$2="Composite only",I26+J26,IF($F$2="Tubes + Composite",H26+I26+J26,"No Type Selected")))</f>
        <v>1.0998521906249999E-8</v>
      </c>
      <c r="P26" s="131"/>
      <c r="S26" s="131"/>
      <c r="T26" s="215"/>
    </row>
    <row r="27" spans="2:22" ht="12.75" customHeight="1">
      <c r="B27" s="43" t="s">
        <v>447</v>
      </c>
      <c r="C27" s="126">
        <f>C8*C26*C14</f>
        <v>5105.9510880000016</v>
      </c>
      <c r="D27" s="131"/>
      <c r="E27" s="126">
        <f>IF(E24="no tubes","",IF(E14=0,"",IF(AND(E13="bent/multi",E15&lt;25),0,IF(AND(E13="bent/multi",E16&lt;1.2),0,E8*E26*E14))))</f>
        <v>6599.1131437499989</v>
      </c>
      <c r="F27" s="126" t="str">
        <f t="shared" ref="F27:G27" si="11">IF(F24="no tubes","",IF(F14=0,"",F8*F26*F14))</f>
        <v/>
      </c>
      <c r="G27" s="126" t="str">
        <f t="shared" si="11"/>
        <v/>
      </c>
      <c r="H27" s="126">
        <f t="shared" si="9"/>
        <v>6599.1131437499989</v>
      </c>
      <c r="I27" s="326" t="str">
        <f>IF(I26="Tubing Only","",IF(I22&gt;325,0,I26*I8))</f>
        <v/>
      </c>
      <c r="J27" s="235" t="str">
        <f>IF(J26="Tubing Only","",J26*J8)</f>
        <v/>
      </c>
      <c r="K27" s="126">
        <f t="shared" si="10"/>
        <v>6599.1131437499989</v>
      </c>
      <c r="L27" s="44">
        <f>IF(AND(NOT($F$2="tubes + composite"),OR(AND($G$14&gt;0,G27&lt;(C27/3)),AND($F$14&gt;0,F27&lt;(C27/3)),AND($E$14&gt;0,E27&lt;(C27/3)))),0,100*K27/C27)</f>
        <v>129.24356363810895</v>
      </c>
      <c r="M27" s="67" t="s">
        <v>657</v>
      </c>
    </row>
    <row r="28" spans="2:22" ht="12.75" customHeight="1">
      <c r="B28" s="43" t="s">
        <v>448</v>
      </c>
      <c r="C28" s="216">
        <f>IF(C24="no tubes","",IF(C14=0,"",IF(C6="Round",C14*((C15^2-(C15-2*C16)^2)*PI()/4),IF(C6="Square",C14*(C15^2-(C15-2*C16)^2),""))))</f>
        <v>358.89554474609793</v>
      </c>
      <c r="D28" s="252"/>
      <c r="E28" s="216">
        <f t="shared" ref="E28:G28" si="12">IF(E24="no tubes","",IF(E14=0,"",IF(E6="Round",E14*((E15^2-(E15-2*E16)^2)*PI()/4),IF(E6="Square",E14*(E15^2-(E15-2*E16)^2),""))))</f>
        <v>374.63492394058284</v>
      </c>
      <c r="F28" s="216" t="str">
        <f t="shared" si="12"/>
        <v/>
      </c>
      <c r="G28" s="216" t="str">
        <f t="shared" si="12"/>
        <v/>
      </c>
      <c r="H28" s="216">
        <f t="shared" si="9"/>
        <v>374.63492394058284</v>
      </c>
      <c r="I28" s="216" t="str">
        <f t="shared" ref="I28:J28" si="13">IF(I26="Tubing Only","",(I18-I19)*I22)</f>
        <v/>
      </c>
      <c r="J28" s="216" t="str">
        <f t="shared" si="13"/>
        <v/>
      </c>
      <c r="K28" s="126">
        <f t="shared" si="10"/>
        <v>374.63492394058284</v>
      </c>
      <c r="L28" s="303">
        <f>IF(AND($F$2="tubing only",AND(E5="steel",F5="steel",G5="steel")),100*K28/C28,"NA")</f>
        <v>104.38550420168067</v>
      </c>
      <c r="M28" s="67" t="str">
        <f t="shared" ref="M28:M32" si="14">IF(AND(95&lt;L28,L28&lt;100),"For tubes only, provided your actual tube measures &gt;= your nominal OD and wall this is OK","")</f>
        <v/>
      </c>
      <c r="S28" s="131"/>
    </row>
    <row r="29" spans="2:22" ht="12.75" customHeight="1">
      <c r="B29" s="43" t="s">
        <v>449</v>
      </c>
      <c r="C29" s="126">
        <f t="shared" ref="C29:C31" si="15">C$28*C9/1000000</f>
        <v>109463.14114755986</v>
      </c>
      <c r="D29" s="131"/>
      <c r="E29" s="126">
        <f t="shared" ref="E29:G29" si="16">IF(E24="no tubes","",IF(E14=0,"",E$28*E9/1000000))</f>
        <v>114263.65180187776</v>
      </c>
      <c r="F29" s="126" t="str">
        <f t="shared" si="16"/>
        <v/>
      </c>
      <c r="G29" s="126" t="str">
        <f t="shared" si="16"/>
        <v/>
      </c>
      <c r="H29" s="126">
        <f t="shared" si="9"/>
        <v>114263.65180187776</v>
      </c>
      <c r="I29" s="126" t="str">
        <f t="shared" ref="I29:J29" si="17">IF(I26="Tubing Only","","N/A")</f>
        <v/>
      </c>
      <c r="J29" s="126" t="str">
        <f t="shared" si="17"/>
        <v/>
      </c>
      <c r="K29" s="126">
        <f t="shared" ref="K29:K33" si="18">IF($F$2="Tubing only",H29,"N/A")</f>
        <v>114263.65180187776</v>
      </c>
      <c r="L29" s="44">
        <f t="shared" ref="L29:L33" si="19">IF(AND($F$2="tubing only",OR($E29&lt;0.95*($E$14/$C$14)*$C29,$F29&lt;0.95*($F$14/$C$14)*$C29,$G29&lt;0.95*($G$14/$C$14)*$C29)),0,IF(NOT($F$2="tubing only"),"NA",100*H29/C29))</f>
        <v>104.38550420168067</v>
      </c>
      <c r="M29" s="67" t="str">
        <f t="shared" si="14"/>
        <v/>
      </c>
    </row>
    <row r="30" spans="2:22" ht="12.75" customHeight="1">
      <c r="B30" s="43" t="s">
        <v>450</v>
      </c>
      <c r="C30" s="126">
        <f t="shared" si="15"/>
        <v>130996.87383232574</v>
      </c>
      <c r="D30" s="131"/>
      <c r="E30" s="126">
        <f t="shared" ref="E30:G30" si="20">IF(E24="no tubes","",IF(E14=0,"",E$28*E10/1000000))</f>
        <v>136741.74723831273</v>
      </c>
      <c r="F30" s="126" t="str">
        <f t="shared" si="20"/>
        <v/>
      </c>
      <c r="G30" s="126" t="str">
        <f t="shared" si="20"/>
        <v/>
      </c>
      <c r="H30" s="126">
        <f t="shared" si="9"/>
        <v>136741.74723831273</v>
      </c>
      <c r="I30" s="126" t="str">
        <f t="shared" ref="I30:J30" si="21">IF(I26="Tubing Only","","N/A")</f>
        <v/>
      </c>
      <c r="J30" s="126" t="str">
        <f t="shared" si="21"/>
        <v/>
      </c>
      <c r="K30" s="126">
        <f t="shared" si="18"/>
        <v>136741.74723831273</v>
      </c>
      <c r="L30" s="44">
        <f t="shared" si="19"/>
        <v>104.38550420168069</v>
      </c>
      <c r="M30" s="67" t="str">
        <f t="shared" si="14"/>
        <v/>
      </c>
      <c r="S30" s="131"/>
    </row>
    <row r="31" spans="2:22" ht="12.75" customHeight="1">
      <c r="B31" s="43" t="s">
        <v>451</v>
      </c>
      <c r="C31" s="126">
        <f t="shared" si="15"/>
        <v>64601.198054297631</v>
      </c>
      <c r="D31" s="131"/>
      <c r="E31" s="126">
        <f t="shared" ref="E31:G31" si="22">IF(E24="no tubes","",IF(E14=0,"",E$28*E11/1000000))</f>
        <v>67434.286309304909</v>
      </c>
      <c r="F31" s="126" t="str">
        <f t="shared" si="22"/>
        <v/>
      </c>
      <c r="G31" s="126" t="str">
        <f t="shared" si="22"/>
        <v/>
      </c>
      <c r="H31" s="126">
        <f t="shared" si="9"/>
        <v>67434.286309304909</v>
      </c>
      <c r="I31" s="126" t="str">
        <f t="shared" ref="I31:J31" si="23">IF(I26="Tubing Only","","N/A")</f>
        <v/>
      </c>
      <c r="J31" s="126" t="str">
        <f t="shared" si="23"/>
        <v/>
      </c>
      <c r="K31" s="126">
        <f t="shared" si="18"/>
        <v>67434.286309304909</v>
      </c>
      <c r="L31" s="44">
        <f t="shared" si="19"/>
        <v>104.38550420168067</v>
      </c>
      <c r="M31" s="67" t="str">
        <f t="shared" si="14"/>
        <v/>
      </c>
      <c r="S31" s="131"/>
    </row>
    <row r="32" spans="2:22" ht="12.75" customHeight="1">
      <c r="B32" s="43" t="s">
        <v>452</v>
      </c>
      <c r="C32" s="126">
        <f>IF(C14=0,"",C$28*C12/1000000)</f>
        <v>107668.66342382938</v>
      </c>
      <c r="D32" s="131"/>
      <c r="E32" s="126">
        <f t="shared" ref="E32:G32" si="24">IF(E24="no tubes","",IF(E14=0,"",E$28*E12/1000000))</f>
        <v>112390.47718217484</v>
      </c>
      <c r="F32" s="126" t="str">
        <f t="shared" si="24"/>
        <v/>
      </c>
      <c r="G32" s="126" t="str">
        <f t="shared" si="24"/>
        <v/>
      </c>
      <c r="H32" s="126">
        <f t="shared" si="9"/>
        <v>112390.47718217484</v>
      </c>
      <c r="I32" s="126" t="str">
        <f t="shared" ref="I32:J32" si="25">IF(I26="tubing only","","N/A")</f>
        <v/>
      </c>
      <c r="J32" s="126" t="str">
        <f t="shared" si="25"/>
        <v/>
      </c>
      <c r="K32" s="126">
        <f t="shared" si="18"/>
        <v>112390.47718217484</v>
      </c>
      <c r="L32" s="44">
        <f t="shared" si="19"/>
        <v>104.38550420168069</v>
      </c>
      <c r="M32" s="67" t="str">
        <f t="shared" si="14"/>
        <v/>
      </c>
      <c r="S32" s="131"/>
    </row>
    <row r="33" spans="2:16" ht="12.75" customHeight="1">
      <c r="B33" s="43" t="s">
        <v>453</v>
      </c>
      <c r="C33" s="126">
        <f>C14*4*C10*C26/(0.5*C24*1)</f>
        <v>2934.9167671181112</v>
      </c>
      <c r="E33" s="126">
        <f t="shared" ref="E33:G33" si="26">IF(E24="no tubes","",IF(E14=0,"",E14*4*E10*E26/(0.5*E24*1)))</f>
        <v>3440.9661392410712</v>
      </c>
      <c r="F33" s="126" t="str">
        <f t="shared" si="26"/>
        <v/>
      </c>
      <c r="G33" s="126" t="str">
        <f t="shared" si="26"/>
        <v/>
      </c>
      <c r="H33" s="126">
        <f t="shared" si="9"/>
        <v>3440.9661392410712</v>
      </c>
      <c r="I33" s="126" t="str">
        <f t="shared" ref="I33:J33" si="27">IF(I26="tubing only","","N/A")</f>
        <v/>
      </c>
      <c r="J33" s="126" t="str">
        <f t="shared" si="27"/>
        <v/>
      </c>
      <c r="K33" s="126">
        <f t="shared" si="18"/>
        <v>3440.9661392410712</v>
      </c>
      <c r="L33" s="44">
        <f t="shared" si="19"/>
        <v>117.24237558599884</v>
      </c>
      <c r="M33" s="67" t="str">
        <f>IF((99.9&gt;L33)*AND(L33&gt;60),"For Composites Only, Additional Proof Required","")</f>
        <v/>
      </c>
    </row>
    <row r="34" spans="2:16" ht="12.75" customHeight="1">
      <c r="B34" s="43" t="s">
        <v>454</v>
      </c>
      <c r="C34" s="126">
        <f>IF(C14=0,"",C33*1^3/(48*C27))</f>
        <v>1.1975065616797901E-2</v>
      </c>
      <c r="E34" s="126">
        <f t="shared" ref="E34:G34" si="28">IF(E24="no tubes","",IF(E14=0,"",($C$33*1^3/(48*E27))))</f>
        <v>9.2655024975393935E-3</v>
      </c>
      <c r="F34" s="126" t="str">
        <f t="shared" si="28"/>
        <v/>
      </c>
      <c r="G34" s="126" t="str">
        <f t="shared" si="28"/>
        <v/>
      </c>
      <c r="H34" s="126">
        <f>IF(F2="composite only","",$C$33*1^3/(48*H27))</f>
        <v>9.2655024975393935E-3</v>
      </c>
      <c r="I34" s="126" t="str">
        <f t="shared" ref="I34:J34" si="29">IF(NOT($F$2="tubing only"),"N/A","")</f>
        <v/>
      </c>
      <c r="J34" s="126" t="str">
        <f t="shared" si="29"/>
        <v/>
      </c>
      <c r="K34" s="126" t="str">
        <f>IF($F$2="Tubing only","","N/A")</f>
        <v/>
      </c>
      <c r="L34" s="44">
        <f>IF(AND($F$2="tubing only",H34&gt;1.05*C34),101,IF(NOT($F$2="tubing only"),"NA",100*H34/C34))</f>
        <v>77.373292089041286</v>
      </c>
      <c r="M34" s="67" t="str">
        <f>IF((100&lt;L34)*AND(L34&lt;=166.667),"For Composites Only, Additional Proof Required","")</f>
        <v/>
      </c>
    </row>
    <row r="35" spans="2:16" ht="12.75" customHeight="1">
      <c r="B35" s="43" t="s">
        <v>455</v>
      </c>
      <c r="C35" s="126">
        <f>0.5*C33*(C33*1^3/(48*C27))</f>
        <v>17.572910433039873</v>
      </c>
      <c r="E35" s="126">
        <f t="shared" ref="E35:G35" si="30">IF(E24="no tubes","",0.5*E33*(E33*1^3/(48*E27)))</f>
        <v>18.689771440818319</v>
      </c>
      <c r="F35" s="126" t="str">
        <f t="shared" si="30"/>
        <v/>
      </c>
      <c r="G35" s="126" t="str">
        <f t="shared" si="30"/>
        <v/>
      </c>
      <c r="H35" s="126">
        <f>IF(SUM(E35:G35)&gt;0,SUM(E35:G35),"")</f>
        <v>18.689771440818319</v>
      </c>
      <c r="I35" s="126" t="str">
        <f t="shared" ref="I35:J35" si="31">IF(I26="tubing only","","N/A")</f>
        <v/>
      </c>
      <c r="J35" s="126" t="str">
        <f t="shared" si="31"/>
        <v/>
      </c>
      <c r="K35" s="126">
        <f>IF($F$2="Tubing only",H35,IF($F$2="Composite only",I35,IF($F$2="Tubes + Composite",H35+I35,"No Type Selected")))</f>
        <v>18.689771440818319</v>
      </c>
      <c r="L35" s="44">
        <f>IF(AND($F$2="tubing only",OR($E35&lt;(0.999*E14/C14)*$C35,$F35&lt;(F14/C14)*$C35,$G35&lt;(G14/C14)*$C35)),0,IF(NOT($F$2="tubing only"),"NA",100*H35/C35))</f>
        <v>106.35558356729896</v>
      </c>
      <c r="M35" s="67" t="str">
        <f>IF((99.9&gt;L35)*AND(L35&gt;60),"For Composites Only, Additional Proof Required","")</f>
        <v/>
      </c>
      <c r="N35" s="39" t="s">
        <v>252</v>
      </c>
      <c r="O35" s="39"/>
      <c r="P35" s="39"/>
    </row>
    <row r="36" spans="2:16" ht="12.75" customHeight="1">
      <c r="C36" s="253">
        <f>0.99*C27/C14</f>
        <v>1684.9638590400007</v>
      </c>
      <c r="D36" s="254"/>
      <c r="E36" s="253">
        <f t="shared" ref="E36:G36" si="32">IF(AND($F$2="tubing only",E14&gt;0),E27/E14,9E+99)</f>
        <v>2199.7043812499996</v>
      </c>
      <c r="F36" s="253">
        <f t="shared" si="32"/>
        <v>8.9999999999999999E+99</v>
      </c>
      <c r="G36" s="253">
        <f t="shared" si="32"/>
        <v>8.9999999999999999E+99</v>
      </c>
      <c r="H36" s="34"/>
    </row>
    <row r="37" spans="2:16" ht="12.75" customHeight="1">
      <c r="B37" s="31" t="s">
        <v>485</v>
      </c>
      <c r="E37" s="131"/>
    </row>
    <row r="38" spans="2:16" ht="12.75" customHeight="1">
      <c r="B38" s="237" t="s">
        <v>407</v>
      </c>
      <c r="C38" s="143"/>
      <c r="D38" s="143"/>
      <c r="E38" s="143"/>
      <c r="F38" s="143"/>
      <c r="G38" s="143"/>
      <c r="H38" s="143"/>
      <c r="I38" s="143"/>
      <c r="J38" s="143"/>
      <c r="K38" s="143"/>
      <c r="L38" s="143"/>
      <c r="M38" s="143"/>
      <c r="N38" s="143"/>
      <c r="O38" s="143"/>
      <c r="P38" s="144"/>
    </row>
    <row r="39" spans="2:16" ht="12.75" customHeight="1">
      <c r="B39" s="238" t="s">
        <v>487</v>
      </c>
      <c r="C39" s="64"/>
      <c r="D39" s="64"/>
      <c r="E39" s="64"/>
      <c r="F39" s="64"/>
      <c r="G39" s="64"/>
      <c r="H39" s="64"/>
      <c r="I39" s="64"/>
      <c r="J39" s="64"/>
      <c r="K39" s="64"/>
      <c r="L39" s="64"/>
      <c r="M39" s="64"/>
      <c r="N39" s="64"/>
      <c r="O39" s="64"/>
      <c r="P39" s="96"/>
    </row>
    <row r="40" spans="2:16" ht="12.75" customHeight="1">
      <c r="B40" s="95"/>
      <c r="C40" s="64"/>
      <c r="D40" s="64"/>
      <c r="E40" s="64"/>
      <c r="F40" s="64"/>
      <c r="G40" s="64"/>
      <c r="H40" s="64"/>
      <c r="I40" s="64"/>
      <c r="J40" s="64"/>
      <c r="K40" s="64"/>
      <c r="L40" s="64"/>
      <c r="M40" s="64"/>
      <c r="N40" s="64"/>
      <c r="O40" s="64"/>
      <c r="P40" s="96"/>
    </row>
    <row r="41" spans="2:16" ht="12.75" customHeight="1">
      <c r="B41" s="95"/>
      <c r="C41" s="64"/>
      <c r="D41" s="64"/>
      <c r="E41" s="64"/>
      <c r="F41" s="64"/>
      <c r="G41" s="64"/>
      <c r="H41" s="64"/>
      <c r="I41" s="64"/>
      <c r="J41" s="64"/>
      <c r="K41" s="64"/>
      <c r="L41" s="64"/>
      <c r="M41" s="64"/>
      <c r="N41" s="64"/>
      <c r="O41" s="64"/>
      <c r="P41" s="96"/>
    </row>
    <row r="42" spans="2:16" ht="12.75" customHeight="1">
      <c r="B42" s="95"/>
      <c r="C42" s="64"/>
      <c r="D42" s="64"/>
      <c r="E42" s="64"/>
      <c r="F42" s="64"/>
      <c r="G42" s="64"/>
      <c r="H42" s="64"/>
      <c r="I42" s="64"/>
      <c r="J42" s="64"/>
      <c r="K42" s="64"/>
      <c r="L42" s="64"/>
      <c r="M42" s="64"/>
      <c r="N42" s="64"/>
      <c r="O42" s="64"/>
      <c r="P42" s="96"/>
    </row>
    <row r="43" spans="2:16" ht="12.75" customHeight="1">
      <c r="B43" s="95"/>
      <c r="C43" s="64"/>
      <c r="D43" s="64"/>
      <c r="E43" s="64"/>
      <c r="F43" s="64"/>
      <c r="G43" s="64"/>
      <c r="H43" s="64"/>
      <c r="I43" s="64"/>
      <c r="J43" s="64"/>
      <c r="K43" s="64"/>
      <c r="L43" s="64"/>
      <c r="M43" s="64"/>
      <c r="N43" s="64"/>
      <c r="O43" s="64"/>
      <c r="P43" s="96"/>
    </row>
    <row r="44" spans="2:16" ht="12.75" customHeight="1">
      <c r="B44" s="95"/>
      <c r="C44" s="64"/>
      <c r="D44" s="64"/>
      <c r="E44" s="64"/>
      <c r="F44" s="64"/>
      <c r="G44" s="64"/>
      <c r="H44" s="64"/>
      <c r="I44" s="64"/>
      <c r="J44" s="64"/>
      <c r="K44" s="64"/>
      <c r="L44" s="64"/>
      <c r="M44" s="64"/>
      <c r="N44" s="64"/>
      <c r="O44" s="64"/>
      <c r="P44" s="96"/>
    </row>
    <row r="45" spans="2:16" ht="12.75" customHeight="1">
      <c r="B45" s="95"/>
      <c r="C45" s="64"/>
      <c r="D45" s="64"/>
      <c r="E45" s="64"/>
      <c r="F45" s="64"/>
      <c r="G45" s="64"/>
      <c r="H45" s="64"/>
      <c r="I45" s="64"/>
      <c r="J45" s="64"/>
      <c r="K45" s="64"/>
      <c r="L45" s="64"/>
      <c r="M45" s="64"/>
      <c r="N45" s="64"/>
      <c r="O45" s="64"/>
      <c r="P45" s="96"/>
    </row>
    <row r="46" spans="2:16" ht="12.75" customHeight="1">
      <c r="B46" s="95"/>
      <c r="C46" s="64"/>
      <c r="D46" s="64"/>
      <c r="E46" s="64"/>
      <c r="F46" s="64"/>
      <c r="G46" s="64"/>
      <c r="H46" s="64"/>
      <c r="I46" s="64"/>
      <c r="J46" s="64"/>
      <c r="K46" s="64"/>
      <c r="L46" s="64"/>
      <c r="M46" s="64"/>
      <c r="N46" s="64"/>
      <c r="O46" s="64"/>
      <c r="P46" s="96"/>
    </row>
    <row r="47" spans="2:16" ht="12.75" customHeight="1">
      <c r="B47" s="95"/>
      <c r="C47" s="64"/>
      <c r="D47" s="64"/>
      <c r="E47" s="64"/>
      <c r="F47" s="64"/>
      <c r="G47" s="64"/>
      <c r="H47" s="64"/>
      <c r="I47" s="64"/>
      <c r="J47" s="64"/>
      <c r="K47" s="64"/>
      <c r="L47" s="64"/>
      <c r="M47" s="64"/>
      <c r="N47" s="64"/>
      <c r="O47" s="64"/>
      <c r="P47" s="96"/>
    </row>
    <row r="48" spans="2:16" ht="12.75" customHeight="1">
      <c r="B48" s="95"/>
      <c r="C48" s="64"/>
      <c r="D48" s="64"/>
      <c r="E48" s="64"/>
      <c r="F48" s="64"/>
      <c r="G48" s="64"/>
      <c r="H48" s="64"/>
      <c r="I48" s="64"/>
      <c r="J48" s="64"/>
      <c r="K48" s="64"/>
      <c r="L48" s="64"/>
      <c r="M48" s="64"/>
      <c r="N48" s="64"/>
      <c r="O48" s="64"/>
      <c r="P48" s="96"/>
    </row>
    <row r="49" spans="2:16" ht="12.75" customHeight="1">
      <c r="B49" s="95"/>
      <c r="C49" s="64"/>
      <c r="D49" s="64"/>
      <c r="E49" s="64"/>
      <c r="F49" s="64"/>
      <c r="G49" s="64"/>
      <c r="H49" s="64"/>
      <c r="I49" s="64"/>
      <c r="J49" s="64"/>
      <c r="K49" s="64"/>
      <c r="L49" s="64"/>
      <c r="M49" s="64"/>
      <c r="N49" s="64"/>
      <c r="O49" s="64"/>
      <c r="P49" s="96"/>
    </row>
    <row r="50" spans="2:16" ht="12.75" customHeight="1">
      <c r="B50" s="95"/>
      <c r="C50" s="64"/>
      <c r="D50" s="64"/>
      <c r="E50" s="64"/>
      <c r="F50" s="64"/>
      <c r="G50" s="64"/>
      <c r="H50" s="64"/>
      <c r="I50" s="64"/>
      <c r="J50" s="64"/>
      <c r="K50" s="64"/>
      <c r="L50" s="64"/>
      <c r="M50" s="64"/>
      <c r="N50" s="64"/>
      <c r="O50" s="64"/>
      <c r="P50" s="96"/>
    </row>
    <row r="51" spans="2:16" ht="12.75" customHeight="1">
      <c r="B51" s="95"/>
      <c r="C51" s="64"/>
      <c r="D51" s="64"/>
      <c r="E51" s="64"/>
      <c r="F51" s="64"/>
      <c r="G51" s="64"/>
      <c r="H51" s="64"/>
      <c r="I51" s="64"/>
      <c r="J51" s="64"/>
      <c r="K51" s="64"/>
      <c r="L51" s="64"/>
      <c r="M51" s="64"/>
      <c r="N51" s="64"/>
      <c r="O51" s="64"/>
      <c r="P51" s="96"/>
    </row>
    <row r="52" spans="2:16" ht="12.75" customHeight="1">
      <c r="B52" s="95"/>
      <c r="C52" s="64"/>
      <c r="D52" s="64"/>
      <c r="E52" s="64"/>
      <c r="F52" s="64"/>
      <c r="G52" s="64"/>
      <c r="H52" s="64"/>
      <c r="I52" s="64"/>
      <c r="J52" s="64"/>
      <c r="K52" s="64"/>
      <c r="L52" s="64"/>
      <c r="M52" s="64"/>
      <c r="N52" s="64"/>
      <c r="O52" s="64"/>
      <c r="P52" s="96"/>
    </row>
    <row r="53" spans="2:16" ht="12.75" customHeight="1">
      <c r="B53" s="95"/>
      <c r="C53" s="64"/>
      <c r="D53" s="64"/>
      <c r="E53" s="64"/>
      <c r="F53" s="64"/>
      <c r="G53" s="64"/>
      <c r="H53" s="64"/>
      <c r="I53" s="64"/>
      <c r="J53" s="64"/>
      <c r="K53" s="64"/>
      <c r="L53" s="64"/>
      <c r="M53" s="64"/>
      <c r="N53" s="64"/>
      <c r="O53" s="64"/>
      <c r="P53" s="96"/>
    </row>
    <row r="54" spans="2:16" ht="12.75" customHeight="1">
      <c r="B54" s="95"/>
      <c r="C54" s="64"/>
      <c r="D54" s="64"/>
      <c r="E54" s="64"/>
      <c r="F54" s="64"/>
      <c r="G54" s="64"/>
      <c r="H54" s="64"/>
      <c r="I54" s="64"/>
      <c r="J54" s="64"/>
      <c r="K54" s="64"/>
      <c r="L54" s="64"/>
      <c r="M54" s="64"/>
      <c r="N54" s="64"/>
      <c r="O54" s="64"/>
      <c r="P54" s="96"/>
    </row>
    <row r="55" spans="2:16" ht="12.75" customHeight="1">
      <c r="B55" s="95"/>
      <c r="C55" s="64"/>
      <c r="D55" s="64"/>
      <c r="E55" s="64"/>
      <c r="F55" s="64"/>
      <c r="G55" s="64"/>
      <c r="H55" s="64"/>
      <c r="I55" s="64"/>
      <c r="J55" s="64"/>
      <c r="K55" s="64"/>
      <c r="L55" s="64"/>
      <c r="M55" s="64"/>
      <c r="N55" s="64"/>
      <c r="O55" s="64"/>
      <c r="P55" s="96"/>
    </row>
    <row r="56" spans="2:16" ht="12.75" customHeight="1">
      <c r="B56" s="340" t="s">
        <v>658</v>
      </c>
      <c r="C56" s="138"/>
      <c r="D56" s="64"/>
      <c r="E56" s="64"/>
      <c r="F56" s="64"/>
      <c r="G56" s="64"/>
      <c r="H56" s="64"/>
      <c r="I56" s="64"/>
      <c r="J56" s="64"/>
      <c r="K56" s="64"/>
      <c r="L56" s="64"/>
      <c r="M56" s="64"/>
      <c r="N56" s="64"/>
      <c r="O56" s="64"/>
      <c r="P56" s="96"/>
    </row>
    <row r="57" spans="2:16" ht="12.75" customHeight="1">
      <c r="B57" s="95"/>
      <c r="C57" s="64"/>
      <c r="D57" s="64"/>
      <c r="E57" s="64"/>
      <c r="F57" s="64"/>
      <c r="G57" s="64"/>
      <c r="H57" s="64"/>
      <c r="I57" s="64"/>
      <c r="J57" s="64"/>
      <c r="K57" s="64"/>
      <c r="L57" s="64"/>
      <c r="M57" s="64"/>
      <c r="N57" s="64"/>
      <c r="O57" s="64"/>
      <c r="P57" s="96"/>
    </row>
    <row r="58" spans="2:16" ht="12.75" customHeight="1">
      <c r="B58" s="95"/>
      <c r="C58" s="64"/>
      <c r="D58" s="64"/>
      <c r="E58" s="64"/>
      <c r="F58" s="64"/>
      <c r="G58" s="64"/>
      <c r="H58" s="64"/>
      <c r="I58" s="64"/>
      <c r="J58" s="64"/>
      <c r="K58" s="64"/>
      <c r="L58" s="64"/>
      <c r="M58" s="64"/>
      <c r="N58" s="64"/>
      <c r="O58" s="64"/>
      <c r="P58" s="96"/>
    </row>
    <row r="59" spans="2:16" ht="12.75" customHeight="1">
      <c r="B59" s="95"/>
      <c r="C59" s="64"/>
      <c r="D59" s="64"/>
      <c r="E59" s="64"/>
      <c r="F59" s="64"/>
      <c r="G59" s="64"/>
      <c r="H59" s="64"/>
      <c r="I59" s="64"/>
      <c r="J59" s="64"/>
      <c r="K59" s="64"/>
      <c r="L59" s="64"/>
      <c r="M59" s="64"/>
      <c r="N59" s="64"/>
      <c r="O59" s="64"/>
      <c r="P59" s="96"/>
    </row>
    <row r="60" spans="2:16" ht="12.75" customHeight="1">
      <c r="B60" s="95"/>
      <c r="C60" s="64"/>
      <c r="D60" s="64"/>
      <c r="E60" s="64"/>
      <c r="F60" s="64"/>
      <c r="G60" s="64"/>
      <c r="H60" s="64"/>
      <c r="I60" s="64"/>
      <c r="J60" s="64"/>
      <c r="K60" s="64"/>
      <c r="L60" s="64"/>
      <c r="M60" s="64"/>
      <c r="N60" s="64"/>
      <c r="O60" s="64"/>
      <c r="P60" s="96"/>
    </row>
    <row r="61" spans="2:16" ht="12.75" customHeight="1">
      <c r="B61" s="95"/>
      <c r="C61" s="64"/>
      <c r="D61" s="64"/>
      <c r="E61" s="64"/>
      <c r="F61" s="64"/>
      <c r="G61" s="64"/>
      <c r="H61" s="64"/>
      <c r="I61" s="64"/>
      <c r="J61" s="64"/>
      <c r="K61" s="64"/>
      <c r="L61" s="64"/>
      <c r="M61" s="64"/>
      <c r="N61" s="64"/>
      <c r="O61" s="64"/>
      <c r="P61" s="96"/>
    </row>
    <row r="62" spans="2:16" ht="12.75" customHeight="1">
      <c r="B62" s="95"/>
      <c r="C62" s="64"/>
      <c r="D62" s="64"/>
      <c r="E62" s="64"/>
      <c r="F62" s="64"/>
      <c r="G62" s="64"/>
      <c r="H62" s="64"/>
      <c r="I62" s="64"/>
      <c r="J62" s="64"/>
      <c r="K62" s="64"/>
      <c r="L62" s="64"/>
      <c r="M62" s="64"/>
      <c r="N62" s="64"/>
      <c r="O62" s="64"/>
      <c r="P62" s="96"/>
    </row>
    <row r="63" spans="2:16" ht="12.75" customHeight="1">
      <c r="B63" s="95"/>
      <c r="C63" s="64"/>
      <c r="D63" s="64"/>
      <c r="E63" s="64"/>
      <c r="F63" s="64"/>
      <c r="G63" s="64"/>
      <c r="H63" s="64"/>
      <c r="I63" s="64"/>
      <c r="J63" s="64"/>
      <c r="K63" s="64"/>
      <c r="L63" s="64"/>
      <c r="M63" s="64"/>
      <c r="N63" s="64"/>
      <c r="O63" s="64"/>
      <c r="P63" s="96"/>
    </row>
    <row r="64" spans="2:16" ht="12.75" customHeight="1">
      <c r="B64" s="95"/>
      <c r="C64" s="64"/>
      <c r="D64" s="64"/>
      <c r="E64" s="64"/>
      <c r="F64" s="64"/>
      <c r="G64" s="64"/>
      <c r="H64" s="64"/>
      <c r="I64" s="64"/>
      <c r="J64" s="64"/>
      <c r="K64" s="64"/>
      <c r="L64" s="64"/>
      <c r="M64" s="64"/>
      <c r="N64" s="64"/>
      <c r="O64" s="64"/>
      <c r="P64" s="96"/>
    </row>
    <row r="65" spans="2:16" ht="12.75" customHeight="1">
      <c r="B65" s="95"/>
      <c r="C65" s="64"/>
      <c r="D65" s="64"/>
      <c r="E65" s="64"/>
      <c r="F65" s="64"/>
      <c r="G65" s="64"/>
      <c r="H65" s="64"/>
      <c r="I65" s="64"/>
      <c r="J65" s="64"/>
      <c r="K65" s="64"/>
      <c r="L65" s="64"/>
      <c r="M65" s="64"/>
      <c r="N65" s="64"/>
      <c r="O65" s="64"/>
      <c r="P65" s="96"/>
    </row>
    <row r="66" spans="2:16" ht="12.75" customHeight="1">
      <c r="B66" s="95"/>
      <c r="C66" s="64"/>
      <c r="D66" s="64"/>
      <c r="E66" s="64"/>
      <c r="F66" s="64"/>
      <c r="G66" s="64"/>
      <c r="H66" s="64"/>
      <c r="I66" s="64"/>
      <c r="J66" s="64"/>
      <c r="K66" s="64"/>
      <c r="L66" s="64"/>
      <c r="M66" s="64"/>
      <c r="N66" s="64"/>
      <c r="O66" s="64"/>
      <c r="P66" s="96"/>
    </row>
    <row r="67" spans="2:16" ht="12.75" customHeight="1">
      <c r="B67" s="95"/>
      <c r="C67" s="64"/>
      <c r="D67" s="64"/>
      <c r="E67" s="64"/>
      <c r="F67" s="64"/>
      <c r="G67" s="64"/>
      <c r="H67" s="64"/>
      <c r="I67" s="64"/>
      <c r="J67" s="64"/>
      <c r="K67" s="64"/>
      <c r="L67" s="64"/>
      <c r="M67" s="64"/>
      <c r="N67" s="64"/>
      <c r="O67" s="64"/>
      <c r="P67" s="96"/>
    </row>
    <row r="68" spans="2:16" ht="12.75" customHeight="1">
      <c r="B68" s="95"/>
      <c r="C68" s="64"/>
      <c r="D68" s="64"/>
      <c r="E68" s="64"/>
      <c r="F68" s="64"/>
      <c r="G68" s="64"/>
      <c r="H68" s="64"/>
      <c r="I68" s="64"/>
      <c r="J68" s="64"/>
      <c r="K68" s="64"/>
      <c r="L68" s="64"/>
      <c r="M68" s="64"/>
      <c r="N68" s="64"/>
      <c r="O68" s="64"/>
      <c r="P68" s="96"/>
    </row>
    <row r="69" spans="2:16" ht="12.75" customHeight="1">
      <c r="B69" s="95"/>
      <c r="C69" s="64"/>
      <c r="D69" s="64"/>
      <c r="E69" s="64"/>
      <c r="F69" s="64"/>
      <c r="G69" s="64"/>
      <c r="H69" s="64"/>
      <c r="I69" s="64"/>
      <c r="J69" s="64"/>
      <c r="K69" s="64"/>
      <c r="L69" s="64"/>
      <c r="M69" s="64"/>
      <c r="N69" s="64"/>
      <c r="O69" s="64"/>
      <c r="P69" s="96"/>
    </row>
    <row r="70" spans="2:16" ht="12.75" customHeight="1">
      <c r="B70" s="95"/>
      <c r="C70" s="64"/>
      <c r="D70" s="64"/>
      <c r="E70" s="64"/>
      <c r="F70" s="64"/>
      <c r="G70" s="64"/>
      <c r="H70" s="64"/>
      <c r="I70" s="64"/>
      <c r="J70" s="64"/>
      <c r="K70" s="64"/>
      <c r="L70" s="64"/>
      <c r="M70" s="64"/>
      <c r="N70" s="64"/>
      <c r="O70" s="64"/>
      <c r="P70" s="96"/>
    </row>
    <row r="71" spans="2:16" ht="12.75" customHeight="1">
      <c r="B71" s="95"/>
      <c r="C71" s="64"/>
      <c r="D71" s="64"/>
      <c r="E71" s="64"/>
      <c r="F71" s="64"/>
      <c r="G71" s="64"/>
      <c r="H71" s="64"/>
      <c r="I71" s="64"/>
      <c r="J71" s="64"/>
      <c r="K71" s="64"/>
      <c r="L71" s="64"/>
      <c r="M71" s="64"/>
      <c r="N71" s="64"/>
      <c r="O71" s="64"/>
      <c r="P71" s="96"/>
    </row>
    <row r="72" spans="2:16" ht="12.75" customHeight="1">
      <c r="B72" s="95"/>
      <c r="C72" s="64"/>
      <c r="D72" s="64"/>
      <c r="E72" s="64"/>
      <c r="F72" s="64"/>
      <c r="G72" s="64"/>
      <c r="H72" s="64"/>
      <c r="I72" s="64"/>
      <c r="J72" s="64"/>
      <c r="K72" s="64"/>
      <c r="L72" s="64"/>
      <c r="M72" s="64"/>
      <c r="N72" s="64"/>
      <c r="O72" s="64"/>
      <c r="P72" s="96"/>
    </row>
    <row r="73" spans="2:16" ht="12.75" customHeight="1">
      <c r="B73" s="95"/>
      <c r="C73" s="64"/>
      <c r="D73" s="64"/>
      <c r="E73" s="64"/>
      <c r="F73" s="64"/>
      <c r="G73" s="64"/>
      <c r="H73" s="64"/>
      <c r="I73" s="64"/>
      <c r="J73" s="64"/>
      <c r="K73" s="64"/>
      <c r="L73" s="64"/>
      <c r="M73" s="64"/>
      <c r="N73" s="64"/>
      <c r="O73" s="64"/>
      <c r="P73" s="96"/>
    </row>
    <row r="74" spans="2:16" ht="12.75" customHeight="1">
      <c r="B74" s="95"/>
      <c r="C74" s="64"/>
      <c r="D74" s="64"/>
      <c r="E74" s="64"/>
      <c r="F74" s="64"/>
      <c r="G74" s="64"/>
      <c r="H74" s="64"/>
      <c r="I74" s="64"/>
      <c r="J74" s="64"/>
      <c r="K74" s="64"/>
      <c r="L74" s="64"/>
      <c r="M74" s="64"/>
      <c r="N74" s="64"/>
      <c r="O74" s="64"/>
      <c r="P74" s="96"/>
    </row>
    <row r="75" spans="2:16" ht="12.75" customHeight="1">
      <c r="B75" s="95"/>
      <c r="C75" s="64"/>
      <c r="D75" s="64"/>
      <c r="E75" s="64"/>
      <c r="F75" s="64"/>
      <c r="G75" s="64"/>
      <c r="H75" s="64"/>
      <c r="I75" s="64"/>
      <c r="J75" s="64"/>
      <c r="K75" s="64"/>
      <c r="L75" s="64"/>
      <c r="M75" s="64"/>
      <c r="N75" s="64"/>
      <c r="O75" s="64"/>
      <c r="P75" s="96"/>
    </row>
    <row r="76" spans="2:16" ht="12.75" customHeight="1">
      <c r="B76" s="95"/>
      <c r="C76" s="64"/>
      <c r="D76" s="64"/>
      <c r="E76" s="64"/>
      <c r="F76" s="64"/>
      <c r="G76" s="64"/>
      <c r="H76" s="64"/>
      <c r="I76" s="64"/>
      <c r="J76" s="64"/>
      <c r="K76" s="64"/>
      <c r="L76" s="64"/>
      <c r="M76" s="64"/>
      <c r="N76" s="64"/>
      <c r="O76" s="64"/>
      <c r="P76" s="96"/>
    </row>
    <row r="77" spans="2:16" ht="12.75" customHeight="1">
      <c r="B77" s="95"/>
      <c r="C77" s="64"/>
      <c r="D77" s="64"/>
      <c r="E77" s="64"/>
      <c r="F77" s="64"/>
      <c r="G77" s="64"/>
      <c r="H77" s="64"/>
      <c r="I77" s="64"/>
      <c r="J77" s="64"/>
      <c r="K77" s="64"/>
      <c r="L77" s="64"/>
      <c r="M77" s="64"/>
      <c r="N77" s="64"/>
      <c r="O77" s="64"/>
      <c r="P77" s="96"/>
    </row>
    <row r="78" spans="2:16" ht="12.75" customHeight="1">
      <c r="B78" s="95"/>
      <c r="C78" s="64"/>
      <c r="D78" s="64"/>
      <c r="E78" s="64"/>
      <c r="F78" s="64"/>
      <c r="G78" s="64"/>
      <c r="H78" s="64"/>
      <c r="I78" s="64"/>
      <c r="J78" s="64"/>
      <c r="K78" s="64"/>
      <c r="L78" s="64"/>
      <c r="M78" s="64"/>
      <c r="N78" s="64"/>
      <c r="O78" s="64"/>
      <c r="P78" s="96"/>
    </row>
    <row r="79" spans="2:16" ht="12.75" customHeight="1">
      <c r="B79" s="95"/>
      <c r="C79" s="64"/>
      <c r="D79" s="64"/>
      <c r="E79" s="64"/>
      <c r="F79" s="64"/>
      <c r="G79" s="64"/>
      <c r="H79" s="64"/>
      <c r="I79" s="64"/>
      <c r="J79" s="64"/>
      <c r="K79" s="64"/>
      <c r="L79" s="64"/>
      <c r="M79" s="64"/>
      <c r="N79" s="64"/>
      <c r="O79" s="64"/>
      <c r="P79" s="96"/>
    </row>
    <row r="80" spans="2:16" ht="12.75" customHeight="1">
      <c r="B80" s="95"/>
      <c r="C80" s="64"/>
      <c r="D80" s="64"/>
      <c r="E80" s="64"/>
      <c r="F80" s="64"/>
      <c r="G80" s="64"/>
      <c r="H80" s="64"/>
      <c r="I80" s="64"/>
      <c r="J80" s="64"/>
      <c r="K80" s="64"/>
      <c r="L80" s="64"/>
      <c r="M80" s="64"/>
      <c r="N80" s="64"/>
      <c r="O80" s="64"/>
      <c r="P80" s="96"/>
    </row>
    <row r="81" spans="2:16" ht="12.75" customHeight="1">
      <c r="B81" s="95"/>
      <c r="C81" s="64"/>
      <c r="D81" s="64"/>
      <c r="E81" s="64"/>
      <c r="F81" s="64"/>
      <c r="G81" s="64"/>
      <c r="H81" s="64"/>
      <c r="I81" s="64"/>
      <c r="J81" s="64"/>
      <c r="K81" s="64"/>
      <c r="L81" s="64"/>
      <c r="M81" s="64"/>
      <c r="N81" s="64"/>
      <c r="O81" s="64"/>
      <c r="P81" s="96"/>
    </row>
    <row r="82" spans="2:16" ht="12.75" customHeight="1">
      <c r="B82" s="95"/>
      <c r="C82" s="64"/>
      <c r="D82" s="64"/>
      <c r="E82" s="64"/>
      <c r="F82" s="64"/>
      <c r="G82" s="64"/>
      <c r="H82" s="64"/>
      <c r="I82" s="64"/>
      <c r="J82" s="64"/>
      <c r="K82" s="64"/>
      <c r="L82" s="64"/>
      <c r="M82" s="64"/>
      <c r="N82" s="64"/>
      <c r="O82" s="64"/>
      <c r="P82" s="96"/>
    </row>
    <row r="83" spans="2:16" ht="12.75" customHeight="1">
      <c r="B83" s="95"/>
      <c r="C83" s="64"/>
      <c r="D83" s="64"/>
      <c r="E83" s="64"/>
      <c r="F83" s="64"/>
      <c r="G83" s="64"/>
      <c r="H83" s="64"/>
      <c r="I83" s="64"/>
      <c r="J83" s="64"/>
      <c r="K83" s="64"/>
      <c r="L83" s="64"/>
      <c r="M83" s="64"/>
      <c r="N83" s="64"/>
      <c r="O83" s="64"/>
      <c r="P83" s="96"/>
    </row>
    <row r="84" spans="2:16" ht="12.75" customHeight="1">
      <c r="B84" s="95"/>
      <c r="C84" s="64"/>
      <c r="D84" s="64"/>
      <c r="E84" s="64"/>
      <c r="F84" s="64"/>
      <c r="G84" s="64"/>
      <c r="H84" s="64"/>
      <c r="I84" s="64"/>
      <c r="J84" s="64"/>
      <c r="K84" s="64"/>
      <c r="L84" s="64"/>
      <c r="M84" s="64"/>
      <c r="N84" s="64"/>
      <c r="O84" s="64"/>
      <c r="P84" s="96"/>
    </row>
    <row r="85" spans="2:16" ht="12.75" customHeight="1">
      <c r="B85" s="95"/>
      <c r="C85" s="64"/>
      <c r="D85" s="64"/>
      <c r="E85" s="64"/>
      <c r="F85" s="64"/>
      <c r="G85" s="64"/>
      <c r="H85" s="64"/>
      <c r="I85" s="64"/>
      <c r="J85" s="64"/>
      <c r="K85" s="64"/>
      <c r="L85" s="64"/>
      <c r="M85" s="64"/>
      <c r="N85" s="64"/>
      <c r="O85" s="64"/>
      <c r="P85" s="96"/>
    </row>
    <row r="86" spans="2:16" ht="12.75" customHeight="1">
      <c r="B86" s="95"/>
      <c r="C86" s="64"/>
      <c r="D86" s="64"/>
      <c r="E86" s="64"/>
      <c r="F86" s="64"/>
      <c r="G86" s="64"/>
      <c r="H86" s="64"/>
      <c r="I86" s="64"/>
      <c r="J86" s="64"/>
      <c r="K86" s="64"/>
      <c r="L86" s="64"/>
      <c r="M86" s="64"/>
      <c r="N86" s="64"/>
      <c r="O86" s="64"/>
      <c r="P86" s="96"/>
    </row>
    <row r="87" spans="2:16" ht="12.75" customHeight="1">
      <c r="B87" s="95"/>
      <c r="C87" s="64"/>
      <c r="D87" s="64"/>
      <c r="E87" s="64"/>
      <c r="F87" s="64"/>
      <c r="G87" s="64"/>
      <c r="H87" s="64"/>
      <c r="I87" s="64"/>
      <c r="J87" s="64"/>
      <c r="K87" s="64"/>
      <c r="L87" s="64"/>
      <c r="M87" s="64"/>
      <c r="N87" s="64"/>
      <c r="O87" s="64"/>
      <c r="P87" s="96"/>
    </row>
    <row r="88" spans="2:16" ht="12.75" customHeight="1">
      <c r="B88" s="95"/>
      <c r="C88" s="64"/>
      <c r="D88" s="64"/>
      <c r="E88" s="64"/>
      <c r="F88" s="64"/>
      <c r="G88" s="64"/>
      <c r="H88" s="64"/>
      <c r="I88" s="64"/>
      <c r="J88" s="64"/>
      <c r="K88" s="64"/>
      <c r="L88" s="64"/>
      <c r="M88" s="64"/>
      <c r="N88" s="64"/>
      <c r="O88" s="64"/>
      <c r="P88" s="96"/>
    </row>
    <row r="89" spans="2:16" ht="12.75" customHeight="1">
      <c r="B89" s="95"/>
      <c r="C89" s="64"/>
      <c r="D89" s="64"/>
      <c r="E89" s="64"/>
      <c r="F89" s="64"/>
      <c r="G89" s="64"/>
      <c r="H89" s="64"/>
      <c r="I89" s="64"/>
      <c r="J89" s="64"/>
      <c r="K89" s="64"/>
      <c r="L89" s="64"/>
      <c r="M89" s="64"/>
      <c r="N89" s="64"/>
      <c r="O89" s="64"/>
      <c r="P89" s="96"/>
    </row>
    <row r="90" spans="2:16" ht="12.75" customHeight="1">
      <c r="B90" s="95"/>
      <c r="C90" s="64"/>
      <c r="D90" s="64"/>
      <c r="E90" s="64"/>
      <c r="F90" s="64"/>
      <c r="G90" s="64"/>
      <c r="H90" s="64"/>
      <c r="I90" s="64"/>
      <c r="J90" s="64"/>
      <c r="K90" s="64"/>
      <c r="L90" s="64"/>
      <c r="M90" s="64"/>
      <c r="N90" s="64"/>
      <c r="O90" s="64"/>
      <c r="P90" s="96"/>
    </row>
    <row r="91" spans="2:16" ht="12.75" customHeight="1">
      <c r="B91" s="95"/>
      <c r="C91" s="64"/>
      <c r="D91" s="64"/>
      <c r="E91" s="64"/>
      <c r="F91" s="64"/>
      <c r="G91" s="64"/>
      <c r="H91" s="64"/>
      <c r="I91" s="64"/>
      <c r="J91" s="64"/>
      <c r="K91" s="64"/>
      <c r="L91" s="64"/>
      <c r="M91" s="64"/>
      <c r="N91" s="64"/>
      <c r="O91" s="64"/>
      <c r="P91" s="96"/>
    </row>
    <row r="92" spans="2:16" ht="12.75" customHeight="1">
      <c r="B92" s="95"/>
      <c r="C92" s="64"/>
      <c r="D92" s="64"/>
      <c r="E92" s="64"/>
      <c r="F92" s="64"/>
      <c r="G92" s="64"/>
      <c r="H92" s="64"/>
      <c r="I92" s="64"/>
      <c r="J92" s="64"/>
      <c r="K92" s="64"/>
      <c r="L92" s="64"/>
      <c r="M92" s="64"/>
      <c r="N92" s="64"/>
      <c r="O92" s="64"/>
      <c r="P92" s="96"/>
    </row>
    <row r="93" spans="2:16" ht="12.75" customHeight="1">
      <c r="B93" s="95"/>
      <c r="C93" s="64"/>
      <c r="D93" s="64"/>
      <c r="E93" s="64"/>
      <c r="F93" s="64"/>
      <c r="G93" s="64"/>
      <c r="H93" s="64"/>
      <c r="I93" s="64"/>
      <c r="J93" s="64"/>
      <c r="K93" s="64"/>
      <c r="L93" s="64"/>
      <c r="M93" s="64"/>
      <c r="N93" s="64"/>
      <c r="O93" s="64"/>
      <c r="P93" s="96"/>
    </row>
    <row r="94" spans="2:16" ht="12.75" customHeight="1">
      <c r="B94" s="95"/>
      <c r="C94" s="64"/>
      <c r="D94" s="64"/>
      <c r="E94" s="64"/>
      <c r="F94" s="64"/>
      <c r="G94" s="64"/>
      <c r="H94" s="64"/>
      <c r="I94" s="64"/>
      <c r="J94" s="64"/>
      <c r="K94" s="64"/>
      <c r="L94" s="64"/>
      <c r="M94" s="64"/>
      <c r="N94" s="64"/>
      <c r="O94" s="64"/>
      <c r="P94" s="96"/>
    </row>
    <row r="95" spans="2:16" ht="12.75" customHeight="1">
      <c r="B95" s="95"/>
      <c r="C95" s="64"/>
      <c r="D95" s="64"/>
      <c r="E95" s="64"/>
      <c r="F95" s="64"/>
      <c r="G95" s="64"/>
      <c r="H95" s="64"/>
      <c r="I95" s="64"/>
      <c r="J95" s="64"/>
      <c r="K95" s="64"/>
      <c r="L95" s="64"/>
      <c r="M95" s="64"/>
      <c r="N95" s="64"/>
      <c r="O95" s="64"/>
      <c r="P95" s="96"/>
    </row>
    <row r="96" spans="2:16" ht="12.75" customHeight="1">
      <c r="B96" s="95"/>
      <c r="C96" s="64"/>
      <c r="D96" s="64"/>
      <c r="E96" s="64"/>
      <c r="F96" s="64"/>
      <c r="G96" s="64"/>
      <c r="H96" s="64"/>
      <c r="I96" s="64"/>
      <c r="J96" s="64"/>
      <c r="K96" s="64"/>
      <c r="L96" s="64"/>
      <c r="M96" s="64"/>
      <c r="N96" s="64"/>
      <c r="O96" s="64"/>
      <c r="P96" s="96"/>
    </row>
    <row r="97" spans="2:16" ht="12.75" customHeight="1">
      <c r="B97" s="95"/>
      <c r="C97" s="64"/>
      <c r="D97" s="64"/>
      <c r="E97" s="64"/>
      <c r="F97" s="64"/>
      <c r="G97" s="64"/>
      <c r="H97" s="64"/>
      <c r="I97" s="64"/>
      <c r="J97" s="64"/>
      <c r="K97" s="64"/>
      <c r="L97" s="64"/>
      <c r="M97" s="64"/>
      <c r="N97" s="64"/>
      <c r="O97" s="64"/>
      <c r="P97" s="96"/>
    </row>
    <row r="98" spans="2:16" ht="12.75" customHeight="1">
      <c r="B98" s="95"/>
      <c r="C98" s="64"/>
      <c r="D98" s="64"/>
      <c r="E98" s="64"/>
      <c r="F98" s="64"/>
      <c r="G98" s="64"/>
      <c r="H98" s="64"/>
      <c r="I98" s="64"/>
      <c r="J98" s="64"/>
      <c r="K98" s="64"/>
      <c r="L98" s="64"/>
      <c r="M98" s="64"/>
      <c r="N98" s="64"/>
      <c r="O98" s="64"/>
      <c r="P98" s="96"/>
    </row>
    <row r="99" spans="2:16" ht="12.75" customHeight="1">
      <c r="B99" s="95"/>
      <c r="C99" s="64"/>
      <c r="D99" s="64"/>
      <c r="E99" s="64"/>
      <c r="F99" s="64"/>
      <c r="G99" s="64"/>
      <c r="H99" s="64"/>
      <c r="I99" s="64"/>
      <c r="J99" s="64"/>
      <c r="K99" s="64"/>
      <c r="L99" s="64"/>
      <c r="M99" s="64"/>
      <c r="N99" s="64"/>
      <c r="O99" s="64"/>
      <c r="P99" s="96"/>
    </row>
    <row r="100" spans="2:16" ht="12.75" customHeight="1">
      <c r="B100" s="95"/>
      <c r="C100" s="64"/>
      <c r="D100" s="64"/>
      <c r="E100" s="64"/>
      <c r="F100" s="64"/>
      <c r="G100" s="64"/>
      <c r="H100" s="64"/>
      <c r="I100" s="64"/>
      <c r="J100" s="64"/>
      <c r="K100" s="64"/>
      <c r="L100" s="64"/>
      <c r="M100" s="64"/>
      <c r="N100" s="64"/>
      <c r="O100" s="64"/>
      <c r="P100" s="96"/>
    </row>
    <row r="101" spans="2:16" ht="12.75" customHeight="1">
      <c r="B101" s="95"/>
      <c r="C101" s="64"/>
      <c r="D101" s="64"/>
      <c r="E101" s="64"/>
      <c r="F101" s="64"/>
      <c r="G101" s="64"/>
      <c r="H101" s="64"/>
      <c r="I101" s="64"/>
      <c r="J101" s="64"/>
      <c r="K101" s="64"/>
      <c r="L101" s="64"/>
      <c r="M101" s="64"/>
      <c r="N101" s="64"/>
      <c r="O101" s="64"/>
      <c r="P101" s="96"/>
    </row>
    <row r="102" spans="2:16" ht="12.75" customHeight="1">
      <c r="B102" s="95"/>
      <c r="C102" s="64"/>
      <c r="D102" s="64"/>
      <c r="E102" s="64"/>
      <c r="F102" s="64"/>
      <c r="G102" s="64"/>
      <c r="H102" s="64"/>
      <c r="I102" s="64"/>
      <c r="J102" s="64"/>
      <c r="K102" s="64"/>
      <c r="L102" s="64"/>
      <c r="M102" s="64"/>
      <c r="N102" s="64"/>
      <c r="O102" s="64"/>
      <c r="P102" s="96"/>
    </row>
    <row r="103" spans="2:16" ht="12.75" customHeight="1">
      <c r="B103" s="95"/>
      <c r="C103" s="64"/>
      <c r="D103" s="64"/>
      <c r="E103" s="64"/>
      <c r="F103" s="64"/>
      <c r="G103" s="64"/>
      <c r="H103" s="64"/>
      <c r="I103" s="64"/>
      <c r="J103" s="64"/>
      <c r="K103" s="64"/>
      <c r="L103" s="64"/>
      <c r="M103" s="64"/>
      <c r="N103" s="64"/>
      <c r="O103" s="64"/>
      <c r="P103" s="96"/>
    </row>
    <row r="104" spans="2:16" ht="12.75" customHeight="1">
      <c r="B104" s="95"/>
      <c r="C104" s="64"/>
      <c r="D104" s="64"/>
      <c r="E104" s="64"/>
      <c r="F104" s="64"/>
      <c r="G104" s="64"/>
      <c r="H104" s="64"/>
      <c r="I104" s="64"/>
      <c r="J104" s="64"/>
      <c r="K104" s="64"/>
      <c r="L104" s="64"/>
      <c r="M104" s="64"/>
      <c r="N104" s="64"/>
      <c r="O104" s="64"/>
      <c r="P104" s="96"/>
    </row>
    <row r="105" spans="2:16" ht="12.75" customHeight="1">
      <c r="B105" s="95"/>
      <c r="C105" s="64"/>
      <c r="D105" s="64"/>
      <c r="E105" s="64"/>
      <c r="F105" s="64"/>
      <c r="G105" s="64"/>
      <c r="H105" s="64"/>
      <c r="I105" s="64"/>
      <c r="J105" s="64"/>
      <c r="K105" s="64"/>
      <c r="L105" s="64"/>
      <c r="M105" s="64"/>
      <c r="N105" s="64"/>
      <c r="O105" s="64"/>
      <c r="P105" s="96"/>
    </row>
    <row r="106" spans="2:16" ht="12.75" customHeight="1">
      <c r="B106" s="95"/>
      <c r="C106" s="64"/>
      <c r="D106" s="64"/>
      <c r="E106" s="64"/>
      <c r="F106" s="64"/>
      <c r="G106" s="64"/>
      <c r="H106" s="64"/>
      <c r="I106" s="64"/>
      <c r="J106" s="64"/>
      <c r="K106" s="64"/>
      <c r="L106" s="64"/>
      <c r="M106" s="64"/>
      <c r="N106" s="64"/>
      <c r="O106" s="64"/>
      <c r="P106" s="96"/>
    </row>
    <row r="107" spans="2:16" ht="12.75" customHeight="1">
      <c r="B107" s="95"/>
      <c r="C107" s="64"/>
      <c r="D107" s="64"/>
      <c r="E107" s="64"/>
      <c r="F107" s="64"/>
      <c r="G107" s="64"/>
      <c r="H107" s="64"/>
      <c r="I107" s="64"/>
      <c r="J107" s="64"/>
      <c r="K107" s="64"/>
      <c r="L107" s="64"/>
      <c r="M107" s="64"/>
      <c r="N107" s="64"/>
      <c r="O107" s="64"/>
      <c r="P107" s="96"/>
    </row>
    <row r="108" spans="2:16" ht="12.75" customHeight="1">
      <c r="B108" s="95"/>
      <c r="C108" s="64"/>
      <c r="D108" s="64"/>
      <c r="E108" s="64"/>
      <c r="F108" s="64"/>
      <c r="G108" s="64"/>
      <c r="H108" s="64"/>
      <c r="I108" s="64"/>
      <c r="J108" s="64"/>
      <c r="K108" s="64"/>
      <c r="L108" s="64"/>
      <c r="M108" s="64"/>
      <c r="N108" s="64"/>
      <c r="O108" s="64"/>
      <c r="P108" s="96"/>
    </row>
    <row r="109" spans="2:16" ht="12.75" customHeight="1">
      <c r="B109" s="95"/>
      <c r="C109" s="64"/>
      <c r="D109" s="64"/>
      <c r="E109" s="64"/>
      <c r="F109" s="64"/>
      <c r="G109" s="64"/>
      <c r="H109" s="64"/>
      <c r="I109" s="64"/>
      <c r="J109" s="64"/>
      <c r="K109" s="64"/>
      <c r="L109" s="64"/>
      <c r="M109" s="64"/>
      <c r="N109" s="64"/>
      <c r="O109" s="64"/>
      <c r="P109" s="96"/>
    </row>
    <row r="110" spans="2:16" ht="12.75" customHeight="1">
      <c r="B110" s="95"/>
      <c r="C110" s="64"/>
      <c r="D110" s="64"/>
      <c r="E110" s="64"/>
      <c r="F110" s="64"/>
      <c r="G110" s="64"/>
      <c r="H110" s="64"/>
      <c r="I110" s="64"/>
      <c r="J110" s="64"/>
      <c r="K110" s="64"/>
      <c r="L110" s="64"/>
      <c r="M110" s="64"/>
      <c r="N110" s="64"/>
      <c r="O110" s="64"/>
      <c r="P110" s="96"/>
    </row>
    <row r="111" spans="2:16" ht="12.75" customHeight="1">
      <c r="B111" s="95"/>
      <c r="C111" s="64"/>
      <c r="D111" s="64"/>
      <c r="E111" s="64"/>
      <c r="F111" s="64"/>
      <c r="G111" s="64"/>
      <c r="H111" s="64"/>
      <c r="I111" s="64"/>
      <c r="J111" s="64"/>
      <c r="K111" s="64"/>
      <c r="L111" s="64"/>
      <c r="M111" s="64"/>
      <c r="N111" s="64"/>
      <c r="O111" s="64"/>
      <c r="P111" s="96"/>
    </row>
    <row r="112" spans="2:16" ht="12.75" customHeight="1">
      <c r="B112" s="95"/>
      <c r="C112" s="64"/>
      <c r="D112" s="64"/>
      <c r="E112" s="64"/>
      <c r="F112" s="64"/>
      <c r="G112" s="64"/>
      <c r="H112" s="64"/>
      <c r="I112" s="64"/>
      <c r="J112" s="64"/>
      <c r="K112" s="64"/>
      <c r="L112" s="64"/>
      <c r="M112" s="64"/>
      <c r="N112" s="64"/>
      <c r="O112" s="64"/>
      <c r="P112" s="96"/>
    </row>
    <row r="113" spans="2:16" ht="12.75" customHeight="1">
      <c r="B113" s="95"/>
      <c r="C113" s="64"/>
      <c r="D113" s="64"/>
      <c r="E113" s="64"/>
      <c r="F113" s="64"/>
      <c r="G113" s="64"/>
      <c r="H113" s="64"/>
      <c r="I113" s="64"/>
      <c r="J113" s="64"/>
      <c r="K113" s="64"/>
      <c r="L113" s="64"/>
      <c r="M113" s="64"/>
      <c r="N113" s="64"/>
      <c r="O113" s="64"/>
      <c r="P113" s="96"/>
    </row>
    <row r="114" spans="2:16" ht="12.75" customHeight="1">
      <c r="B114" s="95"/>
      <c r="C114" s="64"/>
      <c r="D114" s="64"/>
      <c r="E114" s="64"/>
      <c r="F114" s="64"/>
      <c r="G114" s="64"/>
      <c r="H114" s="64"/>
      <c r="I114" s="64"/>
      <c r="J114" s="64"/>
      <c r="K114" s="64"/>
      <c r="L114" s="64"/>
      <c r="M114" s="64"/>
      <c r="N114" s="64"/>
      <c r="O114" s="64"/>
      <c r="P114" s="96"/>
    </row>
    <row r="115" spans="2:16" ht="12.75" customHeight="1">
      <c r="B115" s="95"/>
      <c r="C115" s="64"/>
      <c r="D115" s="64"/>
      <c r="E115" s="64"/>
      <c r="F115" s="64"/>
      <c r="G115" s="64"/>
      <c r="H115" s="64"/>
      <c r="I115" s="64"/>
      <c r="J115" s="64"/>
      <c r="K115" s="64"/>
      <c r="L115" s="64"/>
      <c r="M115" s="64"/>
      <c r="N115" s="64"/>
      <c r="O115" s="64"/>
      <c r="P115" s="96"/>
    </row>
    <row r="116" spans="2:16" ht="12.75" customHeight="1">
      <c r="B116" s="95"/>
      <c r="C116" s="64"/>
      <c r="D116" s="64"/>
      <c r="E116" s="64"/>
      <c r="F116" s="64"/>
      <c r="G116" s="64"/>
      <c r="H116" s="64"/>
      <c r="I116" s="64"/>
      <c r="J116" s="64"/>
      <c r="K116" s="64"/>
      <c r="L116" s="64"/>
      <c r="M116" s="64"/>
      <c r="N116" s="64"/>
      <c r="O116" s="64"/>
      <c r="P116" s="96"/>
    </row>
    <row r="117" spans="2:16" ht="12.75" customHeight="1">
      <c r="B117" s="95"/>
      <c r="C117" s="64"/>
      <c r="D117" s="64"/>
      <c r="E117" s="64"/>
      <c r="F117" s="64"/>
      <c r="G117" s="64"/>
      <c r="H117" s="64"/>
      <c r="I117" s="64"/>
      <c r="J117" s="64"/>
      <c r="K117" s="64"/>
      <c r="L117" s="64"/>
      <c r="M117" s="64"/>
      <c r="N117" s="64"/>
      <c r="O117" s="64"/>
      <c r="P117" s="96"/>
    </row>
    <row r="118" spans="2:16" ht="12.75" customHeight="1">
      <c r="B118" s="95"/>
      <c r="C118" s="64"/>
      <c r="D118" s="64"/>
      <c r="E118" s="64"/>
      <c r="F118" s="64"/>
      <c r="G118" s="64"/>
      <c r="H118" s="64"/>
      <c r="I118" s="64"/>
      <c r="J118" s="64"/>
      <c r="K118" s="64"/>
      <c r="L118" s="64"/>
      <c r="M118" s="64"/>
      <c r="N118" s="64"/>
      <c r="O118" s="64"/>
      <c r="P118" s="96"/>
    </row>
    <row r="119" spans="2:16" ht="12.75" customHeight="1">
      <c r="B119" s="95"/>
      <c r="C119" s="64"/>
      <c r="D119" s="64"/>
      <c r="E119" s="64"/>
      <c r="F119" s="64"/>
      <c r="G119" s="64"/>
      <c r="H119" s="64"/>
      <c r="I119" s="64"/>
      <c r="J119" s="64"/>
      <c r="K119" s="64"/>
      <c r="L119" s="64"/>
      <c r="M119" s="64"/>
      <c r="N119" s="64"/>
      <c r="O119" s="64"/>
      <c r="P119" s="96"/>
    </row>
    <row r="120" spans="2:16" ht="12.75" customHeight="1">
      <c r="B120" s="95"/>
      <c r="C120" s="64"/>
      <c r="D120" s="64"/>
      <c r="E120" s="64"/>
      <c r="F120" s="64"/>
      <c r="G120" s="64"/>
      <c r="H120" s="64"/>
      <c r="I120" s="64"/>
      <c r="J120" s="64"/>
      <c r="K120" s="64"/>
      <c r="L120" s="64"/>
      <c r="M120" s="64"/>
      <c r="N120" s="64"/>
      <c r="O120" s="64"/>
      <c r="P120" s="96"/>
    </row>
    <row r="121" spans="2:16" ht="12.75" customHeight="1">
      <c r="B121" s="95"/>
      <c r="C121" s="64"/>
      <c r="D121" s="64"/>
      <c r="E121" s="64"/>
      <c r="F121" s="64"/>
      <c r="G121" s="64"/>
      <c r="H121" s="64"/>
      <c r="I121" s="64"/>
      <c r="J121" s="64"/>
      <c r="K121" s="64"/>
      <c r="L121" s="64"/>
      <c r="M121" s="64"/>
      <c r="N121" s="64"/>
      <c r="O121" s="64"/>
      <c r="P121" s="96"/>
    </row>
    <row r="122" spans="2:16" ht="12.75" customHeight="1">
      <c r="B122" s="95"/>
      <c r="C122" s="64"/>
      <c r="D122" s="64"/>
      <c r="E122" s="64"/>
      <c r="F122" s="64"/>
      <c r="G122" s="64"/>
      <c r="H122" s="64"/>
      <c r="I122" s="64"/>
      <c r="J122" s="64"/>
      <c r="K122" s="64"/>
      <c r="L122" s="64"/>
      <c r="M122" s="64"/>
      <c r="N122" s="64"/>
      <c r="O122" s="64"/>
      <c r="P122" s="96"/>
    </row>
    <row r="123" spans="2:16" ht="12.75" customHeight="1">
      <c r="B123" s="95"/>
      <c r="C123" s="64"/>
      <c r="D123" s="64"/>
      <c r="E123" s="64"/>
      <c r="F123" s="64"/>
      <c r="G123" s="64"/>
      <c r="H123" s="64"/>
      <c r="I123" s="64"/>
      <c r="J123" s="64"/>
      <c r="K123" s="64"/>
      <c r="L123" s="64"/>
      <c r="M123" s="64"/>
      <c r="N123" s="64"/>
      <c r="O123" s="64"/>
      <c r="P123" s="96"/>
    </row>
    <row r="124" spans="2:16" ht="12.75" customHeight="1">
      <c r="B124" s="95"/>
      <c r="C124" s="64"/>
      <c r="D124" s="64"/>
      <c r="E124" s="64"/>
      <c r="F124" s="64"/>
      <c r="G124" s="64"/>
      <c r="H124" s="64"/>
      <c r="I124" s="64"/>
      <c r="J124" s="64"/>
      <c r="K124" s="64"/>
      <c r="L124" s="64"/>
      <c r="M124" s="64"/>
      <c r="N124" s="64"/>
      <c r="O124" s="64"/>
      <c r="P124" s="96"/>
    </row>
    <row r="125" spans="2:16" ht="12.75" customHeight="1">
      <c r="B125" s="95"/>
      <c r="C125" s="64"/>
      <c r="D125" s="64"/>
      <c r="E125" s="64"/>
      <c r="F125" s="64"/>
      <c r="G125" s="64"/>
      <c r="H125" s="64"/>
      <c r="I125" s="64"/>
      <c r="J125" s="64"/>
      <c r="K125" s="64"/>
      <c r="L125" s="64"/>
      <c r="M125" s="64"/>
      <c r="N125" s="64"/>
      <c r="O125" s="64"/>
      <c r="P125" s="96"/>
    </row>
    <row r="126" spans="2:16" ht="12.75" customHeight="1">
      <c r="B126" s="95"/>
      <c r="C126" s="64"/>
      <c r="D126" s="64"/>
      <c r="E126" s="64"/>
      <c r="F126" s="64"/>
      <c r="G126" s="64"/>
      <c r="H126" s="64"/>
      <c r="I126" s="64"/>
      <c r="J126" s="64"/>
      <c r="K126" s="64"/>
      <c r="L126" s="64"/>
      <c r="M126" s="64"/>
      <c r="N126" s="64"/>
      <c r="O126" s="64"/>
      <c r="P126" s="96"/>
    </row>
    <row r="127" spans="2:16" ht="12.75" customHeight="1">
      <c r="B127" s="95"/>
      <c r="C127" s="64"/>
      <c r="D127" s="64"/>
      <c r="E127" s="64"/>
      <c r="F127" s="64"/>
      <c r="G127" s="64"/>
      <c r="H127" s="64"/>
      <c r="I127" s="64"/>
      <c r="J127" s="64"/>
      <c r="K127" s="64"/>
      <c r="L127" s="64"/>
      <c r="M127" s="64"/>
      <c r="N127" s="64"/>
      <c r="O127" s="64"/>
      <c r="P127" s="96"/>
    </row>
    <row r="128" spans="2:16" ht="12.75" customHeight="1">
      <c r="B128" s="95"/>
      <c r="C128" s="64"/>
      <c r="D128" s="64"/>
      <c r="E128" s="64"/>
      <c r="F128" s="64"/>
      <c r="G128" s="64"/>
      <c r="H128" s="64"/>
      <c r="I128" s="64"/>
      <c r="J128" s="64"/>
      <c r="K128" s="64"/>
      <c r="L128" s="64"/>
      <c r="M128" s="64"/>
      <c r="N128" s="64"/>
      <c r="O128" s="64"/>
      <c r="P128" s="96"/>
    </row>
    <row r="129" spans="2:16" ht="12.75" customHeight="1">
      <c r="B129" s="95"/>
      <c r="C129" s="64"/>
      <c r="D129" s="64"/>
      <c r="E129" s="64"/>
      <c r="F129" s="64"/>
      <c r="G129" s="64"/>
      <c r="H129" s="64"/>
      <c r="I129" s="64"/>
      <c r="J129" s="64"/>
      <c r="K129" s="64"/>
      <c r="L129" s="64"/>
      <c r="M129" s="64"/>
      <c r="N129" s="64"/>
      <c r="O129" s="64"/>
      <c r="P129" s="96"/>
    </row>
    <row r="130" spans="2:16" ht="12.75" customHeight="1">
      <c r="B130" s="95"/>
      <c r="C130" s="64"/>
      <c r="D130" s="64"/>
      <c r="E130" s="64"/>
      <c r="F130" s="64"/>
      <c r="G130" s="64"/>
      <c r="H130" s="64"/>
      <c r="I130" s="64"/>
      <c r="J130" s="64"/>
      <c r="K130" s="64"/>
      <c r="L130" s="64"/>
      <c r="M130" s="64"/>
      <c r="N130" s="64"/>
      <c r="O130" s="64"/>
      <c r="P130" s="96"/>
    </row>
    <row r="131" spans="2:16" ht="12.75" customHeight="1">
      <c r="B131" s="95"/>
      <c r="C131" s="64"/>
      <c r="D131" s="64"/>
      <c r="E131" s="64"/>
      <c r="F131" s="64"/>
      <c r="G131" s="64"/>
      <c r="H131" s="64"/>
      <c r="I131" s="64"/>
      <c r="J131" s="64"/>
      <c r="K131" s="64"/>
      <c r="L131" s="64"/>
      <c r="M131" s="64"/>
      <c r="N131" s="64"/>
      <c r="O131" s="64"/>
      <c r="P131" s="96"/>
    </row>
    <row r="132" spans="2:16" ht="12.75" customHeight="1">
      <c r="B132" s="95"/>
      <c r="C132" s="64"/>
      <c r="D132" s="64"/>
      <c r="E132" s="64"/>
      <c r="F132" s="64"/>
      <c r="G132" s="64"/>
      <c r="H132" s="64"/>
      <c r="I132" s="64"/>
      <c r="J132" s="64"/>
      <c r="K132" s="64"/>
      <c r="L132" s="64"/>
      <c r="M132" s="64"/>
      <c r="N132" s="64"/>
      <c r="O132" s="64"/>
      <c r="P132" s="96"/>
    </row>
    <row r="133" spans="2:16" ht="12.75" customHeight="1">
      <c r="B133" s="95"/>
      <c r="C133" s="64"/>
      <c r="D133" s="64"/>
      <c r="E133" s="64"/>
      <c r="F133" s="64"/>
      <c r="G133" s="64"/>
      <c r="H133" s="64"/>
      <c r="I133" s="64"/>
      <c r="J133" s="64"/>
      <c r="K133" s="64"/>
      <c r="L133" s="64"/>
      <c r="M133" s="64"/>
      <c r="N133" s="64"/>
      <c r="O133" s="64"/>
      <c r="P133" s="96"/>
    </row>
    <row r="134" spans="2:16" ht="12.75" customHeight="1">
      <c r="B134" s="95"/>
      <c r="C134" s="64"/>
      <c r="D134" s="64"/>
      <c r="E134" s="64"/>
      <c r="F134" s="64"/>
      <c r="G134" s="64"/>
      <c r="H134" s="64"/>
      <c r="I134" s="64"/>
      <c r="J134" s="64"/>
      <c r="K134" s="64"/>
      <c r="L134" s="64"/>
      <c r="M134" s="64"/>
      <c r="N134" s="64"/>
      <c r="O134" s="64"/>
      <c r="P134" s="96"/>
    </row>
    <row r="135" spans="2:16" ht="12.75" customHeight="1">
      <c r="B135" s="95"/>
      <c r="C135" s="64"/>
      <c r="D135" s="64"/>
      <c r="E135" s="64"/>
      <c r="F135" s="64"/>
      <c r="G135" s="64"/>
      <c r="H135" s="64"/>
      <c r="I135" s="64"/>
      <c r="J135" s="64"/>
      <c r="K135" s="64"/>
      <c r="L135" s="64"/>
      <c r="M135" s="64"/>
      <c r="N135" s="64"/>
      <c r="O135" s="64"/>
      <c r="P135" s="96"/>
    </row>
    <row r="136" spans="2:16" ht="12.75" customHeight="1">
      <c r="B136" s="95"/>
      <c r="C136" s="64"/>
      <c r="D136" s="64"/>
      <c r="E136" s="64"/>
      <c r="F136" s="64"/>
      <c r="G136" s="64"/>
      <c r="H136" s="64"/>
      <c r="I136" s="64"/>
      <c r="J136" s="64"/>
      <c r="K136" s="64"/>
      <c r="L136" s="64"/>
      <c r="M136" s="64"/>
      <c r="N136" s="64"/>
      <c r="O136" s="64"/>
      <c r="P136" s="96"/>
    </row>
    <row r="137" spans="2:16" ht="12.75" customHeight="1">
      <c r="B137" s="95"/>
      <c r="C137" s="64"/>
      <c r="D137" s="64"/>
      <c r="E137" s="64"/>
      <c r="F137" s="64"/>
      <c r="G137" s="64"/>
      <c r="H137" s="64"/>
      <c r="I137" s="64"/>
      <c r="J137" s="64"/>
      <c r="K137" s="64"/>
      <c r="L137" s="64"/>
      <c r="M137" s="64"/>
      <c r="N137" s="64"/>
      <c r="O137" s="64"/>
      <c r="P137" s="96"/>
    </row>
    <row r="138" spans="2:16" ht="12.75" customHeight="1">
      <c r="B138" s="95"/>
      <c r="C138" s="64"/>
      <c r="D138" s="64"/>
      <c r="E138" s="64"/>
      <c r="F138" s="64"/>
      <c r="G138" s="64"/>
      <c r="H138" s="64"/>
      <c r="I138" s="64"/>
      <c r="J138" s="64"/>
      <c r="K138" s="64"/>
      <c r="L138" s="64"/>
      <c r="M138" s="64"/>
      <c r="N138" s="64"/>
      <c r="O138" s="64"/>
      <c r="P138" s="96"/>
    </row>
    <row r="139" spans="2:16" ht="12.75" customHeight="1">
      <c r="B139" s="95"/>
      <c r="C139" s="64"/>
      <c r="D139" s="64"/>
      <c r="E139" s="64"/>
      <c r="F139" s="64"/>
      <c r="G139" s="64"/>
      <c r="H139" s="64"/>
      <c r="I139" s="64"/>
      <c r="J139" s="64"/>
      <c r="K139" s="64"/>
      <c r="L139" s="64"/>
      <c r="M139" s="64"/>
      <c r="N139" s="64"/>
      <c r="O139" s="64"/>
      <c r="P139" s="96"/>
    </row>
    <row r="140" spans="2:16" ht="12.75" customHeight="1">
      <c r="B140" s="95"/>
      <c r="C140" s="64"/>
      <c r="D140" s="64"/>
      <c r="E140" s="64"/>
      <c r="F140" s="64"/>
      <c r="G140" s="64"/>
      <c r="H140" s="64"/>
      <c r="I140" s="64"/>
      <c r="J140" s="64"/>
      <c r="K140" s="64"/>
      <c r="L140" s="64"/>
      <c r="M140" s="64"/>
      <c r="N140" s="64"/>
      <c r="O140" s="64"/>
      <c r="P140" s="96"/>
    </row>
    <row r="141" spans="2:16" ht="12.75" customHeight="1">
      <c r="B141" s="95"/>
      <c r="C141" s="64"/>
      <c r="D141" s="64"/>
      <c r="E141" s="64"/>
      <c r="F141" s="64"/>
      <c r="G141" s="64"/>
      <c r="H141" s="64"/>
      <c r="I141" s="64"/>
      <c r="J141" s="64"/>
      <c r="K141" s="64"/>
      <c r="L141" s="64"/>
      <c r="M141" s="64"/>
      <c r="N141" s="64"/>
      <c r="O141" s="64"/>
      <c r="P141" s="96"/>
    </row>
    <row r="142" spans="2:16" ht="12.75" customHeight="1">
      <c r="B142" s="95"/>
      <c r="C142" s="64"/>
      <c r="D142" s="64"/>
      <c r="E142" s="64"/>
      <c r="F142" s="64"/>
      <c r="G142" s="64"/>
      <c r="H142" s="64"/>
      <c r="I142" s="64"/>
      <c r="J142" s="64"/>
      <c r="K142" s="64"/>
      <c r="L142" s="64"/>
      <c r="M142" s="64"/>
      <c r="N142" s="64"/>
      <c r="O142" s="64"/>
      <c r="P142" s="96"/>
    </row>
    <row r="143" spans="2:16" ht="12.75" customHeight="1">
      <c r="B143" s="95"/>
      <c r="C143" s="64"/>
      <c r="D143" s="64"/>
      <c r="E143" s="64"/>
      <c r="F143" s="64"/>
      <c r="G143" s="64"/>
      <c r="H143" s="64"/>
      <c r="I143" s="64"/>
      <c r="J143" s="64"/>
      <c r="K143" s="64"/>
      <c r="L143" s="64"/>
      <c r="M143" s="64"/>
      <c r="N143" s="64"/>
      <c r="O143" s="64"/>
      <c r="P143" s="96"/>
    </row>
    <row r="144" spans="2:16" ht="12.75" customHeight="1">
      <c r="B144" s="95"/>
      <c r="C144" s="64"/>
      <c r="D144" s="64"/>
      <c r="E144" s="64"/>
      <c r="F144" s="64"/>
      <c r="G144" s="64"/>
      <c r="H144" s="64"/>
      <c r="I144" s="64"/>
      <c r="J144" s="64"/>
      <c r="K144" s="64"/>
      <c r="L144" s="64"/>
      <c r="M144" s="64"/>
      <c r="N144" s="64"/>
      <c r="O144" s="64"/>
      <c r="P144" s="96"/>
    </row>
    <row r="145" spans="2:16" ht="12.75" customHeight="1">
      <c r="B145" s="95"/>
      <c r="C145" s="64"/>
      <c r="D145" s="64"/>
      <c r="E145" s="64"/>
      <c r="F145" s="64"/>
      <c r="G145" s="64"/>
      <c r="H145" s="64"/>
      <c r="I145" s="64"/>
      <c r="J145" s="64"/>
      <c r="K145" s="64"/>
      <c r="L145" s="64"/>
      <c r="M145" s="64"/>
      <c r="N145" s="64"/>
      <c r="O145" s="64"/>
      <c r="P145" s="96"/>
    </row>
    <row r="146" spans="2:16" ht="12.75" customHeight="1">
      <c r="B146" s="95"/>
      <c r="C146" s="64"/>
      <c r="D146" s="64"/>
      <c r="E146" s="64"/>
      <c r="F146" s="64"/>
      <c r="G146" s="64"/>
      <c r="H146" s="64"/>
      <c r="I146" s="64"/>
      <c r="J146" s="64"/>
      <c r="K146" s="64"/>
      <c r="L146" s="64"/>
      <c r="M146" s="64"/>
      <c r="N146" s="64"/>
      <c r="O146" s="64"/>
      <c r="P146" s="96"/>
    </row>
    <row r="147" spans="2:16" ht="12.75" customHeight="1">
      <c r="B147" s="95"/>
      <c r="C147" s="64"/>
      <c r="D147" s="64"/>
      <c r="E147" s="64"/>
      <c r="F147" s="64"/>
      <c r="G147" s="64"/>
      <c r="H147" s="64"/>
      <c r="I147" s="64"/>
      <c r="J147" s="64"/>
      <c r="K147" s="64"/>
      <c r="L147" s="64"/>
      <c r="M147" s="64"/>
      <c r="N147" s="64"/>
      <c r="O147" s="64"/>
      <c r="P147" s="96"/>
    </row>
    <row r="148" spans="2:16" ht="12.75" customHeight="1">
      <c r="B148" s="95"/>
      <c r="C148" s="64"/>
      <c r="D148" s="64"/>
      <c r="E148" s="64"/>
      <c r="F148" s="64"/>
      <c r="G148" s="64"/>
      <c r="H148" s="64"/>
      <c r="I148" s="64"/>
      <c r="J148" s="64"/>
      <c r="K148" s="64"/>
      <c r="L148" s="64"/>
      <c r="M148" s="64"/>
      <c r="N148" s="64"/>
      <c r="O148" s="64"/>
      <c r="P148" s="96"/>
    </row>
    <row r="149" spans="2:16" ht="12.75" customHeight="1">
      <c r="B149" s="95"/>
      <c r="C149" s="64"/>
      <c r="D149" s="64"/>
      <c r="E149" s="64"/>
      <c r="F149" s="64"/>
      <c r="G149" s="64"/>
      <c r="H149" s="64"/>
      <c r="I149" s="64"/>
      <c r="J149" s="64"/>
      <c r="K149" s="64"/>
      <c r="L149" s="64"/>
      <c r="M149" s="64"/>
      <c r="N149" s="64"/>
      <c r="O149" s="64"/>
      <c r="P149" s="96"/>
    </row>
    <row r="150" spans="2:16" ht="12.75" customHeight="1">
      <c r="B150" s="95"/>
      <c r="C150" s="64"/>
      <c r="D150" s="64"/>
      <c r="E150" s="64"/>
      <c r="F150" s="64"/>
      <c r="G150" s="64"/>
      <c r="H150" s="64"/>
      <c r="I150" s="64"/>
      <c r="J150" s="64"/>
      <c r="K150" s="64"/>
      <c r="L150" s="64"/>
      <c r="M150" s="64"/>
      <c r="N150" s="64"/>
      <c r="O150" s="64"/>
      <c r="P150" s="96"/>
    </row>
    <row r="151" spans="2:16" ht="12.75" customHeight="1">
      <c r="B151" s="95"/>
      <c r="C151" s="64"/>
      <c r="D151" s="64"/>
      <c r="E151" s="64"/>
      <c r="F151" s="64"/>
      <c r="G151" s="64"/>
      <c r="H151" s="64"/>
      <c r="I151" s="64"/>
      <c r="J151" s="64"/>
      <c r="K151" s="64"/>
      <c r="L151" s="64"/>
      <c r="M151" s="64"/>
      <c r="N151" s="64"/>
      <c r="O151" s="64"/>
      <c r="P151" s="96"/>
    </row>
    <row r="152" spans="2:16" ht="12.75" customHeight="1">
      <c r="B152" s="95"/>
      <c r="C152" s="64"/>
      <c r="D152" s="64"/>
      <c r="E152" s="64"/>
      <c r="F152" s="64"/>
      <c r="G152" s="64"/>
      <c r="H152" s="64"/>
      <c r="I152" s="64"/>
      <c r="J152" s="64"/>
      <c r="K152" s="64"/>
      <c r="L152" s="64"/>
      <c r="M152" s="64"/>
      <c r="N152" s="64"/>
      <c r="O152" s="64"/>
      <c r="P152" s="96"/>
    </row>
    <row r="153" spans="2:16" ht="12.75" customHeight="1">
      <c r="B153" s="95"/>
      <c r="C153" s="64"/>
      <c r="D153" s="64"/>
      <c r="E153" s="64"/>
      <c r="F153" s="64"/>
      <c r="G153" s="64"/>
      <c r="H153" s="64"/>
      <c r="I153" s="64"/>
      <c r="J153" s="64"/>
      <c r="K153" s="64"/>
      <c r="L153" s="64"/>
      <c r="M153" s="64"/>
      <c r="N153" s="64"/>
      <c r="O153" s="64"/>
      <c r="P153" s="96"/>
    </row>
    <row r="154" spans="2:16" ht="12.75" customHeight="1">
      <c r="B154" s="95"/>
      <c r="C154" s="64"/>
      <c r="D154" s="64"/>
      <c r="E154" s="64"/>
      <c r="F154" s="64"/>
      <c r="G154" s="64"/>
      <c r="H154" s="64"/>
      <c r="I154" s="64"/>
      <c r="J154" s="64"/>
      <c r="K154" s="64"/>
      <c r="L154" s="64"/>
      <c r="M154" s="64"/>
      <c r="N154" s="64"/>
      <c r="O154" s="64"/>
      <c r="P154" s="96"/>
    </row>
    <row r="155" spans="2:16" ht="12.75" customHeight="1">
      <c r="B155" s="95"/>
      <c r="C155" s="64"/>
      <c r="D155" s="64"/>
      <c r="E155" s="64"/>
      <c r="F155" s="64"/>
      <c r="G155" s="64"/>
      <c r="H155" s="64"/>
      <c r="I155" s="64"/>
      <c r="J155" s="64"/>
      <c r="K155" s="64"/>
      <c r="L155" s="64"/>
      <c r="M155" s="64"/>
      <c r="N155" s="64"/>
      <c r="O155" s="64"/>
      <c r="P155" s="96"/>
    </row>
    <row r="156" spans="2:16" ht="12.75" customHeight="1">
      <c r="B156" s="95"/>
      <c r="C156" s="64"/>
      <c r="D156" s="64"/>
      <c r="E156" s="64"/>
      <c r="F156" s="64"/>
      <c r="G156" s="64"/>
      <c r="H156" s="64"/>
      <c r="I156" s="64"/>
      <c r="J156" s="64"/>
      <c r="K156" s="64"/>
      <c r="L156" s="64"/>
      <c r="M156" s="64"/>
      <c r="N156" s="64"/>
      <c r="O156" s="64"/>
      <c r="P156" s="96"/>
    </row>
    <row r="157" spans="2:16" ht="12.75" customHeight="1">
      <c r="B157" s="95"/>
      <c r="C157" s="64"/>
      <c r="D157" s="64"/>
      <c r="E157" s="64"/>
      <c r="F157" s="64"/>
      <c r="G157" s="64"/>
      <c r="H157" s="64"/>
      <c r="I157" s="64"/>
      <c r="J157" s="64"/>
      <c r="K157" s="64"/>
      <c r="L157" s="64"/>
      <c r="M157" s="64"/>
      <c r="N157" s="64"/>
      <c r="O157" s="64"/>
      <c r="P157" s="96"/>
    </row>
    <row r="158" spans="2:16" ht="12.75" customHeight="1">
      <c r="B158" s="95"/>
      <c r="C158" s="64"/>
      <c r="D158" s="64"/>
      <c r="E158" s="64"/>
      <c r="F158" s="64"/>
      <c r="G158" s="64"/>
      <c r="H158" s="64"/>
      <c r="I158" s="64"/>
      <c r="J158" s="64"/>
      <c r="K158" s="64"/>
      <c r="L158" s="64"/>
      <c r="M158" s="64"/>
      <c r="N158" s="64"/>
      <c r="O158" s="64"/>
      <c r="P158" s="96"/>
    </row>
    <row r="159" spans="2:16" ht="12.75" customHeight="1">
      <c r="B159" s="95"/>
      <c r="C159" s="64"/>
      <c r="D159" s="64"/>
      <c r="E159" s="64"/>
      <c r="F159" s="64"/>
      <c r="G159" s="64"/>
      <c r="H159" s="64"/>
      <c r="I159" s="64"/>
      <c r="J159" s="64"/>
      <c r="K159" s="64"/>
      <c r="L159" s="64"/>
      <c r="M159" s="64"/>
      <c r="N159" s="64"/>
      <c r="O159" s="64"/>
      <c r="P159" s="96"/>
    </row>
    <row r="160" spans="2:16" ht="12.75" customHeight="1">
      <c r="B160" s="95"/>
      <c r="C160" s="64"/>
      <c r="D160" s="64"/>
      <c r="E160" s="64"/>
      <c r="F160" s="64"/>
      <c r="G160" s="64"/>
      <c r="H160" s="64"/>
      <c r="I160" s="64"/>
      <c r="J160" s="64"/>
      <c r="K160" s="64"/>
      <c r="L160" s="64"/>
      <c r="M160" s="64"/>
      <c r="N160" s="64"/>
      <c r="O160" s="64"/>
      <c r="P160" s="96"/>
    </row>
    <row r="161" spans="2:16" ht="12.75" customHeight="1">
      <c r="B161" s="95"/>
      <c r="C161" s="64"/>
      <c r="D161" s="64"/>
      <c r="E161" s="64"/>
      <c r="F161" s="64"/>
      <c r="G161" s="64"/>
      <c r="H161" s="64"/>
      <c r="I161" s="64"/>
      <c r="J161" s="64"/>
      <c r="K161" s="64"/>
      <c r="L161" s="64"/>
      <c r="M161" s="64"/>
      <c r="N161" s="64"/>
      <c r="O161" s="64"/>
      <c r="P161" s="96"/>
    </row>
    <row r="162" spans="2:16" ht="12.75" customHeight="1">
      <c r="B162" s="95"/>
      <c r="C162" s="64"/>
      <c r="D162" s="64"/>
      <c r="E162" s="64"/>
      <c r="F162" s="64"/>
      <c r="G162" s="64"/>
      <c r="H162" s="64"/>
      <c r="I162" s="64"/>
      <c r="J162" s="64"/>
      <c r="K162" s="64"/>
      <c r="L162" s="64"/>
      <c r="M162" s="64"/>
      <c r="N162" s="64"/>
      <c r="O162" s="64"/>
      <c r="P162" s="96"/>
    </row>
    <row r="163" spans="2:16" ht="12.75" customHeight="1">
      <c r="B163" s="95"/>
      <c r="C163" s="64"/>
      <c r="D163" s="64"/>
      <c r="E163" s="64"/>
      <c r="F163" s="64"/>
      <c r="G163" s="64"/>
      <c r="H163" s="64"/>
      <c r="I163" s="64"/>
      <c r="J163" s="64"/>
      <c r="K163" s="64"/>
      <c r="L163" s="64"/>
      <c r="M163" s="64"/>
      <c r="N163" s="64"/>
      <c r="O163" s="64"/>
      <c r="P163" s="96"/>
    </row>
    <row r="164" spans="2:16" ht="12.75" customHeight="1">
      <c r="B164" s="95"/>
      <c r="C164" s="64"/>
      <c r="D164" s="64"/>
      <c r="E164" s="64"/>
      <c r="F164" s="64"/>
      <c r="G164" s="64"/>
      <c r="H164" s="64"/>
      <c r="I164" s="64"/>
      <c r="J164" s="64"/>
      <c r="K164" s="64"/>
      <c r="L164" s="64"/>
      <c r="M164" s="64"/>
      <c r="N164" s="64"/>
      <c r="O164" s="64"/>
      <c r="P164" s="96"/>
    </row>
    <row r="165" spans="2:16" ht="12.75" customHeight="1">
      <c r="B165" s="95"/>
      <c r="C165" s="64"/>
      <c r="D165" s="64"/>
      <c r="E165" s="64"/>
      <c r="F165" s="64"/>
      <c r="G165" s="64"/>
      <c r="H165" s="64"/>
      <c r="I165" s="64"/>
      <c r="J165" s="64"/>
      <c r="K165" s="64"/>
      <c r="L165" s="64"/>
      <c r="M165" s="64"/>
      <c r="N165" s="64"/>
      <c r="O165" s="64"/>
      <c r="P165" s="96"/>
    </row>
    <row r="166" spans="2:16" ht="12.75" customHeight="1">
      <c r="B166" s="95"/>
      <c r="C166" s="64"/>
      <c r="D166" s="64"/>
      <c r="E166" s="64"/>
      <c r="F166" s="64"/>
      <c r="G166" s="64"/>
      <c r="H166" s="64"/>
      <c r="I166" s="64"/>
      <c r="J166" s="64"/>
      <c r="K166" s="64"/>
      <c r="L166" s="64"/>
      <c r="M166" s="64"/>
      <c r="N166" s="64"/>
      <c r="O166" s="64"/>
      <c r="P166" s="96"/>
    </row>
    <row r="167" spans="2:16" ht="12.75" customHeight="1">
      <c r="B167" s="95"/>
      <c r="C167" s="64"/>
      <c r="D167" s="64"/>
      <c r="E167" s="64"/>
      <c r="F167" s="64"/>
      <c r="G167" s="64"/>
      <c r="H167" s="64"/>
      <c r="I167" s="64"/>
      <c r="J167" s="64"/>
      <c r="K167" s="64"/>
      <c r="L167" s="64"/>
      <c r="M167" s="64"/>
      <c r="N167" s="64"/>
      <c r="O167" s="64"/>
      <c r="P167" s="96"/>
    </row>
    <row r="168" spans="2:16" ht="12.75" customHeight="1">
      <c r="B168" s="95"/>
      <c r="C168" s="64"/>
      <c r="D168" s="64"/>
      <c r="E168" s="64"/>
      <c r="F168" s="64"/>
      <c r="G168" s="64"/>
      <c r="H168" s="64"/>
      <c r="I168" s="64"/>
      <c r="J168" s="64"/>
      <c r="K168" s="64"/>
      <c r="L168" s="64"/>
      <c r="M168" s="64"/>
      <c r="N168" s="64"/>
      <c r="O168" s="64"/>
      <c r="P168" s="96"/>
    </row>
    <row r="169" spans="2:16" ht="12.75" customHeight="1">
      <c r="B169" s="95"/>
      <c r="C169" s="64"/>
      <c r="D169" s="64"/>
      <c r="E169" s="64"/>
      <c r="F169" s="64"/>
      <c r="G169" s="64"/>
      <c r="H169" s="64"/>
      <c r="I169" s="64"/>
      <c r="J169" s="64"/>
      <c r="K169" s="64"/>
      <c r="L169" s="64"/>
      <c r="M169" s="64"/>
      <c r="N169" s="64"/>
      <c r="O169" s="64"/>
      <c r="P169" s="96"/>
    </row>
    <row r="170" spans="2:16" ht="12.75" customHeight="1">
      <c r="B170" s="95"/>
      <c r="C170" s="64"/>
      <c r="D170" s="64"/>
      <c r="E170" s="64"/>
      <c r="F170" s="64"/>
      <c r="G170" s="64"/>
      <c r="H170" s="64"/>
      <c r="I170" s="64"/>
      <c r="J170" s="64"/>
      <c r="K170" s="64"/>
      <c r="L170" s="64"/>
      <c r="M170" s="64"/>
      <c r="N170" s="64"/>
      <c r="O170" s="64"/>
      <c r="P170" s="96"/>
    </row>
    <row r="171" spans="2:16" ht="12.75" customHeight="1">
      <c r="B171" s="95"/>
      <c r="C171" s="64"/>
      <c r="D171" s="64"/>
      <c r="E171" s="64"/>
      <c r="F171" s="64"/>
      <c r="G171" s="64"/>
      <c r="H171" s="64"/>
      <c r="I171" s="64"/>
      <c r="J171" s="64"/>
      <c r="K171" s="64"/>
      <c r="L171" s="64"/>
      <c r="M171" s="64"/>
      <c r="N171" s="64"/>
      <c r="O171" s="64"/>
      <c r="P171" s="96"/>
    </row>
    <row r="172" spans="2:16" ht="12.75" customHeight="1">
      <c r="B172" s="95"/>
      <c r="C172" s="64"/>
      <c r="D172" s="64"/>
      <c r="E172" s="64"/>
      <c r="F172" s="64"/>
      <c r="G172" s="64"/>
      <c r="H172" s="64"/>
      <c r="I172" s="64"/>
      <c r="J172" s="64"/>
      <c r="K172" s="64"/>
      <c r="L172" s="64"/>
      <c r="M172" s="64"/>
      <c r="N172" s="64"/>
      <c r="O172" s="64"/>
      <c r="P172" s="96"/>
    </row>
    <row r="173" spans="2:16" ht="12.75" customHeight="1">
      <c r="B173" s="95"/>
      <c r="C173" s="64"/>
      <c r="D173" s="64"/>
      <c r="E173" s="64"/>
      <c r="F173" s="64"/>
      <c r="G173" s="64"/>
      <c r="H173" s="64"/>
      <c r="I173" s="64"/>
      <c r="J173" s="64"/>
      <c r="K173" s="64"/>
      <c r="L173" s="64"/>
      <c r="M173" s="64"/>
      <c r="N173" s="64"/>
      <c r="O173" s="64"/>
      <c r="P173" s="96"/>
    </row>
    <row r="174" spans="2:16" ht="12.75" customHeight="1">
      <c r="B174" s="95"/>
      <c r="C174" s="64"/>
      <c r="D174" s="64"/>
      <c r="E174" s="64"/>
      <c r="F174" s="64"/>
      <c r="G174" s="64"/>
      <c r="H174" s="64"/>
      <c r="I174" s="64"/>
      <c r="J174" s="64"/>
      <c r="K174" s="64"/>
      <c r="L174" s="64"/>
      <c r="M174" s="64"/>
      <c r="N174" s="64"/>
      <c r="O174" s="64"/>
      <c r="P174" s="96"/>
    </row>
    <row r="175" spans="2:16" ht="12.75" customHeight="1">
      <c r="B175" s="95"/>
      <c r="C175" s="64"/>
      <c r="D175" s="64"/>
      <c r="E175" s="64"/>
      <c r="F175" s="64"/>
      <c r="G175" s="64"/>
      <c r="H175" s="64"/>
      <c r="I175" s="64"/>
      <c r="J175" s="64"/>
      <c r="K175" s="64"/>
      <c r="L175" s="64"/>
      <c r="M175" s="64"/>
      <c r="N175" s="64"/>
      <c r="O175" s="64"/>
      <c r="P175" s="96"/>
    </row>
    <row r="176" spans="2:16" ht="12.75" customHeight="1">
      <c r="B176" s="95"/>
      <c r="C176" s="64"/>
      <c r="D176" s="64"/>
      <c r="E176" s="64"/>
      <c r="F176" s="64"/>
      <c r="G176" s="64"/>
      <c r="H176" s="64"/>
      <c r="I176" s="64"/>
      <c r="J176" s="64"/>
      <c r="K176" s="64"/>
      <c r="L176" s="64"/>
      <c r="M176" s="64"/>
      <c r="N176" s="64"/>
      <c r="O176" s="64"/>
      <c r="P176" s="96"/>
    </row>
    <row r="177" spans="2:16" ht="12.75" customHeight="1">
      <c r="B177" s="95"/>
      <c r="C177" s="64"/>
      <c r="D177" s="64"/>
      <c r="E177" s="64"/>
      <c r="F177" s="64"/>
      <c r="G177" s="64"/>
      <c r="H177" s="64"/>
      <c r="I177" s="64"/>
      <c r="J177" s="64"/>
      <c r="K177" s="64"/>
      <c r="L177" s="64"/>
      <c r="M177" s="64"/>
      <c r="N177" s="64"/>
      <c r="O177" s="64"/>
      <c r="P177" s="96"/>
    </row>
    <row r="178" spans="2:16" ht="12.75" customHeight="1">
      <c r="B178" s="95"/>
      <c r="C178" s="64"/>
      <c r="D178" s="64"/>
      <c r="E178" s="64"/>
      <c r="F178" s="64"/>
      <c r="G178" s="64"/>
      <c r="H178" s="64"/>
      <c r="I178" s="64"/>
      <c r="J178" s="64"/>
      <c r="K178" s="64"/>
      <c r="L178" s="64"/>
      <c r="M178" s="64"/>
      <c r="N178" s="64"/>
      <c r="O178" s="64"/>
      <c r="P178" s="96"/>
    </row>
    <row r="179" spans="2:16" ht="12.75" customHeight="1">
      <c r="B179" s="95"/>
      <c r="C179" s="64"/>
      <c r="D179" s="64"/>
      <c r="E179" s="64"/>
      <c r="F179" s="64"/>
      <c r="G179" s="64"/>
      <c r="H179" s="64"/>
      <c r="I179" s="64"/>
      <c r="J179" s="64"/>
      <c r="K179" s="64"/>
      <c r="L179" s="64"/>
      <c r="M179" s="64"/>
      <c r="N179" s="64"/>
      <c r="O179" s="64"/>
      <c r="P179" s="96"/>
    </row>
    <row r="180" spans="2:16" ht="12.75" customHeight="1">
      <c r="B180" s="95"/>
      <c r="C180" s="64"/>
      <c r="D180" s="64"/>
      <c r="E180" s="64"/>
      <c r="F180" s="64"/>
      <c r="G180" s="64"/>
      <c r="H180" s="64"/>
      <c r="I180" s="64"/>
      <c r="J180" s="64"/>
      <c r="K180" s="64"/>
      <c r="L180" s="64"/>
      <c r="M180" s="64"/>
      <c r="N180" s="64"/>
      <c r="O180" s="64"/>
      <c r="P180" s="96"/>
    </row>
    <row r="181" spans="2:16" ht="12.75" customHeight="1">
      <c r="B181" s="95"/>
      <c r="C181" s="64"/>
      <c r="D181" s="64"/>
      <c r="E181" s="64"/>
      <c r="F181" s="64"/>
      <c r="G181" s="64"/>
      <c r="H181" s="64"/>
      <c r="I181" s="64"/>
      <c r="J181" s="64"/>
      <c r="K181" s="64"/>
      <c r="L181" s="64"/>
      <c r="M181" s="64"/>
      <c r="N181" s="64"/>
      <c r="O181" s="64"/>
      <c r="P181" s="96"/>
    </row>
    <row r="182" spans="2:16" ht="12.75" customHeight="1">
      <c r="B182" s="95"/>
      <c r="C182" s="64"/>
      <c r="D182" s="64"/>
      <c r="E182" s="64"/>
      <c r="F182" s="64"/>
      <c r="G182" s="64"/>
      <c r="H182" s="64"/>
      <c r="I182" s="64"/>
      <c r="J182" s="64"/>
      <c r="K182" s="64"/>
      <c r="L182" s="64"/>
      <c r="M182" s="64"/>
      <c r="N182" s="64"/>
      <c r="O182" s="64"/>
      <c r="P182" s="96"/>
    </row>
    <row r="183" spans="2:16" ht="12.75" customHeight="1">
      <c r="B183" s="95"/>
      <c r="C183" s="64"/>
      <c r="D183" s="64"/>
      <c r="E183" s="64"/>
      <c r="F183" s="64"/>
      <c r="G183" s="64"/>
      <c r="H183" s="64"/>
      <c r="I183" s="64"/>
      <c r="J183" s="64"/>
      <c r="K183" s="64"/>
      <c r="L183" s="64"/>
      <c r="M183" s="64"/>
      <c r="N183" s="64"/>
      <c r="O183" s="64"/>
      <c r="P183" s="96"/>
    </row>
    <row r="184" spans="2:16" ht="12.75" customHeight="1">
      <c r="B184" s="95"/>
      <c r="C184" s="64"/>
      <c r="D184" s="64"/>
      <c r="E184" s="64"/>
      <c r="F184" s="64"/>
      <c r="G184" s="64"/>
      <c r="H184" s="64"/>
      <c r="I184" s="64"/>
      <c r="J184" s="64"/>
      <c r="K184" s="64"/>
      <c r="L184" s="64"/>
      <c r="M184" s="64"/>
      <c r="N184" s="64"/>
      <c r="O184" s="64"/>
      <c r="P184" s="96"/>
    </row>
    <row r="185" spans="2:16" ht="12.75" customHeight="1">
      <c r="B185" s="95"/>
      <c r="C185" s="64"/>
      <c r="D185" s="64"/>
      <c r="E185" s="64"/>
      <c r="F185" s="64"/>
      <c r="G185" s="64"/>
      <c r="H185" s="64"/>
      <c r="I185" s="64"/>
      <c r="J185" s="64"/>
      <c r="K185" s="64"/>
      <c r="L185" s="64"/>
      <c r="M185" s="64"/>
      <c r="N185" s="64"/>
      <c r="O185" s="64"/>
      <c r="P185" s="96"/>
    </row>
    <row r="186" spans="2:16" ht="12.75" customHeight="1">
      <c r="B186" s="95"/>
      <c r="C186" s="64"/>
      <c r="D186" s="64"/>
      <c r="E186" s="64"/>
      <c r="F186" s="64"/>
      <c r="G186" s="64"/>
      <c r="H186" s="64"/>
      <c r="I186" s="64"/>
      <c r="J186" s="64"/>
      <c r="K186" s="64"/>
      <c r="L186" s="64"/>
      <c r="M186" s="64"/>
      <c r="N186" s="64"/>
      <c r="O186" s="64"/>
      <c r="P186" s="96"/>
    </row>
    <row r="187" spans="2:16" ht="12.75" customHeight="1">
      <c r="B187" s="95"/>
      <c r="C187" s="64"/>
      <c r="D187" s="64"/>
      <c r="E187" s="64"/>
      <c r="F187" s="64"/>
      <c r="G187" s="64"/>
      <c r="H187" s="64"/>
      <c r="I187" s="64"/>
      <c r="J187" s="64"/>
      <c r="K187" s="64"/>
      <c r="L187" s="64"/>
      <c r="M187" s="64"/>
      <c r="N187" s="64"/>
      <c r="O187" s="64"/>
      <c r="P187" s="96"/>
    </row>
    <row r="188" spans="2:16" ht="12.75" customHeight="1">
      <c r="B188" s="95"/>
      <c r="C188" s="64"/>
      <c r="D188" s="64"/>
      <c r="E188" s="64"/>
      <c r="F188" s="64"/>
      <c r="G188" s="64"/>
      <c r="H188" s="64"/>
      <c r="I188" s="64"/>
      <c r="J188" s="64"/>
      <c r="K188" s="64"/>
      <c r="L188" s="64"/>
      <c r="M188" s="64"/>
      <c r="N188" s="64"/>
      <c r="O188" s="64"/>
      <c r="P188" s="96"/>
    </row>
    <row r="189" spans="2:16" ht="12.75" customHeight="1">
      <c r="B189" s="95"/>
      <c r="C189" s="64"/>
      <c r="D189" s="64"/>
      <c r="E189" s="64"/>
      <c r="F189" s="64"/>
      <c r="G189" s="64"/>
      <c r="H189" s="64"/>
      <c r="I189" s="64"/>
      <c r="J189" s="64"/>
      <c r="K189" s="64"/>
      <c r="L189" s="64"/>
      <c r="M189" s="64"/>
      <c r="N189" s="64"/>
      <c r="O189" s="64"/>
      <c r="P189" s="96"/>
    </row>
    <row r="190" spans="2:16" ht="12.75" customHeight="1">
      <c r="B190" s="100"/>
      <c r="C190" s="101"/>
      <c r="D190" s="101"/>
      <c r="E190" s="101"/>
      <c r="F190" s="101"/>
      <c r="G190" s="101"/>
      <c r="H190" s="101"/>
      <c r="I190" s="101"/>
      <c r="J190" s="101"/>
      <c r="K190" s="101"/>
      <c r="L190" s="101"/>
      <c r="M190" s="101"/>
      <c r="N190" s="101"/>
      <c r="O190" s="101"/>
      <c r="P190" s="150"/>
    </row>
    <row r="191" spans="2:16" ht="12.75" customHeight="1"/>
    <row r="192" spans="2:16"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G16">
    <cfRule type="cellIs" dxfId="181" priority="1" stopIfTrue="1" operator="lessThan">
      <formula>1.2</formula>
    </cfRule>
  </conditionalFormatting>
  <conditionalFormatting sqref="E27:G33">
    <cfRule type="cellIs" dxfId="180" priority="2" stopIfTrue="1" operator="lessThan">
      <formula>0.95*$C27*(E$14/$C$14)</formula>
    </cfRule>
  </conditionalFormatting>
  <conditionalFormatting sqref="E35:G35">
    <cfRule type="cellIs" dxfId="179" priority="3" stopIfTrue="1" operator="lessThan">
      <formula>0.95*$C35*(E$14/$C$14)</formula>
    </cfRule>
  </conditionalFormatting>
  <conditionalFormatting sqref="I22">
    <cfRule type="cellIs" dxfId="178" priority="4" stopIfTrue="1" operator="greaterThan">
      <formula>320</formula>
    </cfRule>
    <cfRule type="cellIs" dxfId="177" priority="5" stopIfTrue="1" operator="greaterThan">
      <formula>320</formula>
    </cfRule>
  </conditionalFormatting>
  <conditionalFormatting sqref="I27">
    <cfRule type="cellIs" dxfId="176" priority="6" stopIfTrue="1" operator="lessThan">
      <formula>$C$27*(2/3)</formula>
    </cfRule>
  </conditionalFormatting>
  <conditionalFormatting sqref="I20:J20">
    <cfRule type="expression" dxfId="175" priority="7">
      <formula>AND(I20&lt;0.4*I21,I20&lt;1)</formula>
    </cfRule>
  </conditionalFormatting>
  <conditionalFormatting sqref="I21:J21">
    <cfRule type="expression" dxfId="174" priority="8">
      <formula>AND(I21&lt;0.4*I20,I21&lt;1)</formula>
    </cfRule>
  </conditionalFormatting>
  <conditionalFormatting sqref="J27">
    <cfRule type="cellIs" dxfId="173" priority="9" stopIfTrue="1" operator="lessThan">
      <formula>$C$27/3</formula>
    </cfRule>
  </conditionalFormatting>
  <conditionalFormatting sqref="L27">
    <cfRule type="expression" dxfId="172" priority="10">
      <formula>AND($H$27 &gt;= 60, $H$27 &lt; 100)</formula>
    </cfRule>
    <cfRule type="cellIs" dxfId="171" priority="11" stopIfTrue="1" operator="notBetween">
      <formula>60</formula>
      <formula>100</formula>
    </cfRule>
  </conditionalFormatting>
  <conditionalFormatting sqref="L27:L33">
    <cfRule type="cellIs" dxfId="170" priority="12" stopIfTrue="1" operator="greaterThanOrEqual">
      <formula>100</formula>
    </cfRule>
  </conditionalFormatting>
  <conditionalFormatting sqref="L28:L33">
    <cfRule type="cellIs" dxfId="169" priority="13" stopIfTrue="1" operator="lessThan">
      <formula>100</formula>
    </cfRule>
  </conditionalFormatting>
  <conditionalFormatting sqref="L34">
    <cfRule type="expression" dxfId="168" priority="14">
      <formula>AND($H$34 &gt; 100, $H$34 &lt;= 166.667)</formula>
    </cfRule>
    <cfRule type="cellIs" dxfId="167" priority="15" stopIfTrue="1" operator="greaterThanOrEqual">
      <formula>166.667</formula>
    </cfRule>
    <cfRule type="cellIs" dxfId="166" priority="16" stopIfTrue="1" operator="lessThanOrEqual">
      <formula>100</formula>
    </cfRule>
  </conditionalFormatting>
  <conditionalFormatting sqref="L35">
    <cfRule type="cellIs" dxfId="165" priority="17" stopIfTrue="1" operator="greaterThanOrEqual">
      <formula>100</formula>
    </cfRule>
    <cfRule type="cellIs" dxfId="164" priority="18" stopIfTrue="1" operator="lessThan">
      <formula>100</formula>
    </cfRule>
  </conditionalFormatting>
  <dataValidations count="6">
    <dataValidation type="list" allowBlank="1" showErrorMessage="1" sqref="F2" xr:uid="{00000000-0002-0000-1800-000000000000}">
      <formula1>ConstructionType</formula1>
    </dataValidation>
    <dataValidation type="list" allowBlank="1" showErrorMessage="1" sqref="I5:J5" xr:uid="{00000000-0002-0000-1800-000001000000}">
      <formula1>Material</formula1>
    </dataValidation>
    <dataValidation type="list" allowBlank="1" showInputMessage="1" showErrorMessage="1" prompt="Select Material" sqref="E5:G5" xr:uid="{00000000-0002-0000-1800-000002000000}">
      <formula1>Metallic_Mats</formula1>
    </dataValidation>
    <dataValidation type="list" allowBlank="1" showErrorMessage="1" sqref="E13" xr:uid="{00000000-0002-0000-1800-000003000000}">
      <formula1>"Straight,Bent/Multi"</formula1>
    </dataValidation>
    <dataValidation type="list" allowBlank="1" showInputMessage="1" showErrorMessage="1" prompt="Select Material" sqref="C5:D5 D6" xr:uid="{00000000-0002-0000-1800-000004000000}">
      <formula1>Materials</formula1>
    </dataValidation>
    <dataValidation type="list" allowBlank="1" showInputMessage="1" showErrorMessage="1" prompt="Select Material" sqref="E6:G6" xr:uid="{00000000-0002-0000-1800-000005000000}">
      <formula1>Tube_Type</formula1>
    </dataValidation>
  </dataValidations>
  <hyperlinks>
    <hyperlink ref="I7" location="'T3.5 Laminate Test'!A1" display="T3.5_Laminate" xr:uid="{00000000-0004-0000-1800-000000000000}"/>
    <hyperlink ref="J7" location="'T3.5 Laminate Test'!A1" display="T3.5_Laminate" xr:uid="{00000000-0004-0000-1800-000001000000}"/>
    <hyperlink ref="B14" location="'T1.1 Guidance Notes'!A1" display="Number of tubes" xr:uid="{00000000-0004-0000-1800-000002000000}"/>
    <hyperlink ref="N35" location="'Cover Sheet'!A1" display="BACK to COVER SHEET" xr:uid="{00000000-0004-0000-1800-000003000000}"/>
    <hyperlink ref="B38" location="'EV4.4 Guidance Notes'!A1" display="Link to GUIDANCE NOTES for laminated structures" xr:uid="{00000000-0004-0000-1800-000004000000}"/>
    <hyperlink ref="B39" location="'T3.5 Guidance Notes'!A1" display="Link to GUIDANCE NOTES for anisotropic laminates" xr:uid="{00000000-0004-0000-1800-000005000000}"/>
  </hyperlinks>
  <pageMargins left="0.75" right="0.75" top="1" bottom="1" header="0" footer="0"/>
  <pageSetup paperSize="9"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CCFF99"/>
  </sheetPr>
  <dimension ref="B1:T1000"/>
  <sheetViews>
    <sheetView showGridLines="0" workbookViewId="0"/>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4.42578125" customWidth="1"/>
    <col min="10" max="10" width="11.5703125" customWidth="1"/>
    <col min="11" max="11" width="6.140625" customWidth="1"/>
    <col min="12" max="12" width="8.5703125" customWidth="1"/>
    <col min="13" max="26" width="11.42578125" customWidth="1"/>
  </cols>
  <sheetData>
    <row r="1" spans="2:15" ht="12.75" customHeight="1">
      <c r="B1" s="213" t="s">
        <v>659</v>
      </c>
    </row>
    <row r="2" spans="2:15" ht="12.75" customHeight="1">
      <c r="C2" s="690" t="s">
        <v>461</v>
      </c>
      <c r="D2" s="587"/>
      <c r="E2" s="588"/>
      <c r="F2" s="697" t="s">
        <v>240</v>
      </c>
      <c r="G2" s="588"/>
      <c r="L2" s="39" t="s">
        <v>252</v>
      </c>
      <c r="M2" s="39"/>
    </row>
    <row r="3" spans="2:15" ht="12.75" customHeight="1"/>
    <row r="4" spans="2:15" ht="25.5" customHeight="1">
      <c r="B4" s="27" t="s">
        <v>436</v>
      </c>
      <c r="C4" s="27" t="s">
        <v>437</v>
      </c>
      <c r="D4" s="31"/>
      <c r="E4" s="240" t="s">
        <v>502</v>
      </c>
      <c r="F4" s="240" t="s">
        <v>503</v>
      </c>
      <c r="G4" s="240" t="s">
        <v>504</v>
      </c>
      <c r="H4" s="240" t="s">
        <v>505</v>
      </c>
      <c r="I4" s="241" t="s">
        <v>462</v>
      </c>
      <c r="J4" s="240" t="s">
        <v>463</v>
      </c>
      <c r="L4" s="31"/>
      <c r="M4" s="32" t="s">
        <v>464</v>
      </c>
      <c r="N4" s="32" t="s">
        <v>465</v>
      </c>
    </row>
    <row r="5" spans="2:15" ht="12.75" customHeight="1">
      <c r="B5" s="43" t="s">
        <v>439</v>
      </c>
      <c r="C5" s="109" t="s">
        <v>202</v>
      </c>
      <c r="D5" s="67"/>
      <c r="E5" s="214" t="s">
        <v>202</v>
      </c>
      <c r="F5" s="214" t="s">
        <v>202</v>
      </c>
      <c r="G5" s="214" t="s">
        <v>202</v>
      </c>
      <c r="H5" s="224"/>
      <c r="I5" s="233" t="s">
        <v>205</v>
      </c>
      <c r="J5" s="224"/>
      <c r="L5" s="225" t="s">
        <v>466</v>
      </c>
      <c r="M5" s="67">
        <f>I22/1000</f>
        <v>0.32</v>
      </c>
      <c r="N5" s="225">
        <f>M5</f>
        <v>0.32</v>
      </c>
    </row>
    <row r="6" spans="2:15" ht="12.75" customHeight="1">
      <c r="B6" s="43" t="s">
        <v>467</v>
      </c>
      <c r="C6" s="109" t="s">
        <v>247</v>
      </c>
      <c r="D6" s="67"/>
      <c r="E6" s="214" t="s">
        <v>247</v>
      </c>
      <c r="F6" s="214" t="s">
        <v>247</v>
      </c>
      <c r="G6" s="214" t="s">
        <v>247</v>
      </c>
      <c r="H6" s="227"/>
      <c r="I6" s="226" t="s">
        <v>113</v>
      </c>
      <c r="J6" s="228"/>
      <c r="L6" s="225" t="s">
        <v>468</v>
      </c>
      <c r="M6" s="67">
        <f>I21/1000</f>
        <v>1E-3</v>
      </c>
      <c r="N6" s="225">
        <f>I20/1000</f>
        <v>1E-3</v>
      </c>
    </row>
    <row r="7" spans="2:15" ht="12.75" customHeight="1">
      <c r="B7" s="43" t="s">
        <v>441</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220</v>
      </c>
      <c r="J7" s="227"/>
    </row>
    <row r="8" spans="2:15" ht="12.75" customHeight="1">
      <c r="B8" s="43" t="s">
        <v>223</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660</v>
      </c>
      <c r="M8" s="131">
        <f>M5*M6</f>
        <v>3.2000000000000003E-4</v>
      </c>
      <c r="N8" s="225" t="s">
        <v>661</v>
      </c>
      <c r="O8" s="131">
        <f>(M5*M6^3)/12</f>
        <v>2.6666666666666668E-11</v>
      </c>
    </row>
    <row r="9" spans="2:15" ht="12.75" customHeight="1">
      <c r="B9" s="43" t="s">
        <v>225</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662</v>
      </c>
      <c r="M9" s="131">
        <f>N5*N6</f>
        <v>3.2000000000000003E-4</v>
      </c>
      <c r="N9" s="225" t="s">
        <v>663</v>
      </c>
      <c r="O9" s="131">
        <f>(N5*N6^3)/12</f>
        <v>2.6666666666666668E-11</v>
      </c>
    </row>
    <row r="10" spans="2:15" ht="12.75" customHeight="1">
      <c r="B10" s="43" t="s">
        <v>227</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664</v>
      </c>
      <c r="M10" s="67">
        <f>M6/2</f>
        <v>5.0000000000000001E-4</v>
      </c>
      <c r="N10" s="225" t="s">
        <v>665</v>
      </c>
      <c r="O10" s="131">
        <f t="shared" ref="O10:O11" si="0">O8+(M8*($M$12-M10)^2)</f>
        <v>2.8906666666666669E-8</v>
      </c>
    </row>
    <row r="11" spans="2:15" ht="12.75" customHeight="1">
      <c r="B11" s="43" t="s">
        <v>229</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666</v>
      </c>
      <c r="M11" s="67">
        <f>(I18-0.5*I20)*0.001</f>
        <v>1.95E-2</v>
      </c>
      <c r="N11" s="225" t="s">
        <v>667</v>
      </c>
      <c r="O11" s="131">
        <f t="shared" si="0"/>
        <v>2.8906666666666669E-8</v>
      </c>
    </row>
    <row r="12" spans="2:15" ht="12.75" customHeight="1">
      <c r="B12" s="43" t="s">
        <v>230</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477</v>
      </c>
      <c r="M12" s="229">
        <f>(M8*M10+M9*M11)/(M8+M9)</f>
        <v>0.01</v>
      </c>
      <c r="N12" s="225" t="s">
        <v>668</v>
      </c>
      <c r="O12" s="128">
        <f>SUM(O10:O11)</f>
        <v>5.7813333333333339E-8</v>
      </c>
    </row>
    <row r="13" spans="2:15" ht="12.75" customHeight="1">
      <c r="E13" s="80"/>
      <c r="G13" s="141"/>
      <c r="H13" s="227"/>
      <c r="J13" s="227"/>
      <c r="O13" s="131"/>
    </row>
    <row r="14" spans="2:15" ht="12.75" customHeight="1">
      <c r="B14" s="43" t="s">
        <v>479</v>
      </c>
      <c r="C14" s="109">
        <v>3</v>
      </c>
      <c r="E14" s="214">
        <v>3</v>
      </c>
      <c r="F14" s="214">
        <v>0</v>
      </c>
      <c r="G14" s="214">
        <v>0</v>
      </c>
      <c r="H14" s="227"/>
      <c r="J14" s="227"/>
      <c r="O14" s="131"/>
    </row>
    <row r="15" spans="2:15" ht="12.75" customHeight="1">
      <c r="B15" s="43" t="s">
        <v>442</v>
      </c>
      <c r="C15" s="109">
        <v>25.4</v>
      </c>
      <c r="E15" s="214">
        <v>25.4</v>
      </c>
      <c r="F15" s="214">
        <v>25.4</v>
      </c>
      <c r="G15" s="214">
        <v>25.4</v>
      </c>
      <c r="H15" s="227"/>
      <c r="J15" s="227"/>
      <c r="O15" s="131"/>
    </row>
    <row r="16" spans="2:15" ht="12.75" customHeight="1">
      <c r="B16" s="43" t="s">
        <v>443</v>
      </c>
      <c r="C16" s="109">
        <v>1.6</v>
      </c>
      <c r="E16" s="214">
        <v>1.6</v>
      </c>
      <c r="F16" s="214">
        <v>1.6</v>
      </c>
      <c r="G16" s="214">
        <v>1.6</v>
      </c>
      <c r="H16" s="227"/>
      <c r="J16" s="227"/>
      <c r="L16" s="34"/>
      <c r="O16" s="131"/>
    </row>
    <row r="17" spans="2:20" ht="12.75" customHeight="1">
      <c r="E17" s="243"/>
      <c r="F17" s="244" t="s">
        <v>515</v>
      </c>
      <c r="G17" s="132" t="str">
        <f>IF(AND(K27&gt;=100,F2="tubing only",NOT(OR(E18="NO",F18="NO",G18="NO"))),"YES","NO")</f>
        <v>YES</v>
      </c>
      <c r="H17" s="227"/>
      <c r="J17" s="227"/>
      <c r="O17" s="131"/>
    </row>
    <row r="18" spans="2:20" ht="12.75" customHeight="1">
      <c r="B18" s="43" t="s">
        <v>480</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481</v>
      </c>
      <c r="E19" s="707"/>
      <c r="F19" s="598"/>
      <c r="G19" s="599"/>
      <c r="H19" s="227"/>
      <c r="I19" s="233">
        <v>18</v>
      </c>
      <c r="J19" s="227"/>
      <c r="O19" s="131"/>
    </row>
    <row r="20" spans="2:20" ht="12.75" customHeight="1">
      <c r="B20" s="43" t="s">
        <v>482</v>
      </c>
      <c r="E20" s="597"/>
      <c r="F20" s="598"/>
      <c r="G20" s="599"/>
      <c r="H20" s="227"/>
      <c r="I20" s="233">
        <v>1</v>
      </c>
      <c r="J20" s="227"/>
      <c r="O20" s="131"/>
    </row>
    <row r="21" spans="2:20" ht="12.75" customHeight="1">
      <c r="B21" s="43" t="s">
        <v>483</v>
      </c>
      <c r="E21" s="597"/>
      <c r="F21" s="598"/>
      <c r="G21" s="599"/>
      <c r="H21" s="227"/>
      <c r="I21" s="233">
        <v>1</v>
      </c>
      <c r="J21" s="227"/>
      <c r="O21" s="131"/>
    </row>
    <row r="22" spans="2:20" ht="12.75" customHeight="1">
      <c r="B22" s="43" t="s">
        <v>484</v>
      </c>
      <c r="E22" s="597"/>
      <c r="F22" s="598"/>
      <c r="G22" s="599"/>
      <c r="H22" s="227"/>
      <c r="I22" s="233">
        <v>320</v>
      </c>
      <c r="J22" s="227"/>
      <c r="K22" s="34"/>
      <c r="O22" s="131"/>
    </row>
    <row r="23" spans="2:20" ht="12.75" customHeight="1">
      <c r="E23" s="251"/>
      <c r="F23" s="25"/>
      <c r="G23" s="197"/>
      <c r="H23" s="227"/>
      <c r="J23" s="227"/>
      <c r="O23" s="131"/>
    </row>
    <row r="24" spans="2:20" ht="12.75" customHeight="1">
      <c r="B24" s="43" t="s">
        <v>444</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445</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446</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447</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448</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449</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450</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451</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452</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453</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454</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455</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485</v>
      </c>
      <c r="E37" s="131"/>
    </row>
    <row r="38" spans="2:13" ht="12.75" customHeight="1">
      <c r="B38" s="142"/>
      <c r="C38" s="143"/>
      <c r="D38" s="143"/>
      <c r="E38" s="143"/>
      <c r="F38" s="143"/>
      <c r="G38" s="143"/>
      <c r="H38" s="143"/>
      <c r="I38" s="143"/>
      <c r="J38" s="143"/>
      <c r="K38" s="144"/>
    </row>
    <row r="39" spans="2:13" ht="12.75" customHeight="1">
      <c r="B39" s="341" t="s">
        <v>669</v>
      </c>
      <c r="C39" s="64"/>
      <c r="D39" s="64"/>
      <c r="E39" s="64"/>
      <c r="F39" s="64"/>
      <c r="G39" s="64"/>
      <c r="H39" s="64"/>
      <c r="I39" s="64"/>
      <c r="J39" s="64"/>
      <c r="K39" s="96"/>
    </row>
    <row r="40" spans="2:13" ht="12.75" customHeight="1">
      <c r="B40" s="341" t="s">
        <v>670</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63" priority="1" stopIfTrue="1" operator="lessThan">
      <formula>0.95*$C27*(E$14/$C$14)</formula>
    </cfRule>
  </conditionalFormatting>
  <conditionalFormatting sqref="E35:G35">
    <cfRule type="cellIs" dxfId="162" priority="2" stopIfTrue="1" operator="lessThan">
      <formula>0.95*$C35*(E$14/$C$14)</formula>
    </cfRule>
  </conditionalFormatting>
  <conditionalFormatting sqref="K27">
    <cfRule type="cellIs" dxfId="161" priority="3" stopIfTrue="1" operator="lessThan">
      <formula>33.3</formula>
    </cfRule>
    <cfRule type="cellIs" dxfId="160" priority="4" stopIfTrue="1" operator="between">
      <formula>33.3</formula>
      <formula>100</formula>
    </cfRule>
  </conditionalFormatting>
  <conditionalFormatting sqref="K27:K33">
    <cfRule type="cellIs" dxfId="159" priority="5" stopIfTrue="1" operator="greaterThanOrEqual">
      <formula>100</formula>
    </cfRule>
  </conditionalFormatting>
  <conditionalFormatting sqref="K28:K33">
    <cfRule type="cellIs" dxfId="158" priority="6" stopIfTrue="1" operator="lessThan">
      <formula>100</formula>
    </cfRule>
  </conditionalFormatting>
  <conditionalFormatting sqref="K34">
    <cfRule type="cellIs" dxfId="157" priority="7" stopIfTrue="1" operator="between">
      <formula>100.1</formula>
      <formula>300</formula>
    </cfRule>
    <cfRule type="cellIs" dxfId="156" priority="8" stopIfTrue="1" operator="greaterThan">
      <formula>300</formula>
    </cfRule>
    <cfRule type="cellIs" dxfId="155" priority="9" stopIfTrue="1" operator="lessThanOrEqual">
      <formula>100</formula>
    </cfRule>
  </conditionalFormatting>
  <conditionalFormatting sqref="K35">
    <cfRule type="cellIs" dxfId="154" priority="10" stopIfTrue="1" operator="greaterThanOrEqual">
      <formula>100</formula>
    </cfRule>
    <cfRule type="cellIs" dxfId="153" priority="11" stopIfTrue="1" operator="lessThan">
      <formula>33.3</formula>
    </cfRule>
    <cfRule type="cellIs" dxfId="152" priority="12" stopIfTrue="1" operator="between">
      <formula>33.3</formula>
      <formula>100</formula>
    </cfRule>
  </conditionalFormatting>
  <dataValidations count="5">
    <dataValidation type="list" allowBlank="1" showErrorMessage="1" sqref="F2" xr:uid="{00000000-0002-0000-1900-000000000000}">
      <formula1>ConstructionType</formula1>
    </dataValidation>
    <dataValidation type="list" allowBlank="1" showErrorMessage="1" sqref="I5" xr:uid="{00000000-0002-0000-1900-000001000000}">
      <formula1>Material</formula1>
    </dataValidation>
    <dataValidation type="list" allowBlank="1" showInputMessage="1" showErrorMessage="1" prompt="Select Material" sqref="E5:G5" xr:uid="{00000000-0002-0000-1900-000002000000}">
      <formula1>Metallic_Mats</formula1>
    </dataValidation>
    <dataValidation type="list" allowBlank="1" showInputMessage="1" showErrorMessage="1" prompt="Select Material" sqref="C5:D5 D6 H5:H6" xr:uid="{00000000-0002-0000-1900-000003000000}">
      <formula1>Materials</formula1>
    </dataValidation>
    <dataValidation type="list" allowBlank="1" showInputMessage="1" showErrorMessage="1" prompt="Select Material" sqref="E6:G6" xr:uid="{00000000-0002-0000-1900-000004000000}">
      <formula1>Tube_Type</formula1>
    </dataValidation>
  </dataValidations>
  <hyperlinks>
    <hyperlink ref="I7" location="'T3.5 Laminate Test'!A1" display="T3.5_Laminate" xr:uid="{00000000-0004-0000-1900-000000000000}"/>
  </hyperlinks>
  <pageMargins left="0.75" right="0.75" top="1" bottom="1"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CFF99"/>
  </sheetPr>
  <dimension ref="B1:T1000"/>
  <sheetViews>
    <sheetView showGridLines="0" workbookViewId="0"/>
  </sheetViews>
  <sheetFormatPr baseColWidth="10" defaultColWidth="12.5703125" defaultRowHeight="15" customHeight="1"/>
  <cols>
    <col min="1" max="1" width="3.42578125" customWidth="1"/>
    <col min="2" max="2" width="45.85546875" customWidth="1"/>
    <col min="3" max="3" width="11.42578125" customWidth="1"/>
    <col min="4" max="4" width="3.42578125" customWidth="1"/>
    <col min="5" max="8" width="11.5703125" customWidth="1"/>
    <col min="9" max="9" width="14.42578125" customWidth="1"/>
    <col min="10" max="10" width="11.5703125" customWidth="1"/>
    <col min="11" max="11" width="6.140625" customWidth="1"/>
    <col min="12" max="12" width="8.5703125" customWidth="1"/>
    <col min="13" max="26" width="11.42578125" customWidth="1"/>
  </cols>
  <sheetData>
    <row r="1" spans="2:15" ht="12.75" customHeight="1">
      <c r="B1" s="213" t="s">
        <v>659</v>
      </c>
    </row>
    <row r="2" spans="2:15" ht="12.75" customHeight="1">
      <c r="C2" s="690" t="s">
        <v>461</v>
      </c>
      <c r="D2" s="587"/>
      <c r="E2" s="588"/>
      <c r="F2" s="697" t="s">
        <v>240</v>
      </c>
      <c r="G2" s="588"/>
      <c r="L2" s="39" t="s">
        <v>252</v>
      </c>
      <c r="M2" s="39"/>
    </row>
    <row r="3" spans="2:15" ht="12.75" customHeight="1"/>
    <row r="4" spans="2:15" ht="25.5" customHeight="1">
      <c r="B4" s="27" t="s">
        <v>436</v>
      </c>
      <c r="C4" s="27" t="s">
        <v>437</v>
      </c>
      <c r="D4" s="31"/>
      <c r="E4" s="240" t="s">
        <v>502</v>
      </c>
      <c r="F4" s="240" t="s">
        <v>503</v>
      </c>
      <c r="G4" s="240" t="s">
        <v>504</v>
      </c>
      <c r="H4" s="240" t="s">
        <v>505</v>
      </c>
      <c r="I4" s="241" t="s">
        <v>462</v>
      </c>
      <c r="J4" s="240" t="s">
        <v>463</v>
      </c>
      <c r="L4" s="31"/>
      <c r="M4" s="32" t="s">
        <v>464</v>
      </c>
      <c r="N4" s="32" t="s">
        <v>465</v>
      </c>
    </row>
    <row r="5" spans="2:15" ht="12.75" customHeight="1">
      <c r="B5" s="43" t="s">
        <v>439</v>
      </c>
      <c r="C5" s="109" t="s">
        <v>202</v>
      </c>
      <c r="D5" s="67"/>
      <c r="E5" s="214" t="s">
        <v>202</v>
      </c>
      <c r="F5" s="214" t="s">
        <v>202</v>
      </c>
      <c r="G5" s="214" t="s">
        <v>202</v>
      </c>
      <c r="H5" s="224"/>
      <c r="I5" s="233" t="s">
        <v>205</v>
      </c>
      <c r="J5" s="224"/>
      <c r="L5" s="225" t="s">
        <v>466</v>
      </c>
      <c r="M5" s="67">
        <f>I22/1000</f>
        <v>0.32</v>
      </c>
      <c r="N5" s="225">
        <f>M5</f>
        <v>0.32</v>
      </c>
    </row>
    <row r="6" spans="2:15" ht="12.75" customHeight="1">
      <c r="B6" s="43" t="s">
        <v>467</v>
      </c>
      <c r="C6" s="109" t="s">
        <v>247</v>
      </c>
      <c r="D6" s="67"/>
      <c r="E6" s="214" t="s">
        <v>247</v>
      </c>
      <c r="F6" s="214" t="s">
        <v>247</v>
      </c>
      <c r="G6" s="214" t="s">
        <v>247</v>
      </c>
      <c r="H6" s="227"/>
      <c r="I6" s="226" t="s">
        <v>113</v>
      </c>
      <c r="J6" s="228"/>
      <c r="L6" s="225" t="s">
        <v>468</v>
      </c>
      <c r="M6" s="67">
        <f>I21/1000</f>
        <v>1E-3</v>
      </c>
      <c r="N6" s="225">
        <f>I20/1000</f>
        <v>1E-3</v>
      </c>
    </row>
    <row r="7" spans="2:15" ht="12.75" customHeight="1">
      <c r="B7" s="43" t="s">
        <v>441</v>
      </c>
      <c r="C7" s="126" t="str">
        <f>HLOOKUP(C5,MaterialData!$C$3:$P$4,2,FALSE)</f>
        <v>Steel</v>
      </c>
      <c r="D7" s="131"/>
      <c r="E7" s="126" t="str">
        <f>HLOOKUP(E5,MaterialData!$C$3:$S$4,2,FALSE)</f>
        <v>Steel</v>
      </c>
      <c r="F7" s="126" t="str">
        <f>HLOOKUP(F5,MaterialData!$C$3:$S$4,2,FALSE)</f>
        <v>Steel</v>
      </c>
      <c r="G7" s="126" t="str">
        <f>HLOOKUP(G5,MaterialData!$C$3:$S$4,2,FALSE)</f>
        <v>Steel</v>
      </c>
      <c r="H7" s="228"/>
      <c r="I7" s="319" t="s">
        <v>220</v>
      </c>
      <c r="J7" s="227"/>
    </row>
    <row r="8" spans="2:15" ht="12.75" customHeight="1">
      <c r="B8" s="43" t="s">
        <v>223</v>
      </c>
      <c r="C8" s="126">
        <f t="array" ref="C8">INDEX(Innertable,MATCH($B8,MaterialData!$B$6:$B$11,0),MATCH(C$7,MaterialData!$C$4:$P$4,0))</f>
        <v>200000000000</v>
      </c>
      <c r="D8" s="131"/>
      <c r="E8" s="126">
        <f t="array" ref="E8">INDEX(Innertable,MATCH($B8,MaterialData!$B$6:$B$11,0),MATCH(E$7,MaterialData!$C$4:$S$4,0))</f>
        <v>200000000000</v>
      </c>
      <c r="F8" s="126">
        <f t="array" ref="F8">INDEX(Innertable,MATCH($B8,MaterialData!$B$6:$B$11,0),MATCH(F$7,MaterialData!$C$4:$S$4,0))</f>
        <v>200000000000</v>
      </c>
      <c r="G8" s="126">
        <f t="array" ref="G8">INDEX(Innertable,MATCH($B8,MaterialData!$B$6:$B$11,0),MATCH(G$7,MaterialData!$C$4:$S$4,0))</f>
        <v>200000000000</v>
      </c>
      <c r="H8" s="228"/>
      <c r="I8" s="320">
        <f t="array" ref="I8">INDEX(Innertable,MATCH($B8,MaterialData!$B$6:$B$11,0),MATCH(I$7,MaterialData!$C$4:$S$4,0))</f>
        <v>0</v>
      </c>
      <c r="J8" s="228"/>
      <c r="L8" s="225" t="s">
        <v>671</v>
      </c>
      <c r="M8" s="131">
        <f>M5*M6</f>
        <v>3.2000000000000003E-4</v>
      </c>
      <c r="N8" s="225" t="s">
        <v>672</v>
      </c>
      <c r="O8" s="131">
        <f>(M5*M6^3)/12</f>
        <v>2.6666666666666668E-11</v>
      </c>
    </row>
    <row r="9" spans="2:15" ht="12.75" customHeight="1">
      <c r="B9" s="43" t="s">
        <v>225</v>
      </c>
      <c r="C9" s="126">
        <f t="array" ref="C9">INDEX(Innertable,MATCH($B9,MaterialData!$B$6:$B$11,0),MATCH(C$7,MaterialData!$C$4:$P$4,0))</f>
        <v>305000000</v>
      </c>
      <c r="D9" s="131"/>
      <c r="E9" s="126">
        <f t="array" ref="E9">INDEX(Innertable,MATCH($B9,MaterialData!$B$6:$B$11,0),MATCH(E$7,MaterialData!$C$4:$S$4,0))</f>
        <v>305000000</v>
      </c>
      <c r="F9" s="126">
        <f t="array" ref="F9">INDEX(Innertable,MATCH($B9,MaterialData!$B$6:$B$11,0),MATCH(F$7,MaterialData!$C$4:$S$4,0))</f>
        <v>305000000</v>
      </c>
      <c r="G9" s="126">
        <f t="array" ref="G9">INDEX(Innertable,MATCH($B9,MaterialData!$B$6:$B$11,0),MATCH(G$7,MaterialData!$C$4:$S$4,0))</f>
        <v>305000000</v>
      </c>
      <c r="H9" s="228"/>
      <c r="I9" s="320" t="e">
        <f t="array" ref="I9">INDEX(Innertable,MATCH($B9,MaterialData!$B$6:$B$11,0),MATCH(I$7,MaterialData!$C$4:$S$4,0))</f>
        <v>#DIV/0!</v>
      </c>
      <c r="J9" s="228"/>
      <c r="L9" s="225" t="s">
        <v>673</v>
      </c>
      <c r="M9" s="131">
        <f>N5*N6</f>
        <v>3.2000000000000003E-4</v>
      </c>
      <c r="N9" s="225" t="s">
        <v>674</v>
      </c>
      <c r="O9" s="131">
        <f>(N5*N6^3)/12</f>
        <v>2.6666666666666668E-11</v>
      </c>
    </row>
    <row r="10" spans="2:15" ht="12.75" customHeight="1">
      <c r="B10" s="43" t="s">
        <v>227</v>
      </c>
      <c r="C10" s="126">
        <f t="array" ref="C10">INDEX(Innertable,MATCH($B10,MaterialData!$B$6:$B$11,0),MATCH(C$7,MaterialData!$C$4:$P$4,0))</f>
        <v>365000000</v>
      </c>
      <c r="D10" s="131"/>
      <c r="E10" s="126">
        <f t="array" ref="E10">INDEX(Innertable,MATCH($B10,MaterialData!$B$6:$B$11,0),MATCH(E$7,MaterialData!$C$4:$S$4,0))</f>
        <v>365000000</v>
      </c>
      <c r="F10" s="126">
        <f t="array" ref="F10">INDEX(Innertable,MATCH($B10,MaterialData!$B$6:$B$11,0),MATCH(F$7,MaterialData!$C$4:$S$4,0))</f>
        <v>365000000</v>
      </c>
      <c r="G10" s="126">
        <f t="array" ref="G10">INDEX(Innertable,MATCH($B10,MaterialData!$B$6:$B$11,0),MATCH(G$7,MaterialData!$C$4:$S$4,0))</f>
        <v>365000000</v>
      </c>
      <c r="H10" s="228"/>
      <c r="I10" s="320" t="e">
        <f t="array" ref="I10">INDEX(Innertable,MATCH($B10,MaterialData!$B$6:$B$11,0),MATCH(I$7,MaterialData!$C$4:$S$4,0))</f>
        <v>#DIV/0!</v>
      </c>
      <c r="J10" s="228"/>
      <c r="L10" s="225" t="s">
        <v>675</v>
      </c>
      <c r="M10" s="67">
        <f>M6/2</f>
        <v>5.0000000000000001E-4</v>
      </c>
      <c r="N10" s="225" t="s">
        <v>676</v>
      </c>
      <c r="O10" s="131">
        <f t="shared" ref="O10:O11" si="0">O8+(M8*($M$12-M10)^2)</f>
        <v>2.8906666666666669E-8</v>
      </c>
    </row>
    <row r="11" spans="2:15" ht="12.75" customHeight="1">
      <c r="B11" s="43" t="s">
        <v>229</v>
      </c>
      <c r="C11" s="126">
        <f t="array" ref="C11">INDEX(Innertable,MATCH($B11,MaterialData!$B$6:$B$11,0),MATCH(C$7,MaterialData!$C$4:$P$4,0))</f>
        <v>180000000</v>
      </c>
      <c r="D11" s="131"/>
      <c r="E11" s="126">
        <f t="array" ref="E11">INDEX(Innertable,MATCH($B11,MaterialData!$B$6:$B$11,0),MATCH(E$7,MaterialData!$C$4:$S$4,0))</f>
        <v>180000000</v>
      </c>
      <c r="F11" s="126">
        <f t="array" ref="F11">INDEX(Innertable,MATCH($B11,MaterialData!$B$6:$B$11,0),MATCH(F$7,MaterialData!$C$4:$S$4,0))</f>
        <v>180000000</v>
      </c>
      <c r="G11" s="126">
        <f t="array" ref="G11">INDEX(Innertable,MATCH($B11,MaterialData!$B$6:$B$11,0),MATCH(G$7,MaterialData!$C$4:$S$4,0))</f>
        <v>180000000</v>
      </c>
      <c r="H11" s="228"/>
      <c r="I11" s="320" t="str">
        <f t="array" ref="I11">INDEX(Innertable,MATCH($B11,MaterialData!$B$6:$B$11,0),MATCH(I$7,MaterialData!$C$4:$S$4,0))</f>
        <v>N/A</v>
      </c>
      <c r="J11" s="228"/>
      <c r="L11" s="225" t="s">
        <v>677</v>
      </c>
      <c r="M11" s="67">
        <f>(I18-0.5*I20)*0.001</f>
        <v>1.95E-2</v>
      </c>
      <c r="N11" s="225" t="s">
        <v>678</v>
      </c>
      <c r="O11" s="131">
        <f t="shared" si="0"/>
        <v>2.8906666666666669E-8</v>
      </c>
    </row>
    <row r="12" spans="2:15" ht="12.75" customHeight="1">
      <c r="B12" s="43" t="s">
        <v>230</v>
      </c>
      <c r="C12" s="126">
        <f t="array" ref="C12">INDEX(Innertable,MATCH($B12,MaterialData!$B$6:$B$11,0),MATCH(C$7,MaterialData!$C$4:$P$4,0))</f>
        <v>300000000</v>
      </c>
      <c r="D12" s="131"/>
      <c r="E12" s="126">
        <f t="array" ref="E12">INDEX(Innertable,MATCH($B12,MaterialData!$B$6:$B$11,0),MATCH(E$7,MaterialData!$C$4:$S$4,0))</f>
        <v>300000000</v>
      </c>
      <c r="F12" s="126">
        <f t="array" ref="F12">INDEX(Innertable,MATCH($B12,MaterialData!$B$6:$B$11,0),MATCH(F$7,MaterialData!$C$4:$S$4,0))</f>
        <v>300000000</v>
      </c>
      <c r="G12" s="126">
        <f t="array" ref="G12">INDEX(Innertable,MATCH($B12,MaterialData!$B$6:$B$11,0),MATCH(G$7,MaterialData!$C$4:$S$4,0))</f>
        <v>300000000</v>
      </c>
      <c r="H12" s="228"/>
      <c r="I12" s="320" t="str">
        <f t="array" ref="I12">INDEX(Innertable,MATCH($B12,MaterialData!$B$6:$B$11,0),MATCH(I$7,MaterialData!$C$4:$S$4,0))</f>
        <v>N/A</v>
      </c>
      <c r="J12" s="228"/>
      <c r="L12" s="225" t="s">
        <v>477</v>
      </c>
      <c r="M12" s="229">
        <f>(M8*M10+M9*M11)/(M8+M9)</f>
        <v>0.01</v>
      </c>
      <c r="N12" s="225" t="s">
        <v>679</v>
      </c>
      <c r="O12" s="128">
        <f>SUM(O10:O11)</f>
        <v>5.7813333333333339E-8</v>
      </c>
    </row>
    <row r="13" spans="2:15" ht="12.75" customHeight="1">
      <c r="E13" s="80"/>
      <c r="G13" s="141"/>
      <c r="H13" s="227"/>
      <c r="J13" s="227"/>
      <c r="O13" s="131"/>
    </row>
    <row r="14" spans="2:15" ht="12.75" customHeight="1">
      <c r="B14" s="43" t="s">
        <v>479</v>
      </c>
      <c r="C14" s="109">
        <v>3</v>
      </c>
      <c r="E14" s="214">
        <v>3</v>
      </c>
      <c r="F14" s="214">
        <v>0</v>
      </c>
      <c r="G14" s="214">
        <v>0</v>
      </c>
      <c r="H14" s="227"/>
      <c r="J14" s="227"/>
      <c r="O14" s="131"/>
    </row>
    <row r="15" spans="2:15" ht="12.75" customHeight="1">
      <c r="B15" s="43" t="s">
        <v>442</v>
      </c>
      <c r="C15" s="109">
        <v>25.4</v>
      </c>
      <c r="E15" s="214">
        <v>25.4</v>
      </c>
      <c r="F15" s="214">
        <v>25.4</v>
      </c>
      <c r="G15" s="214">
        <v>25.4</v>
      </c>
      <c r="H15" s="227"/>
      <c r="J15" s="227"/>
      <c r="O15" s="131"/>
    </row>
    <row r="16" spans="2:15" ht="12.75" customHeight="1">
      <c r="B16" s="43" t="s">
        <v>443</v>
      </c>
      <c r="C16" s="109">
        <v>1.6</v>
      </c>
      <c r="E16" s="214">
        <v>1.6</v>
      </c>
      <c r="F16" s="214">
        <v>1.6</v>
      </c>
      <c r="G16" s="214">
        <v>1.6</v>
      </c>
      <c r="H16" s="227"/>
      <c r="J16" s="227"/>
      <c r="L16" s="34"/>
      <c r="O16" s="131"/>
    </row>
    <row r="17" spans="2:20" ht="12.75" customHeight="1">
      <c r="E17" s="243"/>
      <c r="F17" s="244" t="s">
        <v>515</v>
      </c>
      <c r="G17" s="132" t="str">
        <f>IF(AND(K27&gt;=100,F2="tubing only",NOT(OR(E18="NO",F18="NO",G18="NO"))),"YES","NO")</f>
        <v>YES</v>
      </c>
      <c r="H17" s="227"/>
      <c r="J17" s="227"/>
      <c r="O17" s="131"/>
    </row>
    <row r="18" spans="2:20" ht="12.75" customHeight="1">
      <c r="B18" s="43" t="s">
        <v>480</v>
      </c>
      <c r="E18" s="245" t="str">
        <f t="shared" ref="E18:G18" si="1">IF(E14=0,"N/A",IF(AND(E5=$C$5,E15&gt;=25.4,E16&gt;=1.6),"YES","NO"))</f>
        <v>YES</v>
      </c>
      <c r="F18" s="246" t="str">
        <f t="shared" si="1"/>
        <v>N/A</v>
      </c>
      <c r="G18" s="247" t="str">
        <f t="shared" si="1"/>
        <v>N/A</v>
      </c>
      <c r="H18" s="227"/>
      <c r="I18" s="232">
        <f>I19+I20+I21</f>
        <v>20</v>
      </c>
      <c r="J18" s="227"/>
      <c r="O18" s="131"/>
    </row>
    <row r="19" spans="2:20" ht="12.75" customHeight="1">
      <c r="B19" s="43" t="s">
        <v>481</v>
      </c>
      <c r="E19" s="707"/>
      <c r="F19" s="598"/>
      <c r="G19" s="599"/>
      <c r="H19" s="227"/>
      <c r="I19" s="233">
        <v>18</v>
      </c>
      <c r="J19" s="227"/>
      <c r="O19" s="131"/>
    </row>
    <row r="20" spans="2:20" ht="12.75" customHeight="1">
      <c r="B20" s="43" t="s">
        <v>482</v>
      </c>
      <c r="E20" s="597"/>
      <c r="F20" s="598"/>
      <c r="G20" s="599"/>
      <c r="H20" s="227"/>
      <c r="I20" s="233">
        <v>1</v>
      </c>
      <c r="J20" s="227"/>
      <c r="O20" s="131"/>
    </row>
    <row r="21" spans="2:20" ht="12.75" customHeight="1">
      <c r="B21" s="43" t="s">
        <v>483</v>
      </c>
      <c r="E21" s="597"/>
      <c r="F21" s="598"/>
      <c r="G21" s="599"/>
      <c r="H21" s="227"/>
      <c r="I21" s="233">
        <v>1</v>
      </c>
      <c r="J21" s="227"/>
      <c r="O21" s="131"/>
    </row>
    <row r="22" spans="2:20" ht="12.75" customHeight="1">
      <c r="B22" s="43" t="s">
        <v>484</v>
      </c>
      <c r="E22" s="597"/>
      <c r="F22" s="598"/>
      <c r="G22" s="599"/>
      <c r="H22" s="227"/>
      <c r="I22" s="233">
        <v>320</v>
      </c>
      <c r="J22" s="227"/>
      <c r="K22" s="34"/>
      <c r="O22" s="131"/>
    </row>
    <row r="23" spans="2:20" ht="12.75" customHeight="1">
      <c r="E23" s="251"/>
      <c r="F23" s="25"/>
      <c r="G23" s="197"/>
      <c r="H23" s="227"/>
      <c r="J23" s="227"/>
      <c r="O23" s="131"/>
    </row>
    <row r="24" spans="2:20" ht="12.75" customHeight="1">
      <c r="B24" s="43" t="s">
        <v>444</v>
      </c>
      <c r="C24" s="109">
        <f t="shared" ref="C24:C25" si="2">C15/1000</f>
        <v>2.5399999999999999E-2</v>
      </c>
      <c r="E24" s="109">
        <f t="shared" ref="E24:G24" si="3">IF($F$2="composite only","No tubes",IF(E14=0,"No tubes",E15/1000))</f>
        <v>2.5399999999999999E-2</v>
      </c>
      <c r="F24" s="109" t="str">
        <f t="shared" si="3"/>
        <v>No tubes</v>
      </c>
      <c r="G24" s="109" t="str">
        <f t="shared" si="3"/>
        <v>No tubes</v>
      </c>
      <c r="H24" s="227"/>
      <c r="J24" s="227"/>
      <c r="O24" s="131"/>
    </row>
    <row r="25" spans="2:20" ht="12.75" customHeight="1">
      <c r="B25" s="43" t="s">
        <v>445</v>
      </c>
      <c r="C25" s="109">
        <f t="shared" si="2"/>
        <v>1.6000000000000001E-3</v>
      </c>
      <c r="E25" s="109">
        <f t="shared" ref="E25:G25" si="4">IF(E24="no tubes","",IF(E14=0,"",E16/1000))</f>
        <v>1.6000000000000001E-3</v>
      </c>
      <c r="F25" s="109" t="str">
        <f t="shared" si="4"/>
        <v/>
      </c>
      <c r="G25" s="109" t="str">
        <f t="shared" si="4"/>
        <v/>
      </c>
      <c r="H25" s="234"/>
      <c r="J25" s="234"/>
      <c r="O25" s="131"/>
      <c r="T25" s="215"/>
    </row>
    <row r="26" spans="2:20" ht="12.75" customHeight="1">
      <c r="B26" s="43" t="s">
        <v>446</v>
      </c>
      <c r="C26" s="126">
        <f>IF(C6="Round",((C24)^4-((C24-2*C25))^4)*3.142/64,((C24)^4-((C24-2*C25))^4)/12)</f>
        <v>8.5099184800000022E-9</v>
      </c>
      <c r="E26" s="126">
        <f t="shared" ref="E26:G26" si="5">IF(E24="no tubes","",IF(E14=0,"",IF(E6="Round",(((E24)^4-((E24-2*E25))^4)*3.142/64),IF(E6="Square",(((E24)^4-((E24-2*E25))^4)/12),""))))</f>
        <v>8.5099184800000022E-9</v>
      </c>
      <c r="F26" s="126" t="str">
        <f t="shared" si="5"/>
        <v/>
      </c>
      <c r="G26" s="126" t="str">
        <f t="shared" si="5"/>
        <v/>
      </c>
      <c r="H26" s="126">
        <f t="shared" ref="H26:H33" si="6">IF(SUM(E26:G26)&gt;0,SUM(E26:G26),"")</f>
        <v>8.5099184800000022E-9</v>
      </c>
      <c r="I26" s="235" t="str">
        <f>IF($F$2="Tubing only","Tubing Only",O12)</f>
        <v>Tubing Only</v>
      </c>
      <c r="J26" s="126">
        <f t="shared" ref="J26:J33" si="7">IF($F$2="Tubing only",H26,IF($F$2="Composite only",I26,IF($F$2="Tubes + Composite",H26+I26,"No Type Selected")))</f>
        <v>8.5099184800000022E-9</v>
      </c>
      <c r="O26" s="131"/>
      <c r="S26" s="131"/>
      <c r="T26" s="215"/>
    </row>
    <row r="27" spans="2:20" ht="12.75" customHeight="1">
      <c r="B27" s="43" t="s">
        <v>447</v>
      </c>
      <c r="C27" s="126">
        <f>C8*C26*C14</f>
        <v>5105.9510880000016</v>
      </c>
      <c r="D27" s="131"/>
      <c r="E27" s="126">
        <f t="shared" ref="E27:G27" si="8">IF(E24="no tubes","",IF(E14=0,"",E8*E26*E14))</f>
        <v>5105.9510880000016</v>
      </c>
      <c r="F27" s="126" t="str">
        <f t="shared" si="8"/>
        <v/>
      </c>
      <c r="G27" s="126" t="str">
        <f t="shared" si="8"/>
        <v/>
      </c>
      <c r="H27" s="126">
        <f t="shared" si="6"/>
        <v>5105.9510880000016</v>
      </c>
      <c r="I27" s="235" t="str">
        <f>IF(I26="Tubing Only","",I26*I8)</f>
        <v/>
      </c>
      <c r="J27" s="126">
        <f t="shared" si="7"/>
        <v>5105.9510880000016</v>
      </c>
      <c r="K27" s="44">
        <f>IF(AND(NOT($F$2="tubes + composite"),OR(AND($G$14&gt;0,G27&lt;(C27/3)),AND($F$14&gt;0,F27&lt;(C27/3)),AND($E$14&gt;0,E27&lt;(C27/3)))),0,100*J27/C27)</f>
        <v>100</v>
      </c>
      <c r="L27" s="67" t="str">
        <f>IF((99.9&gt;K27)*AND(K27&gt;33.3),"For Composites Only, Additional Proof Required","")</f>
        <v/>
      </c>
    </row>
    <row r="28" spans="2:20" ht="12.75" customHeight="1">
      <c r="B28" s="43" t="s">
        <v>448</v>
      </c>
      <c r="C28" s="216">
        <f>IF(C24="no tubes","",IF(C14=0,"",IF(C6="Round",C14*((C15^2-(C15-2*C16)^2)*PI()/4),IF(C6="Square",C14*(C15^2-(C15-2*C16)^2),""))))</f>
        <v>358.89554474609793</v>
      </c>
      <c r="D28" s="252"/>
      <c r="E28" s="216">
        <f t="shared" ref="E28:G28" si="9">IF(E24="no tubes","",IF(E14=0,"",IF(E6="Round",E14*((E15^2-(E15-2*E16)^2)*PI()/4),IF(E6="Square",E14*(E15^2-(E15-2*E16)^2),""))))</f>
        <v>358.89554474609793</v>
      </c>
      <c r="F28" s="216" t="str">
        <f t="shared" si="9"/>
        <v/>
      </c>
      <c r="G28" s="216" t="str">
        <f t="shared" si="9"/>
        <v/>
      </c>
      <c r="H28" s="216">
        <f t="shared" si="6"/>
        <v>358.89554474609793</v>
      </c>
      <c r="I28" s="216" t="str">
        <f>IF(I26="Tubing Only","",(I18-I19)*I22)</f>
        <v/>
      </c>
      <c r="J28" s="216">
        <f t="shared" si="7"/>
        <v>358.89554474609793</v>
      </c>
      <c r="K28" s="44">
        <f>IF(AND($F$2="tubing only",AND(E5="steel",F5="steel",G5="steel")),100*J28/C28,"NA")</f>
        <v>100</v>
      </c>
      <c r="L28" s="67" t="str">
        <f t="shared" ref="L28:L32" si="10">IF(AND(95&lt;K28,K28&lt;100),"For tubes only, provided your actual tube measures &gt;= your nominal OD and wall this is OK","")</f>
        <v/>
      </c>
      <c r="S28" s="131"/>
    </row>
    <row r="29" spans="2:20" ht="12.75" customHeight="1">
      <c r="B29" s="43" t="s">
        <v>449</v>
      </c>
      <c r="C29" s="126">
        <f t="shared" ref="C29:C31" si="11">C$28*C9/1000000</f>
        <v>109463.14114755986</v>
      </c>
      <c r="D29" s="131"/>
      <c r="E29" s="126">
        <f t="shared" ref="E29:G29" si="12">IF(E24="no tubes","",IF(E14=0,"",E$28*E9/1000000))</f>
        <v>109463.14114755986</v>
      </c>
      <c r="F29" s="126" t="str">
        <f t="shared" si="12"/>
        <v/>
      </c>
      <c r="G29" s="126" t="str">
        <f t="shared" si="12"/>
        <v/>
      </c>
      <c r="H29" s="126">
        <f t="shared" si="6"/>
        <v>109463.14114755986</v>
      </c>
      <c r="I29" s="126" t="str">
        <f>IF(I26="Tubing Only","",I28*I9/1000000)</f>
        <v/>
      </c>
      <c r="J29" s="126">
        <f t="shared" si="7"/>
        <v>109463.14114755986</v>
      </c>
      <c r="K29" s="44">
        <f t="shared" ref="K29:K33" si="13">IF(AND($F$2="tubing only",OR($E29&lt;0.95*($E$14/$C$14)*$C29,$F29&lt;0.95*($F$14/$C$14)*$C29,$G29&lt;0.95*($G$14/$C$14)*$C29)),0,100*J29/C29)</f>
        <v>100</v>
      </c>
      <c r="L29" s="67" t="str">
        <f t="shared" si="10"/>
        <v/>
      </c>
    </row>
    <row r="30" spans="2:20" ht="12.75" customHeight="1">
      <c r="B30" s="43" t="s">
        <v>450</v>
      </c>
      <c r="C30" s="126">
        <f t="shared" si="11"/>
        <v>130996.87383232574</v>
      </c>
      <c r="D30" s="131"/>
      <c r="E30" s="126">
        <f t="shared" ref="E30:G30" si="14">IF(E24="no tubes","",IF(E14=0,"",E$28*E10/1000000))</f>
        <v>130996.87383232574</v>
      </c>
      <c r="F30" s="126" t="str">
        <f t="shared" si="14"/>
        <v/>
      </c>
      <c r="G30" s="126" t="str">
        <f t="shared" si="14"/>
        <v/>
      </c>
      <c r="H30" s="126">
        <f t="shared" si="6"/>
        <v>130996.87383232574</v>
      </c>
      <c r="I30" s="126" t="str">
        <f>IF(I26="Tubing Only","",I28*I10/1000000)</f>
        <v/>
      </c>
      <c r="J30" s="126">
        <f t="shared" si="7"/>
        <v>130996.87383232574</v>
      </c>
      <c r="K30" s="44">
        <f t="shared" si="13"/>
        <v>100</v>
      </c>
      <c r="L30" s="67" t="str">
        <f t="shared" si="10"/>
        <v/>
      </c>
      <c r="S30" s="131"/>
    </row>
    <row r="31" spans="2:20" ht="12.75" customHeight="1">
      <c r="B31" s="43" t="s">
        <v>451</v>
      </c>
      <c r="C31" s="126">
        <f t="shared" si="11"/>
        <v>64601.198054297631</v>
      </c>
      <c r="D31" s="131"/>
      <c r="E31" s="126">
        <f t="shared" ref="E31:G31" si="15">IF(E24="no tubes","",IF(E14=0,"",E$28*E11/1000000))</f>
        <v>64601.198054297631</v>
      </c>
      <c r="F31" s="126" t="str">
        <f t="shared" si="15"/>
        <v/>
      </c>
      <c r="G31" s="126" t="str">
        <f t="shared" si="15"/>
        <v/>
      </c>
      <c r="H31" s="126">
        <f t="shared" si="6"/>
        <v>64601.198054297631</v>
      </c>
      <c r="I31" s="126" t="str">
        <f>IF(I26="Tubing Only","",I28*I9/1000000)</f>
        <v/>
      </c>
      <c r="J31" s="126">
        <f t="shared" si="7"/>
        <v>64601.198054297631</v>
      </c>
      <c r="K31" s="44">
        <f t="shared" si="13"/>
        <v>100</v>
      </c>
      <c r="L31" s="67" t="str">
        <f t="shared" si="10"/>
        <v/>
      </c>
      <c r="S31" s="131"/>
    </row>
    <row r="32" spans="2:20" ht="12.75" customHeight="1">
      <c r="B32" s="43" t="s">
        <v>452</v>
      </c>
      <c r="C32" s="126">
        <f>IF(C14=0,"",C$28*C12/1000000)</f>
        <v>107668.66342382938</v>
      </c>
      <c r="D32" s="131"/>
      <c r="E32" s="126">
        <f t="shared" ref="E32:G32" si="16">IF(E24="no tubes","",IF(E14=0,"",E$28*E12/1000000))</f>
        <v>107668.66342382938</v>
      </c>
      <c r="F32" s="126" t="str">
        <f t="shared" si="16"/>
        <v/>
      </c>
      <c r="G32" s="126" t="str">
        <f t="shared" si="16"/>
        <v/>
      </c>
      <c r="H32" s="126">
        <f t="shared" si="6"/>
        <v>107668.66342382938</v>
      </c>
      <c r="I32" s="126" t="str">
        <f>IF(I26="tubing only","",I28*I10/1000000)</f>
        <v/>
      </c>
      <c r="J32" s="126">
        <f t="shared" si="7"/>
        <v>107668.66342382938</v>
      </c>
      <c r="K32" s="44">
        <f t="shared" si="13"/>
        <v>100</v>
      </c>
      <c r="L32" s="67" t="str">
        <f t="shared" si="10"/>
        <v/>
      </c>
      <c r="S32" s="131"/>
    </row>
    <row r="33" spans="2:13" ht="12.75" customHeight="1">
      <c r="B33" s="43" t="s">
        <v>453</v>
      </c>
      <c r="C33" s="126">
        <f>C14*4*C10*C26/(0.5*C24*1)</f>
        <v>2934.9167671181112</v>
      </c>
      <c r="E33" s="126">
        <f t="shared" ref="E33:G33" si="17">IF(E24="no tubes","",IF(E14=0,"",E14*4*E10*E26/(0.5*E24*1)))</f>
        <v>2934.9167671181112</v>
      </c>
      <c r="F33" s="126" t="str">
        <f t="shared" si="17"/>
        <v/>
      </c>
      <c r="G33" s="126" t="str">
        <f t="shared" si="17"/>
        <v/>
      </c>
      <c r="H33" s="126">
        <f t="shared" si="6"/>
        <v>2934.9167671181112</v>
      </c>
      <c r="I33" s="126" t="str">
        <f>IF(I26="tubing only","",4*I10*(I26*2/(I18/1000))/1)</f>
        <v/>
      </c>
      <c r="J33" s="126">
        <f t="shared" si="7"/>
        <v>2934.9167671181112</v>
      </c>
      <c r="K33" s="44">
        <f t="shared" si="13"/>
        <v>99.999999999999986</v>
      </c>
      <c r="L33" s="67" t="str">
        <f>IF((99.9&gt;K33)*AND(K33&gt;33.3),"For Composites Only, Additional Proof Required","")</f>
        <v/>
      </c>
    </row>
    <row r="34" spans="2:13" ht="12.75" customHeight="1">
      <c r="B34" s="43" t="s">
        <v>454</v>
      </c>
      <c r="C34" s="126">
        <f>IF(C14=0,"",C33*1^3/(48*C27))</f>
        <v>1.1975065616797901E-2</v>
      </c>
      <c r="E34" s="126">
        <f t="shared" ref="E34:G34" si="18">IF(E24="no tubes","",IF(E14=0,"",($C$33*1^3/(48*E27))))</f>
        <v>1.1975065616797901E-2</v>
      </c>
      <c r="F34" s="126" t="str">
        <f t="shared" si="18"/>
        <v/>
      </c>
      <c r="G34" s="126" t="str">
        <f t="shared" si="18"/>
        <v/>
      </c>
      <c r="H34" s="126">
        <f>IF(F2="composite only","",$C$33*1^3/(48*H27))</f>
        <v>1.1975065616797901E-2</v>
      </c>
      <c r="I34" s="126" t="str">
        <f>IF(NOT($F$2="tubing only"),$C$33*1^3/(48*I27),"")</f>
        <v/>
      </c>
      <c r="J34" s="126">
        <f>IF($F$2="Tubing only",H34,IF($F$2="Composite only",I34,IF($F$2="Tubes + Composite",$C$33*1^3/(48*J27),"No Type Selected")))</f>
        <v>1.1975065616797901E-2</v>
      </c>
      <c r="K34" s="44">
        <f>IF(AND($F$2="tubing only",J34&gt;1.05*C34),101,100*J34/C34)</f>
        <v>100.00000000000001</v>
      </c>
      <c r="L34" s="67" t="str">
        <f>IF((100.1&lt;K34)*AND(K34&lt;300.1),"For Composites Only, Additional Proof Required","")</f>
        <v/>
      </c>
      <c r="M34" s="131"/>
    </row>
    <row r="35" spans="2:13" ht="12.75" customHeight="1">
      <c r="B35" s="43" t="s">
        <v>455</v>
      </c>
      <c r="C35" s="126">
        <f>0.5*C33*(C33*1^3/(48*C27))</f>
        <v>17.572910433039873</v>
      </c>
      <c r="E35" s="126">
        <f t="shared" ref="E35:G35" si="19">IF(E24="no tubes","",0.5*E33*(E33*1^3/(48*E27)))</f>
        <v>17.572910433039873</v>
      </c>
      <c r="F35" s="126" t="str">
        <f t="shared" si="19"/>
        <v/>
      </c>
      <c r="G35" s="126" t="str">
        <f t="shared" si="19"/>
        <v/>
      </c>
      <c r="H35" s="126">
        <f>IF(SUM(E35:G35)&gt;0,SUM(E35:G35),"")</f>
        <v>17.572910433039873</v>
      </c>
      <c r="I35" s="126" t="str">
        <f>IF(I26="tubing only","",0.5*I33*(I33*1^3/(48*I27)))</f>
        <v/>
      </c>
      <c r="J35" s="126">
        <f>IF($F$2="Tubing only",H35,IF($F$2="Composite only",I35,IF($F$2="Tubes + Composite",H35+I35,"No Type Selected")))</f>
        <v>17.572910433039873</v>
      </c>
      <c r="K35" s="44">
        <f>IF(AND($F$2="tubing only",OR($E$36&lt;$C$36,$F$36&lt;$C$36,$G$36&lt;$C$36)),0,100*J35/C35)</f>
        <v>100</v>
      </c>
      <c r="L35" s="67" t="str">
        <f>IF((99.9&gt;K35)*AND(K35&gt;33.3),"For Composites Only, Additional Proof Required","")</f>
        <v/>
      </c>
    </row>
    <row r="36" spans="2:13" ht="12.75" customHeight="1">
      <c r="C36" s="253">
        <f>0.99*C27/C14</f>
        <v>1684.9638590400007</v>
      </c>
      <c r="D36" s="254"/>
      <c r="E36" s="253">
        <f t="shared" ref="E36:G36" si="20">IF(AND($F$2="tubing only",E14&gt;0),E27/E14,9E+99)</f>
        <v>1701.9836960000005</v>
      </c>
      <c r="F36" s="253">
        <f t="shared" si="20"/>
        <v>8.9999999999999999E+99</v>
      </c>
      <c r="G36" s="253">
        <f t="shared" si="20"/>
        <v>8.9999999999999999E+99</v>
      </c>
      <c r="H36" s="34"/>
    </row>
    <row r="37" spans="2:13" ht="12.75" customHeight="1">
      <c r="B37" s="31" t="s">
        <v>485</v>
      </c>
      <c r="E37" s="131"/>
    </row>
    <row r="38" spans="2:13" ht="12.75" customHeight="1">
      <c r="B38" s="142"/>
      <c r="C38" s="143"/>
      <c r="D38" s="143"/>
      <c r="E38" s="143"/>
      <c r="F38" s="143"/>
      <c r="G38" s="143"/>
      <c r="H38" s="143"/>
      <c r="I38" s="143"/>
      <c r="J38" s="143"/>
      <c r="K38" s="144"/>
    </row>
    <row r="39" spans="2:13" ht="12.75" customHeight="1">
      <c r="B39" s="341" t="s">
        <v>669</v>
      </c>
      <c r="C39" s="64"/>
      <c r="D39" s="64"/>
      <c r="E39" s="64"/>
      <c r="F39" s="64"/>
      <c r="G39" s="64"/>
      <c r="H39" s="64"/>
      <c r="I39" s="64"/>
      <c r="J39" s="64"/>
      <c r="K39" s="96"/>
    </row>
    <row r="40" spans="2:13" ht="12.75" customHeight="1">
      <c r="B40" s="341" t="s">
        <v>670</v>
      </c>
      <c r="C40" s="64"/>
      <c r="D40" s="64"/>
      <c r="E40" s="64"/>
      <c r="F40" s="64"/>
      <c r="G40" s="64"/>
      <c r="H40" s="64"/>
      <c r="I40" s="64"/>
      <c r="J40" s="64"/>
      <c r="K40" s="96"/>
    </row>
    <row r="41" spans="2:13" ht="12.75" customHeight="1">
      <c r="B41" s="95"/>
      <c r="C41" s="64"/>
      <c r="D41" s="64"/>
      <c r="E41" s="64"/>
      <c r="F41" s="64"/>
      <c r="G41" s="64"/>
      <c r="H41" s="64"/>
      <c r="I41" s="64"/>
      <c r="J41" s="64"/>
      <c r="K41" s="96"/>
    </row>
    <row r="42" spans="2:13" ht="12.75" customHeight="1">
      <c r="B42" s="95"/>
      <c r="C42" s="64"/>
      <c r="D42" s="64"/>
      <c r="E42" s="64"/>
      <c r="F42" s="64"/>
      <c r="G42" s="64"/>
      <c r="H42" s="64"/>
      <c r="I42" s="64"/>
      <c r="J42" s="64"/>
      <c r="K42" s="96"/>
    </row>
    <row r="43" spans="2:13" ht="12.75" customHeight="1">
      <c r="B43" s="95"/>
      <c r="C43" s="64"/>
      <c r="D43" s="64"/>
      <c r="E43" s="64"/>
      <c r="F43" s="64"/>
      <c r="G43" s="64"/>
      <c r="H43" s="64"/>
      <c r="I43" s="64"/>
      <c r="J43" s="64"/>
      <c r="K43" s="96"/>
    </row>
    <row r="44" spans="2:13" ht="12.75" customHeight="1">
      <c r="B44" s="95"/>
      <c r="C44" s="64"/>
      <c r="D44" s="64"/>
      <c r="E44" s="64"/>
      <c r="F44" s="64"/>
      <c r="G44" s="64"/>
      <c r="H44" s="64"/>
      <c r="I44" s="64"/>
      <c r="J44" s="64"/>
      <c r="K44" s="96"/>
    </row>
    <row r="45" spans="2:13" ht="12.75" customHeight="1">
      <c r="B45" s="95"/>
      <c r="C45" s="64"/>
      <c r="D45" s="64"/>
      <c r="E45" s="64"/>
      <c r="F45" s="64"/>
      <c r="G45" s="64"/>
      <c r="H45" s="64"/>
      <c r="I45" s="64"/>
      <c r="J45" s="64"/>
      <c r="K45" s="96"/>
    </row>
    <row r="46" spans="2:13" ht="12.75" customHeight="1">
      <c r="B46" s="95"/>
      <c r="C46" s="64"/>
      <c r="D46" s="64"/>
      <c r="E46" s="64"/>
      <c r="F46" s="64"/>
      <c r="G46" s="64"/>
      <c r="H46" s="64"/>
      <c r="I46" s="64"/>
      <c r="J46" s="64"/>
      <c r="K46" s="96"/>
    </row>
    <row r="47" spans="2:13" ht="12.75" customHeight="1">
      <c r="B47" s="95"/>
      <c r="C47" s="64"/>
      <c r="D47" s="64"/>
      <c r="E47" s="64"/>
      <c r="F47" s="64"/>
      <c r="G47" s="64"/>
      <c r="H47" s="64"/>
      <c r="I47" s="64"/>
      <c r="J47" s="64"/>
      <c r="K47" s="96"/>
    </row>
    <row r="48" spans="2:13" ht="12.75" customHeight="1">
      <c r="B48" s="95"/>
      <c r="C48" s="64"/>
      <c r="D48" s="64"/>
      <c r="E48" s="64"/>
      <c r="F48" s="64"/>
      <c r="G48" s="64"/>
      <c r="H48" s="64"/>
      <c r="I48" s="64"/>
      <c r="J48" s="64"/>
      <c r="K48" s="96"/>
    </row>
    <row r="49" spans="2:11" ht="12.75" customHeight="1">
      <c r="B49" s="95"/>
      <c r="C49" s="64"/>
      <c r="D49" s="64"/>
      <c r="E49" s="64"/>
      <c r="F49" s="64"/>
      <c r="G49" s="64"/>
      <c r="H49" s="64"/>
      <c r="I49" s="64"/>
      <c r="J49" s="64"/>
      <c r="K49" s="96"/>
    </row>
    <row r="50" spans="2:11" ht="12.75" customHeight="1">
      <c r="B50" s="95"/>
      <c r="C50" s="64"/>
      <c r="D50" s="64"/>
      <c r="E50" s="64"/>
      <c r="F50" s="64"/>
      <c r="G50" s="64"/>
      <c r="H50" s="64"/>
      <c r="I50" s="64"/>
      <c r="J50" s="64"/>
      <c r="K50" s="96"/>
    </row>
    <row r="51" spans="2:11" ht="12.75" customHeight="1">
      <c r="B51" s="95"/>
      <c r="C51" s="64"/>
      <c r="D51" s="64"/>
      <c r="E51" s="64"/>
      <c r="F51" s="64"/>
      <c r="G51" s="64"/>
      <c r="H51" s="64"/>
      <c r="I51" s="64"/>
      <c r="J51" s="64"/>
      <c r="K51" s="96"/>
    </row>
    <row r="52" spans="2:11" ht="12.75" customHeight="1">
      <c r="B52" s="95"/>
      <c r="C52" s="64"/>
      <c r="D52" s="64"/>
      <c r="E52" s="64"/>
      <c r="F52" s="64"/>
      <c r="G52" s="64"/>
      <c r="H52" s="64"/>
      <c r="I52" s="64"/>
      <c r="J52" s="64"/>
      <c r="K52" s="96"/>
    </row>
    <row r="53" spans="2:11" ht="12.75" customHeight="1">
      <c r="B53" s="95"/>
      <c r="C53" s="64"/>
      <c r="D53" s="64"/>
      <c r="E53" s="64"/>
      <c r="F53" s="64"/>
      <c r="G53" s="64"/>
      <c r="H53" s="64"/>
      <c r="I53" s="64"/>
      <c r="J53" s="64"/>
      <c r="K53" s="96"/>
    </row>
    <row r="54" spans="2:11" ht="12.75" customHeight="1">
      <c r="B54" s="95"/>
      <c r="C54" s="64"/>
      <c r="D54" s="64"/>
      <c r="E54" s="64"/>
      <c r="F54" s="64"/>
      <c r="G54" s="64"/>
      <c r="H54" s="64"/>
      <c r="I54" s="64"/>
      <c r="J54" s="64"/>
      <c r="K54" s="96"/>
    </row>
    <row r="55" spans="2:11" ht="12.75" customHeight="1">
      <c r="B55" s="95"/>
      <c r="C55" s="64"/>
      <c r="D55" s="64"/>
      <c r="E55" s="64"/>
      <c r="F55" s="64"/>
      <c r="G55" s="64"/>
      <c r="H55" s="64"/>
      <c r="I55" s="64"/>
      <c r="J55" s="64"/>
      <c r="K55" s="96"/>
    </row>
    <row r="56" spans="2:11" ht="12.75" customHeight="1">
      <c r="B56" s="100"/>
      <c r="C56" s="101"/>
      <c r="D56" s="101"/>
      <c r="E56" s="101"/>
      <c r="F56" s="101"/>
      <c r="G56" s="101"/>
      <c r="H56" s="101"/>
      <c r="I56" s="101"/>
      <c r="J56" s="101"/>
      <c r="K56" s="150"/>
    </row>
    <row r="57" spans="2:11" ht="12.75" customHeight="1"/>
    <row r="58" spans="2:11" ht="12.75" customHeight="1"/>
    <row r="59" spans="2:11" ht="12.75" customHeight="1"/>
    <row r="60" spans="2:11" ht="12.75" customHeight="1"/>
    <row r="61" spans="2:11" ht="12.75" customHeight="1"/>
    <row r="62" spans="2:11" ht="12.75" customHeight="1"/>
    <row r="63" spans="2:11" ht="12.75" customHeight="1"/>
    <row r="64" spans="2: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51" priority="1" stopIfTrue="1" operator="lessThan">
      <formula>0.95*$C27*(E$14/$C$14)</formula>
    </cfRule>
  </conditionalFormatting>
  <conditionalFormatting sqref="E35:G35">
    <cfRule type="cellIs" dxfId="150" priority="2" stopIfTrue="1" operator="lessThan">
      <formula>0.95*$C35*(E$14/$C$14)</formula>
    </cfRule>
  </conditionalFormatting>
  <conditionalFormatting sqref="K27">
    <cfRule type="cellIs" dxfId="149" priority="3" stopIfTrue="1" operator="lessThan">
      <formula>33.3</formula>
    </cfRule>
    <cfRule type="cellIs" dxfId="148" priority="4" stopIfTrue="1" operator="between">
      <formula>33.3</formula>
      <formula>100</formula>
    </cfRule>
  </conditionalFormatting>
  <conditionalFormatting sqref="K27:K33">
    <cfRule type="cellIs" dxfId="147" priority="5" stopIfTrue="1" operator="greaterThanOrEqual">
      <formula>100</formula>
    </cfRule>
  </conditionalFormatting>
  <conditionalFormatting sqref="K28:K33">
    <cfRule type="cellIs" dxfId="146" priority="6" stopIfTrue="1" operator="lessThan">
      <formula>100</formula>
    </cfRule>
  </conditionalFormatting>
  <conditionalFormatting sqref="K34">
    <cfRule type="cellIs" dxfId="145" priority="7" stopIfTrue="1" operator="between">
      <formula>100.1</formula>
      <formula>300</formula>
    </cfRule>
    <cfRule type="cellIs" dxfId="144" priority="8" stopIfTrue="1" operator="greaterThan">
      <formula>300</formula>
    </cfRule>
    <cfRule type="cellIs" dxfId="143" priority="9" stopIfTrue="1" operator="lessThanOrEqual">
      <formula>100</formula>
    </cfRule>
  </conditionalFormatting>
  <conditionalFormatting sqref="K35">
    <cfRule type="cellIs" dxfId="142" priority="10" stopIfTrue="1" operator="greaterThanOrEqual">
      <formula>100</formula>
    </cfRule>
    <cfRule type="cellIs" dxfId="141" priority="11" stopIfTrue="1" operator="lessThan">
      <formula>33.3</formula>
    </cfRule>
    <cfRule type="cellIs" dxfId="140" priority="12" stopIfTrue="1" operator="between">
      <formula>33.3</formula>
      <formula>100</formula>
    </cfRule>
  </conditionalFormatting>
  <dataValidations count="5">
    <dataValidation type="list" allowBlank="1" showErrorMessage="1" sqref="F2" xr:uid="{00000000-0002-0000-1A00-000000000000}">
      <formula1>ConstructionType</formula1>
    </dataValidation>
    <dataValidation type="list" allowBlank="1" showErrorMessage="1" sqref="I5" xr:uid="{00000000-0002-0000-1A00-000001000000}">
      <formula1>Material</formula1>
    </dataValidation>
    <dataValidation type="list" allowBlank="1" showInputMessage="1" showErrorMessage="1" prompt="Select Material" sqref="E5:G5" xr:uid="{00000000-0002-0000-1A00-000002000000}">
      <formula1>Metallic_Mats</formula1>
    </dataValidation>
    <dataValidation type="list" allowBlank="1" showInputMessage="1" showErrorMessage="1" prompt="Select Material" sqref="C5:D5 D6 H5:H6" xr:uid="{00000000-0002-0000-1A00-000003000000}">
      <formula1>Materials</formula1>
    </dataValidation>
    <dataValidation type="list" allowBlank="1" showInputMessage="1" showErrorMessage="1" prompt="Select Material" sqref="E6:G6" xr:uid="{00000000-0002-0000-1A00-000004000000}">
      <formula1>Tube_Type</formula1>
    </dataValidation>
  </dataValidations>
  <hyperlinks>
    <hyperlink ref="I7" location="'T3.5 Laminate Test'!A1" display="T3.5_Laminate" xr:uid="{00000000-0004-0000-1A00-000000000000}"/>
  </hyperlinks>
  <pageMargins left="0.75" right="0.75" top="1" bottom="1" header="0" footer="0"/>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6D9F0"/>
  </sheetPr>
  <dimension ref="A1:AO1000"/>
  <sheetViews>
    <sheetView showGridLines="0" workbookViewId="0"/>
  </sheetViews>
  <sheetFormatPr baseColWidth="10" defaultColWidth="12.5703125" defaultRowHeight="15" customHeight="1"/>
  <cols>
    <col min="1" max="24" width="5" customWidth="1"/>
    <col min="25" max="25" width="20.5703125" customWidth="1"/>
    <col min="26" max="26" width="16.42578125" customWidth="1"/>
    <col min="27" max="28" width="5" customWidth="1"/>
    <col min="29" max="29" width="14.5703125" customWidth="1"/>
    <col min="30" max="30" width="16.28515625" customWidth="1"/>
    <col min="31" max="32" width="5" customWidth="1"/>
    <col min="33" max="38" width="17.42578125" customWidth="1"/>
    <col min="39" max="41" width="11.42578125" customWidth="1"/>
  </cols>
  <sheetData>
    <row r="1" spans="1:41" ht="12.75" customHeight="1">
      <c r="A1" s="675" t="s">
        <v>680</v>
      </c>
      <c r="B1" s="595"/>
      <c r="C1" s="595"/>
      <c r="D1" s="595"/>
      <c r="E1" s="595"/>
      <c r="F1" s="595"/>
      <c r="G1" s="595"/>
      <c r="H1" s="595"/>
      <c r="I1" s="595"/>
      <c r="J1" s="595"/>
      <c r="K1" s="595"/>
      <c r="L1" s="595"/>
      <c r="M1" s="595"/>
      <c r="N1" s="595"/>
      <c r="O1" s="595"/>
      <c r="P1" s="595"/>
      <c r="Q1" s="595"/>
      <c r="R1" s="595"/>
      <c r="S1" s="595"/>
      <c r="T1" s="342"/>
      <c r="U1" s="4"/>
      <c r="V1" s="4"/>
      <c r="W1" s="4"/>
      <c r="X1" s="4"/>
      <c r="Y1" s="4"/>
      <c r="Z1" s="4"/>
      <c r="AA1" s="4"/>
      <c r="AB1" s="4"/>
      <c r="AC1" s="4"/>
      <c r="AD1" s="4"/>
      <c r="AE1" s="4"/>
      <c r="AF1" s="4"/>
      <c r="AG1" s="5"/>
      <c r="AH1" s="143"/>
      <c r="AI1" s="143"/>
      <c r="AJ1" s="143"/>
      <c r="AK1" s="143"/>
      <c r="AL1" s="144"/>
    </row>
    <row r="2" spans="1:41" ht="12.75" customHeight="1">
      <c r="A2" s="80"/>
      <c r="T2" s="7"/>
      <c r="U2" s="6"/>
      <c r="V2" s="6"/>
      <c r="W2" s="6"/>
      <c r="X2" s="6"/>
      <c r="Y2" s="6"/>
      <c r="Z2" s="21"/>
      <c r="AA2" s="6"/>
      <c r="AB2" s="6"/>
      <c r="AC2" s="6"/>
      <c r="AD2" s="21"/>
      <c r="AE2" s="6"/>
      <c r="AF2" s="6"/>
      <c r="AG2" s="8"/>
      <c r="AH2" s="64"/>
      <c r="AI2" s="64"/>
      <c r="AJ2" s="64"/>
      <c r="AK2" s="64"/>
      <c r="AL2" s="96"/>
      <c r="AN2" s="39"/>
      <c r="AO2" s="39"/>
    </row>
    <row r="3" spans="1:41" ht="12.75" customHeight="1">
      <c r="A3" s="67" t="s">
        <v>45</v>
      </c>
      <c r="D3" s="635" t="str">
        <f>IF('Cover Sheet'!$D$14&gt;0,'Cover Sheet'!$D$14,"")</f>
        <v>Ecole Centrale Lyon</v>
      </c>
      <c r="E3" s="601"/>
      <c r="F3" s="601"/>
      <c r="G3" s="601"/>
      <c r="H3" s="601"/>
      <c r="I3" s="601"/>
      <c r="J3" s="601"/>
      <c r="K3" s="67" t="s">
        <v>47</v>
      </c>
      <c r="O3" s="635" t="str">
        <f>IF('Cover Sheet'!$O$14&gt;0,'Cover Sheet'!$O$14,"")</f>
        <v>81 FSCH/FSS/FSF</v>
      </c>
      <c r="P3" s="601"/>
      <c r="Q3" s="601"/>
      <c r="R3" s="601"/>
      <c r="S3" s="601"/>
      <c r="T3" s="7"/>
      <c r="U3" s="343" t="s">
        <v>681</v>
      </c>
      <c r="V3" s="344"/>
      <c r="W3" s="344"/>
      <c r="X3" s="344"/>
      <c r="Y3" s="345"/>
      <c r="Z3" s="346" t="s">
        <v>682</v>
      </c>
      <c r="AA3" s="7" t="s">
        <v>683</v>
      </c>
      <c r="AB3" s="6"/>
      <c r="AC3" s="8"/>
      <c r="AD3" s="347" t="s">
        <v>684</v>
      </c>
      <c r="AE3" s="7"/>
      <c r="AF3" s="6"/>
      <c r="AG3" s="8"/>
      <c r="AH3" s="64"/>
      <c r="AI3" s="64"/>
      <c r="AJ3" s="64"/>
      <c r="AK3" s="64"/>
      <c r="AL3" s="96"/>
    </row>
    <row r="4" spans="1:41" ht="12.75" customHeight="1">
      <c r="A4" s="80"/>
      <c r="T4" s="80"/>
      <c r="U4" s="243" t="s">
        <v>439</v>
      </c>
      <c r="V4" s="348"/>
      <c r="W4" s="348"/>
      <c r="X4" s="348"/>
      <c r="Y4" s="348"/>
      <c r="Z4" s="214" t="s">
        <v>202</v>
      </c>
      <c r="AD4" s="214" t="s">
        <v>202</v>
      </c>
      <c r="AG4" s="141"/>
      <c r="AH4" s="64"/>
      <c r="AI4" s="64"/>
      <c r="AJ4" s="64"/>
      <c r="AK4" s="64"/>
      <c r="AL4" s="96"/>
    </row>
    <row r="5" spans="1:41" ht="12.75" customHeight="1">
      <c r="A5" s="685"/>
      <c r="B5" s="677"/>
      <c r="C5" s="677"/>
      <c r="D5" s="677"/>
      <c r="E5" s="677"/>
      <c r="F5" s="677"/>
      <c r="G5" s="677"/>
      <c r="H5" s="677"/>
      <c r="I5" s="677"/>
      <c r="J5" s="677"/>
      <c r="K5" s="677"/>
      <c r="L5" s="677"/>
      <c r="M5" s="677"/>
      <c r="N5" s="677"/>
      <c r="O5" s="677"/>
      <c r="P5" s="677"/>
      <c r="Q5" s="677"/>
      <c r="R5" s="677"/>
      <c r="S5" s="709"/>
      <c r="T5" s="7"/>
      <c r="U5" s="710" t="s">
        <v>441</v>
      </c>
      <c r="V5" s="587"/>
      <c r="W5" s="587"/>
      <c r="X5" s="587"/>
      <c r="Y5" s="588"/>
      <c r="Z5" s="349" t="str">
        <f>HLOOKUP(Z4,MaterialData!$C$3:$S$4,2,FALSE)</f>
        <v>Steel</v>
      </c>
      <c r="AD5" s="349" t="str">
        <f>HLOOKUP(AD4,MaterialData!$C$3:$S$4,2,FALSE)</f>
        <v>Steel</v>
      </c>
      <c r="AG5" s="8"/>
      <c r="AH5" s="64"/>
      <c r="AI5" s="64"/>
      <c r="AJ5" s="64"/>
      <c r="AK5" s="64"/>
      <c r="AL5" s="96"/>
    </row>
    <row r="6" spans="1:41" ht="12.75" customHeight="1">
      <c r="A6" s="95"/>
      <c r="B6" s="64"/>
      <c r="C6" s="64"/>
      <c r="D6" s="64"/>
      <c r="E6" s="64"/>
      <c r="F6" s="64"/>
      <c r="G6" s="64"/>
      <c r="H6" s="64"/>
      <c r="I6" s="64"/>
      <c r="J6" s="64"/>
      <c r="K6" s="64"/>
      <c r="L6" s="64"/>
      <c r="M6" s="64"/>
      <c r="N6" s="64"/>
      <c r="O6" s="64"/>
      <c r="P6" s="64"/>
      <c r="Q6" s="64"/>
      <c r="R6" s="64"/>
      <c r="S6" s="64"/>
      <c r="T6" s="7"/>
      <c r="U6" s="350" t="s">
        <v>467</v>
      </c>
      <c r="V6" s="351"/>
      <c r="W6" s="351"/>
      <c r="X6" s="351"/>
      <c r="Y6" s="352"/>
      <c r="Z6" s="64" t="s">
        <v>247</v>
      </c>
      <c r="AA6" s="7"/>
      <c r="AB6" s="6"/>
      <c r="AC6" s="8"/>
      <c r="AD6" s="64" t="s">
        <v>247</v>
      </c>
      <c r="AE6" s="7"/>
      <c r="AF6" s="6"/>
      <c r="AG6" s="8"/>
      <c r="AH6" s="64"/>
      <c r="AI6" s="64"/>
      <c r="AJ6" s="64"/>
      <c r="AK6" s="64"/>
      <c r="AL6" s="96"/>
    </row>
    <row r="7" spans="1:41" ht="12.75" customHeight="1">
      <c r="A7" s="95"/>
      <c r="B7" s="64"/>
      <c r="C7" s="64"/>
      <c r="D7" s="64"/>
      <c r="E7" s="64"/>
      <c r="F7" s="64"/>
      <c r="G7" s="64"/>
      <c r="H7" s="64"/>
      <c r="I7" s="64"/>
      <c r="J7" s="64"/>
      <c r="K7" s="64"/>
      <c r="L7" s="64"/>
      <c r="M7" s="64"/>
      <c r="N7" s="64"/>
      <c r="O7" s="64"/>
      <c r="P7" s="64"/>
      <c r="Q7" s="64"/>
      <c r="R7" s="64"/>
      <c r="S7" s="64"/>
      <c r="T7" s="7"/>
      <c r="U7" s="43" t="s">
        <v>223</v>
      </c>
      <c r="V7" s="10"/>
      <c r="W7" s="10"/>
      <c r="X7" s="10"/>
      <c r="Y7" s="353"/>
      <c r="Z7" s="354">
        <f t="array" ref="Z7">INDEX(Innertable,MATCH($U7,MaterialData!$B$6:$B$11,0),MATCH(Z$5,MaterialData!$C$4:$S$4,0))</f>
        <v>200000000000</v>
      </c>
      <c r="AA7" s="7"/>
      <c r="AB7" s="6"/>
      <c r="AC7" s="8"/>
      <c r="AD7" s="354">
        <f t="array" ref="AD7">INDEX(Innertable,MATCH($U7,MaterialData!$B$6:$B$11,0),MATCH(AD$5,MaterialData!$C$4:$S$4,0))</f>
        <v>200000000000</v>
      </c>
      <c r="AE7" s="7"/>
      <c r="AF7" s="6"/>
      <c r="AG7" s="8"/>
      <c r="AH7" s="64"/>
      <c r="AI7" s="64"/>
      <c r="AJ7" s="64"/>
      <c r="AK7" s="64"/>
      <c r="AL7" s="96"/>
    </row>
    <row r="8" spans="1:41" ht="12.75" customHeight="1">
      <c r="A8" s="95"/>
      <c r="B8" s="64"/>
      <c r="C8" s="64"/>
      <c r="D8" s="64"/>
      <c r="E8" s="64"/>
      <c r="F8" s="64"/>
      <c r="G8" s="64"/>
      <c r="H8" s="64"/>
      <c r="I8" s="64"/>
      <c r="J8" s="64"/>
      <c r="K8" s="64"/>
      <c r="L8" s="64"/>
      <c r="M8" s="64"/>
      <c r="N8" s="64"/>
      <c r="O8" s="64"/>
      <c r="P8" s="64"/>
      <c r="Q8" s="64"/>
      <c r="R8" s="64"/>
      <c r="S8" s="64"/>
      <c r="T8" s="7"/>
      <c r="U8" s="355" t="s">
        <v>227</v>
      </c>
      <c r="V8" s="356"/>
      <c r="W8" s="356"/>
      <c r="X8" s="356"/>
      <c r="Y8" s="357"/>
      <c r="Z8" s="354">
        <f t="array" ref="Z8">INDEX(Innertable,MATCH($U8,MaterialData!$B$6:$B$11,0),MATCH(Z$5,MaterialData!$C$4:$S$4,0))</f>
        <v>365000000</v>
      </c>
      <c r="AA8" s="7"/>
      <c r="AB8" s="6"/>
      <c r="AC8" s="8"/>
      <c r="AD8" s="354">
        <f t="array" ref="AD8">INDEX(Innertable,MATCH($U8,MaterialData!$B$6:$B$11,0),MATCH(AD$5,MaterialData!$C$4:$S$4,0))</f>
        <v>365000000</v>
      </c>
      <c r="AE8" s="7"/>
      <c r="AF8" s="6"/>
      <c r="AG8" s="8"/>
      <c r="AH8" s="64"/>
      <c r="AI8" s="64"/>
      <c r="AJ8" s="64"/>
      <c r="AK8" s="64"/>
      <c r="AL8" s="96"/>
    </row>
    <row r="9" spans="1:41" ht="12.75" customHeight="1">
      <c r="A9" s="95"/>
      <c r="B9" s="64"/>
      <c r="C9" s="64"/>
      <c r="D9" s="64"/>
      <c r="E9" s="64"/>
      <c r="F9" s="64"/>
      <c r="G9" s="64"/>
      <c r="H9" s="64"/>
      <c r="I9" s="64"/>
      <c r="J9" s="64"/>
      <c r="K9" s="64"/>
      <c r="L9" s="64"/>
      <c r="M9" s="64"/>
      <c r="N9" s="64"/>
      <c r="O9" s="64"/>
      <c r="P9" s="64"/>
      <c r="Q9" s="64"/>
      <c r="R9" s="64"/>
      <c r="S9" s="64"/>
      <c r="T9" s="7"/>
      <c r="U9" s="355" t="s">
        <v>442</v>
      </c>
      <c r="V9" s="356"/>
      <c r="W9" s="356"/>
      <c r="X9" s="356"/>
      <c r="Y9" s="357"/>
      <c r="Z9" s="101">
        <v>30</v>
      </c>
      <c r="AA9" s="7"/>
      <c r="AB9" s="6"/>
      <c r="AC9" s="8"/>
      <c r="AD9" s="101">
        <v>28</v>
      </c>
      <c r="AE9" s="7"/>
      <c r="AF9" s="6"/>
      <c r="AG9" s="8"/>
      <c r="AH9" s="64"/>
      <c r="AI9" s="64"/>
      <c r="AJ9" s="64"/>
      <c r="AK9" s="64"/>
      <c r="AL9" s="96"/>
    </row>
    <row r="10" spans="1:41" ht="12.75" customHeight="1">
      <c r="A10" s="95"/>
      <c r="B10" s="64"/>
      <c r="C10" s="64"/>
      <c r="D10" s="64"/>
      <c r="E10" s="64"/>
      <c r="F10" s="64"/>
      <c r="G10" s="64"/>
      <c r="H10" s="64"/>
      <c r="I10" s="64"/>
      <c r="J10" s="64"/>
      <c r="K10" s="64"/>
      <c r="L10" s="64"/>
      <c r="M10" s="64"/>
      <c r="N10" s="64"/>
      <c r="O10" s="64"/>
      <c r="P10" s="64"/>
      <c r="Q10" s="64"/>
      <c r="R10" s="64"/>
      <c r="S10" s="64"/>
      <c r="T10" s="7"/>
      <c r="U10" s="355" t="s">
        <v>443</v>
      </c>
      <c r="V10" s="356"/>
      <c r="W10" s="356"/>
      <c r="X10" s="356"/>
      <c r="Y10" s="357"/>
      <c r="Z10" s="233">
        <v>2</v>
      </c>
      <c r="AA10" s="7"/>
      <c r="AB10" s="6"/>
      <c r="AC10" s="8"/>
      <c r="AD10" s="233">
        <v>1.5</v>
      </c>
      <c r="AE10" s="7"/>
      <c r="AF10" s="6"/>
      <c r="AG10" s="8"/>
      <c r="AH10" s="64"/>
      <c r="AI10" s="64"/>
      <c r="AJ10" s="64"/>
      <c r="AK10" s="64"/>
      <c r="AL10" s="96"/>
    </row>
    <row r="11" spans="1:41" ht="12.75" customHeight="1">
      <c r="A11" s="95"/>
      <c r="B11" s="64"/>
      <c r="C11" s="64"/>
      <c r="D11" s="64"/>
      <c r="E11" s="64"/>
      <c r="F11" s="64"/>
      <c r="G11" s="147"/>
      <c r="H11" s="64"/>
      <c r="I11" s="64"/>
      <c r="J11" s="64"/>
      <c r="K11" s="64"/>
      <c r="L11" s="64"/>
      <c r="M11" s="64"/>
      <c r="N11" s="64"/>
      <c r="O11" s="64"/>
      <c r="P11" s="64"/>
      <c r="Q11" s="64"/>
      <c r="R11" s="64"/>
      <c r="S11" s="64"/>
      <c r="T11" s="7"/>
      <c r="U11" s="355" t="s">
        <v>610</v>
      </c>
      <c r="V11" s="356"/>
      <c r="W11" s="356"/>
      <c r="X11" s="356"/>
      <c r="Y11" s="357"/>
      <c r="Z11" s="143">
        <v>567.83600000000001</v>
      </c>
      <c r="AA11" s="7"/>
      <c r="AB11" s="6"/>
      <c r="AC11" s="8"/>
      <c r="AD11" s="143">
        <v>754.21299999999997</v>
      </c>
      <c r="AE11" s="7"/>
      <c r="AF11" s="6"/>
      <c r="AG11" s="8"/>
      <c r="AH11" s="64"/>
      <c r="AI11" s="64"/>
      <c r="AJ11" s="64"/>
      <c r="AK11" s="64"/>
      <c r="AL11" s="96"/>
    </row>
    <row r="12" spans="1:41" ht="12.75" customHeight="1">
      <c r="A12" s="95"/>
      <c r="B12" s="64"/>
      <c r="C12" s="64"/>
      <c r="D12" s="64"/>
      <c r="E12" s="64"/>
      <c r="F12" s="64"/>
      <c r="G12" s="64"/>
      <c r="H12" s="64"/>
      <c r="I12" s="64"/>
      <c r="J12" s="64"/>
      <c r="K12" s="64"/>
      <c r="L12" s="64"/>
      <c r="M12" s="64"/>
      <c r="N12" s="64"/>
      <c r="O12" s="64"/>
      <c r="P12" s="64"/>
      <c r="Q12" s="64"/>
      <c r="R12" s="64"/>
      <c r="S12" s="64"/>
      <c r="T12" s="7"/>
      <c r="U12" s="358" t="s">
        <v>611</v>
      </c>
      <c r="V12" s="359"/>
      <c r="W12" s="359"/>
      <c r="X12" s="359"/>
      <c r="Y12" s="360"/>
      <c r="Z12" s="361">
        <v>169.583</v>
      </c>
      <c r="AA12" s="7"/>
      <c r="AB12" s="6"/>
      <c r="AC12" s="8"/>
      <c r="AD12" s="361">
        <v>309.005</v>
      </c>
      <c r="AE12" s="7"/>
      <c r="AF12" s="6"/>
      <c r="AG12" s="8"/>
      <c r="AH12" s="64"/>
      <c r="AI12" s="64"/>
      <c r="AJ12" s="64"/>
      <c r="AK12" s="64"/>
      <c r="AL12" s="96"/>
    </row>
    <row r="13" spans="1:41" ht="12.75" customHeight="1">
      <c r="A13" s="95"/>
      <c r="B13" s="64"/>
      <c r="C13" s="147" t="s">
        <v>258</v>
      </c>
      <c r="D13" s="64"/>
      <c r="E13" s="64"/>
      <c r="F13" s="64"/>
      <c r="G13" s="147"/>
      <c r="H13" s="64"/>
      <c r="I13" s="64"/>
      <c r="J13" s="64"/>
      <c r="K13" s="64"/>
      <c r="L13" s="64"/>
      <c r="M13" s="64"/>
      <c r="N13" s="64"/>
      <c r="O13" s="64"/>
      <c r="P13" s="64"/>
      <c r="Q13" s="64"/>
      <c r="R13" s="64"/>
      <c r="S13" s="64"/>
      <c r="T13" s="7"/>
      <c r="U13" s="9" t="s">
        <v>685</v>
      </c>
      <c r="V13" s="10"/>
      <c r="W13" s="10"/>
      <c r="X13" s="10"/>
      <c r="Y13" s="353"/>
      <c r="Z13" s="362">
        <f>IF(Z6="Round",((Z9/1000)^4-((Z9/1000-2*Z10/1000))^4)*3.142/64,IF(Z6="Square",((Z9/1000)^4-((Z9/1000-2*Z10/1000))^4)/12,""))</f>
        <v>1.7331272000000002E-8</v>
      </c>
      <c r="AA13" s="7"/>
      <c r="AB13" s="6"/>
      <c r="AC13" s="8"/>
      <c r="AD13" s="362">
        <f>IF(Z3="Combined belts","",IF(AD6="Round",((AD9/1000)^4-((AD9/1000-2*AD10/1000))^4)*3.142/64,IF(AD6="Square",((AD9/1000)^4-((AD9/1000-2*AD10/1000))^4)/12,"")))</f>
        <v>1.0998521906249999E-8</v>
      </c>
      <c r="AE13" s="7"/>
      <c r="AF13" s="6"/>
      <c r="AG13" s="8"/>
      <c r="AH13" s="64"/>
      <c r="AI13" s="64"/>
      <c r="AJ13" s="64"/>
      <c r="AK13" s="64"/>
      <c r="AL13" s="96"/>
    </row>
    <row r="14" spans="1:41" ht="12.75" customHeight="1">
      <c r="A14" s="95"/>
      <c r="B14" s="64"/>
      <c r="C14" s="64"/>
      <c r="D14" s="64"/>
      <c r="E14" s="64"/>
      <c r="F14" s="64"/>
      <c r="G14" s="64"/>
      <c r="H14" s="64"/>
      <c r="I14" s="64"/>
      <c r="J14" s="64"/>
      <c r="K14" s="64"/>
      <c r="L14" s="64"/>
      <c r="M14" s="64"/>
      <c r="N14" s="64"/>
      <c r="O14" s="64"/>
      <c r="P14" s="64"/>
      <c r="Q14" s="64"/>
      <c r="R14" s="64"/>
      <c r="S14" s="64"/>
      <c r="T14" s="7"/>
      <c r="U14" s="355" t="s">
        <v>686</v>
      </c>
      <c r="V14" s="356"/>
      <c r="W14" s="356"/>
      <c r="X14" s="356"/>
      <c r="Y14" s="357"/>
      <c r="Z14" s="363">
        <f>IF(Z12&lt;50,"",2*IF(Z3="combined belts",19500,13000)*MAX(Z12,Z11-Z12)^3*MIN(Z12,Z11-Z12)^2/(3*Z7*Z13*(3*MAX(Z12,Z11-Z12)+MIN(Z12,Z11-Z12))^2*1000000))</f>
        <v>2.4399838830059055</v>
      </c>
      <c r="AA14" s="693" t="str">
        <f>IF(OR(Z14&lt;=25,Z12&lt;50),"PASS","FAIL")</f>
        <v>PASS</v>
      </c>
      <c r="AB14" s="588"/>
      <c r="AC14" s="8"/>
      <c r="AD14" s="363">
        <f>IF(Z3="Combined belts","",IF(AD12&lt;50,"",2*6500*MAX(AD12,AD11-AD12)^3*MIN(AD12,AD11-AD12)^2/(3*AD7*AD13*(3*MAX(AD12,AD11-AD12)+MIN(AD12,AD11-AD12))^2*1000000)))</f>
        <v>6.1367973511228646</v>
      </c>
      <c r="AE14" s="693" t="str">
        <f>IF(Z3="Combined belts","",IF(OR(AD14&lt;=25,AD12&lt;50),"PASS","FAIL"))</f>
        <v>PASS</v>
      </c>
      <c r="AF14" s="588"/>
      <c r="AG14" s="8"/>
      <c r="AH14" s="64"/>
      <c r="AI14" s="64"/>
      <c r="AJ14" s="64"/>
      <c r="AK14" s="64"/>
      <c r="AL14" s="96"/>
    </row>
    <row r="15" spans="1:41" ht="12.75" customHeight="1">
      <c r="A15" s="95"/>
      <c r="B15" s="64"/>
      <c r="C15" s="203" t="s">
        <v>687</v>
      </c>
      <c r="D15" s="64"/>
      <c r="E15" s="64"/>
      <c r="F15" s="64"/>
      <c r="G15" s="64"/>
      <c r="H15" s="64"/>
      <c r="I15" s="64"/>
      <c r="J15" s="64"/>
      <c r="K15" s="64"/>
      <c r="L15" s="64"/>
      <c r="M15" s="64"/>
      <c r="N15" s="64"/>
      <c r="O15" s="64"/>
      <c r="P15" s="64"/>
      <c r="Q15" s="64"/>
      <c r="R15" s="64"/>
      <c r="S15" s="64"/>
      <c r="T15" s="7"/>
      <c r="U15" s="364" t="s">
        <v>613</v>
      </c>
      <c r="V15" s="365"/>
      <c r="W15" s="365"/>
      <c r="X15" s="365"/>
      <c r="Y15" s="366"/>
      <c r="Z15" s="367">
        <f>IF(Z12&lt;50,"",ABS(-IF(Z3="combined belts",19500,13000)*Z12*(Z11-Z12)^2/Z11^2))</f>
        <v>1084421.0337551881</v>
      </c>
      <c r="AC15" s="6"/>
      <c r="AD15" s="126">
        <f>IF(Z3="Combined belts","",IF(AD12&lt;50,"",6500*AD12*(AD11-AD12)^2/AD11^2))</f>
        <v>699868.99625097937</v>
      </c>
      <c r="AG15" s="8"/>
      <c r="AH15" s="64"/>
      <c r="AI15" s="64"/>
      <c r="AJ15" s="64"/>
      <c r="AK15" s="64"/>
      <c r="AL15" s="96"/>
    </row>
    <row r="16" spans="1:41" ht="12.75" customHeight="1">
      <c r="A16" s="95"/>
      <c r="B16" s="64"/>
      <c r="C16" s="147" t="s">
        <v>688</v>
      </c>
      <c r="D16" s="64"/>
      <c r="E16" s="64"/>
      <c r="F16" s="64"/>
      <c r="G16" s="64"/>
      <c r="H16" s="64"/>
      <c r="I16" s="64"/>
      <c r="J16" s="64"/>
      <c r="K16" s="64"/>
      <c r="L16" s="64"/>
      <c r="M16" s="64"/>
      <c r="N16" s="64"/>
      <c r="O16" s="64"/>
      <c r="P16" s="64"/>
      <c r="Q16" s="64"/>
      <c r="R16" s="64"/>
      <c r="S16" s="64"/>
      <c r="T16" s="7"/>
      <c r="U16" s="364" t="s">
        <v>614</v>
      </c>
      <c r="V16" s="365"/>
      <c r="W16" s="365"/>
      <c r="X16" s="365"/>
      <c r="Y16" s="366"/>
      <c r="Z16" s="367">
        <f>IF(Z12&lt;50,"",ABS(-IF(Z3="combined belts",19500,13000)*Z12^2*(Z11-Z12)/Z11^2))</f>
        <v>461765.18988508824</v>
      </c>
      <c r="AA16" s="6"/>
      <c r="AB16" s="6"/>
      <c r="AC16" s="6"/>
      <c r="AD16" s="126">
        <f>IF(Z3="Combined belts","",IF(AD12&lt;50,"",6500*AD12^2*(AD11-AD12)/AD11^2))</f>
        <v>485757.26219325326</v>
      </c>
      <c r="AE16" s="6"/>
      <c r="AF16" s="6"/>
      <c r="AG16" s="8"/>
      <c r="AH16" s="64"/>
      <c r="AI16" s="64"/>
      <c r="AJ16" s="64"/>
      <c r="AK16" s="64"/>
      <c r="AL16" s="96"/>
    </row>
    <row r="17" spans="1:38" ht="12.75" customHeight="1">
      <c r="A17" s="95"/>
      <c r="B17" s="64"/>
      <c r="C17" s="64"/>
      <c r="D17" s="64"/>
      <c r="E17" s="64"/>
      <c r="F17" s="64"/>
      <c r="G17" s="64"/>
      <c r="H17" s="64"/>
      <c r="I17" s="64"/>
      <c r="J17" s="64"/>
      <c r="K17" s="64"/>
      <c r="L17" s="64"/>
      <c r="M17" s="64"/>
      <c r="N17" s="64"/>
      <c r="O17" s="64"/>
      <c r="P17" s="64"/>
      <c r="Q17" s="64"/>
      <c r="R17" s="64"/>
      <c r="S17" s="64"/>
      <c r="T17" s="7"/>
      <c r="U17" s="368" t="s">
        <v>615</v>
      </c>
      <c r="V17" s="369"/>
      <c r="W17" s="369"/>
      <c r="X17" s="369"/>
      <c r="Y17" s="370"/>
      <c r="Z17" s="367">
        <f>IF(Z12&lt;50,"",2*IF(Z3="combined belts",19500,13000)*Z12^2*(Z11-Z12)^2/Z11^3)</f>
        <v>647720.0183408804</v>
      </c>
      <c r="AA17" s="6"/>
      <c r="AB17" s="6"/>
      <c r="AC17" s="6"/>
      <c r="AD17" s="126">
        <f>IF(Z3="Combined belts","",IF(AD12&lt;50,"",6500*AD12^2*(AD11-AD12)^2/AD11^3))</f>
        <v>286739.97821110731</v>
      </c>
      <c r="AE17" s="6"/>
      <c r="AF17" s="6"/>
      <c r="AG17" s="8"/>
      <c r="AH17" s="64"/>
      <c r="AI17" s="64"/>
      <c r="AJ17" s="64"/>
      <c r="AK17" s="64"/>
      <c r="AL17" s="96"/>
    </row>
    <row r="18" spans="1:38" ht="12.75" customHeight="1">
      <c r="A18" s="95"/>
      <c r="B18" s="64"/>
      <c r="C18" s="147" t="s">
        <v>253</v>
      </c>
      <c r="D18" s="64"/>
      <c r="E18" s="64"/>
      <c r="F18" s="64"/>
      <c r="G18" s="64"/>
      <c r="H18" s="64"/>
      <c r="I18" s="64"/>
      <c r="J18" s="64"/>
      <c r="K18" s="64"/>
      <c r="L18" s="64"/>
      <c r="M18" s="64"/>
      <c r="N18" s="64"/>
      <c r="O18" s="64"/>
      <c r="P18" s="64"/>
      <c r="Q18" s="64"/>
      <c r="R18" s="64"/>
      <c r="S18" s="64"/>
      <c r="T18" s="20"/>
      <c r="U18" s="371" t="s">
        <v>689</v>
      </c>
      <c r="V18" s="371"/>
      <c r="W18" s="371"/>
      <c r="X18" s="371"/>
      <c r="Y18" s="371"/>
      <c r="Z18" s="372">
        <f>IF(Z12&lt;50,"",MAX(Z15:Z17)*Z9/2/Z13/1000000000000)</f>
        <v>938.55289480932618</v>
      </c>
      <c r="AA18" s="693" t="str">
        <f>IF(OR(Z18&lt;=Z8/1000000,Z12&lt;50),"PASS","FAIL")</f>
        <v>FAIL</v>
      </c>
      <c r="AB18" s="588"/>
      <c r="AC18" s="21"/>
      <c r="AD18" s="373">
        <f>IF(Z3="Combined belts","",IF(AD12&lt;50,"",MAX(AD15:AD17)*AD9/2/AD13/1000000000000))</f>
        <v>890.86206592413328</v>
      </c>
      <c r="AE18" s="693" t="str">
        <f>IF(Z3="Combined belts","",IF(OR(AD18&lt;=AD8,AD12&lt;50),"PASS","FAIL"))</f>
        <v>PASS</v>
      </c>
      <c r="AF18" s="588"/>
      <c r="AG18" s="22"/>
      <c r="AH18" s="64"/>
      <c r="AI18" s="64"/>
      <c r="AJ18" s="64"/>
      <c r="AK18" s="64"/>
      <c r="AL18" s="96"/>
    </row>
    <row r="19" spans="1:38" ht="12.75" customHeight="1">
      <c r="A19" s="95"/>
      <c r="B19" s="64"/>
      <c r="C19" s="65"/>
      <c r="D19" s="64"/>
      <c r="E19" s="64"/>
      <c r="F19" s="64"/>
      <c r="G19" s="147"/>
      <c r="H19" s="64"/>
      <c r="I19" s="64"/>
      <c r="J19" s="64"/>
      <c r="K19" s="64"/>
      <c r="L19" s="64"/>
      <c r="M19" s="64"/>
      <c r="N19" s="64"/>
      <c r="O19" s="64"/>
      <c r="P19" s="64"/>
      <c r="Q19" s="64"/>
      <c r="R19" s="64"/>
      <c r="S19" s="96"/>
      <c r="T19" s="64"/>
      <c r="U19" s="64"/>
      <c r="V19" s="64"/>
      <c r="W19" s="64"/>
      <c r="X19" s="64"/>
      <c r="Y19" s="64"/>
      <c r="Z19" s="64"/>
      <c r="AA19" s="64"/>
      <c r="AB19" s="64"/>
      <c r="AC19" s="64"/>
      <c r="AD19" s="64"/>
      <c r="AE19" s="64"/>
      <c r="AF19" s="64"/>
      <c r="AG19" s="64"/>
      <c r="AH19" s="64"/>
      <c r="AI19" s="64"/>
      <c r="AJ19" s="64"/>
      <c r="AK19" s="64"/>
      <c r="AL19" s="96"/>
    </row>
    <row r="20" spans="1:38" ht="12.75" customHeight="1">
      <c r="A20" s="95"/>
      <c r="B20" s="64"/>
      <c r="C20" s="147" t="s">
        <v>254</v>
      </c>
      <c r="D20" s="64"/>
      <c r="E20" s="64"/>
      <c r="F20" s="64"/>
      <c r="G20" s="64"/>
      <c r="H20" s="64"/>
      <c r="I20" s="64"/>
      <c r="J20" s="64"/>
      <c r="K20" s="64"/>
      <c r="L20" s="64"/>
      <c r="M20" s="64"/>
      <c r="N20" s="64"/>
      <c r="O20" s="64"/>
      <c r="P20" s="64"/>
      <c r="Q20" s="64"/>
      <c r="R20" s="64"/>
      <c r="S20" s="96"/>
      <c r="T20" s="95"/>
      <c r="U20" s="64"/>
      <c r="V20" s="374" t="s">
        <v>571</v>
      </c>
      <c r="W20" s="65"/>
      <c r="X20" s="65"/>
      <c r="Y20" s="65"/>
      <c r="Z20" s="65"/>
      <c r="AA20" s="65"/>
      <c r="AB20" s="64"/>
      <c r="AC20" s="64"/>
      <c r="AD20" s="64"/>
      <c r="AE20" s="64"/>
      <c r="AF20" s="64"/>
      <c r="AG20" s="64"/>
      <c r="AH20" s="64"/>
      <c r="AI20" s="64"/>
      <c r="AJ20" s="64"/>
      <c r="AK20" s="64"/>
      <c r="AL20" s="96"/>
    </row>
    <row r="21" spans="1:38" ht="12.75" customHeight="1">
      <c r="A21" s="95"/>
      <c r="B21" s="64"/>
      <c r="C21" s="65"/>
      <c r="D21" s="64"/>
      <c r="E21" s="64"/>
      <c r="F21" s="64"/>
      <c r="G21" s="147"/>
      <c r="H21" s="64"/>
      <c r="I21" s="64"/>
      <c r="J21" s="64"/>
      <c r="K21" s="64"/>
      <c r="L21" s="64"/>
      <c r="M21" s="64"/>
      <c r="N21" s="64"/>
      <c r="O21" s="64"/>
      <c r="P21" s="64"/>
      <c r="Q21" s="64"/>
      <c r="R21" s="64"/>
      <c r="S21" s="96"/>
      <c r="T21" s="95"/>
      <c r="U21" s="64"/>
      <c r="V21" s="147"/>
      <c r="W21" s="65"/>
      <c r="X21" s="147"/>
      <c r="Y21" s="65"/>
      <c r="Z21" s="65"/>
      <c r="AA21" s="147"/>
      <c r="AB21" s="64"/>
      <c r="AC21" s="64"/>
      <c r="AD21" s="64"/>
      <c r="AE21" s="64"/>
      <c r="AF21" s="64"/>
      <c r="AG21" s="64"/>
      <c r="AH21" s="64"/>
      <c r="AI21" s="64"/>
      <c r="AJ21" s="64"/>
      <c r="AK21" s="64"/>
      <c r="AL21" s="96"/>
    </row>
    <row r="22" spans="1:38" ht="12.75" customHeight="1">
      <c r="A22" s="95"/>
      <c r="B22" s="64"/>
      <c r="C22" s="147" t="s">
        <v>255</v>
      </c>
      <c r="D22" s="147"/>
      <c r="E22" s="64"/>
      <c r="F22" s="64"/>
      <c r="G22" s="64"/>
      <c r="H22" s="64"/>
      <c r="I22" s="64"/>
      <c r="J22" s="64"/>
      <c r="K22" s="64"/>
      <c r="L22" s="64"/>
      <c r="M22" s="64"/>
      <c r="N22" s="64"/>
      <c r="O22" s="64"/>
      <c r="P22" s="64"/>
      <c r="Q22" s="64"/>
      <c r="R22" s="64"/>
      <c r="S22" s="96"/>
      <c r="T22" s="95"/>
      <c r="U22" s="64"/>
      <c r="V22" s="64"/>
      <c r="W22" s="64"/>
      <c r="X22" s="64"/>
      <c r="Y22" s="64"/>
      <c r="Z22" s="64"/>
      <c r="AA22" s="64"/>
      <c r="AB22" s="64"/>
      <c r="AC22" s="64"/>
      <c r="AD22" s="64"/>
      <c r="AE22" s="64"/>
      <c r="AF22" s="64"/>
      <c r="AG22" s="64"/>
      <c r="AH22" s="64"/>
      <c r="AI22" s="64"/>
      <c r="AJ22" s="64"/>
      <c r="AK22" s="64"/>
      <c r="AL22" s="96"/>
    </row>
    <row r="23" spans="1:38" ht="12.75" customHeight="1">
      <c r="A23" s="95"/>
      <c r="B23" s="64"/>
      <c r="C23" s="64"/>
      <c r="D23" s="64"/>
      <c r="E23" s="64"/>
      <c r="F23" s="64"/>
      <c r="G23" s="64"/>
      <c r="H23" s="64"/>
      <c r="I23" s="64"/>
      <c r="J23" s="64"/>
      <c r="K23" s="64"/>
      <c r="L23" s="64"/>
      <c r="M23" s="64"/>
      <c r="N23" s="64"/>
      <c r="O23" s="64"/>
      <c r="P23" s="64"/>
      <c r="Q23" s="64"/>
      <c r="R23" s="64"/>
      <c r="S23" s="96"/>
      <c r="T23" s="95"/>
      <c r="U23" s="64"/>
      <c r="V23" s="147" t="s">
        <v>690</v>
      </c>
      <c r="W23" s="64"/>
      <c r="X23" s="64"/>
      <c r="Y23" s="64"/>
      <c r="Z23" s="64"/>
      <c r="AA23" s="64"/>
      <c r="AB23" s="64"/>
      <c r="AC23" s="64"/>
      <c r="AD23" s="64"/>
      <c r="AE23" s="64"/>
      <c r="AF23" s="64"/>
      <c r="AG23" s="64"/>
      <c r="AH23" s="64"/>
      <c r="AI23" s="64"/>
      <c r="AJ23" s="64"/>
      <c r="AK23" s="64"/>
      <c r="AL23" s="96"/>
    </row>
    <row r="24" spans="1:38" ht="12.75" customHeight="1">
      <c r="A24" s="95"/>
      <c r="B24" s="64"/>
      <c r="C24" s="64"/>
      <c r="D24" s="64"/>
      <c r="E24" s="64"/>
      <c r="F24" s="64"/>
      <c r="G24" s="64"/>
      <c r="H24" s="64"/>
      <c r="I24" s="64"/>
      <c r="J24" s="64"/>
      <c r="K24" s="64"/>
      <c r="L24" s="64"/>
      <c r="M24" s="64"/>
      <c r="N24" s="64"/>
      <c r="O24" s="64"/>
      <c r="P24" s="64"/>
      <c r="Q24" s="64"/>
      <c r="R24" s="64"/>
      <c r="S24" s="96"/>
      <c r="T24" s="95"/>
      <c r="U24" s="64"/>
      <c r="V24" s="147" t="s">
        <v>691</v>
      </c>
      <c r="W24" s="64"/>
      <c r="X24" s="64"/>
      <c r="Y24" s="64"/>
      <c r="Z24" s="64"/>
      <c r="AA24" s="64"/>
      <c r="AB24" s="64"/>
      <c r="AC24" s="64"/>
      <c r="AD24" s="64"/>
      <c r="AE24" s="64"/>
      <c r="AF24" s="64"/>
      <c r="AG24" s="64"/>
      <c r="AH24" s="64"/>
      <c r="AI24" s="64"/>
      <c r="AJ24" s="64"/>
      <c r="AK24" s="64"/>
      <c r="AL24" s="96"/>
    </row>
    <row r="25" spans="1:38" ht="12.75" customHeight="1">
      <c r="A25" s="95"/>
      <c r="B25" s="64"/>
      <c r="C25" s="64"/>
      <c r="D25" s="64"/>
      <c r="E25" s="64"/>
      <c r="F25" s="64"/>
      <c r="G25" s="64"/>
      <c r="H25" s="64"/>
      <c r="I25" s="64"/>
      <c r="J25" s="64"/>
      <c r="K25" s="64"/>
      <c r="L25" s="64"/>
      <c r="M25" s="64"/>
      <c r="N25" s="64"/>
      <c r="O25" s="64"/>
      <c r="P25" s="64"/>
      <c r="Q25" s="64"/>
      <c r="R25" s="64"/>
      <c r="S25" s="96"/>
      <c r="T25" s="95"/>
      <c r="U25" s="64"/>
      <c r="V25" s="147" t="s">
        <v>692</v>
      </c>
      <c r="W25" s="64"/>
      <c r="X25" s="64"/>
      <c r="Y25" s="64"/>
      <c r="Z25" s="64"/>
      <c r="AA25" s="64"/>
      <c r="AB25" s="64"/>
      <c r="AC25" s="64"/>
      <c r="AD25" s="64"/>
      <c r="AE25" s="64"/>
      <c r="AF25" s="64"/>
      <c r="AG25" s="64"/>
      <c r="AH25" s="64"/>
      <c r="AI25" s="64"/>
      <c r="AJ25" s="64"/>
      <c r="AK25" s="64"/>
      <c r="AL25" s="96"/>
    </row>
    <row r="26" spans="1:38" ht="12.75" customHeight="1">
      <c r="A26" s="95"/>
      <c r="B26" s="64"/>
      <c r="C26" s="64"/>
      <c r="D26" s="64"/>
      <c r="E26" s="64"/>
      <c r="F26" s="64"/>
      <c r="G26" s="64"/>
      <c r="H26" s="64"/>
      <c r="I26" s="64"/>
      <c r="J26" s="64"/>
      <c r="K26" s="64"/>
      <c r="L26" s="64"/>
      <c r="M26" s="64"/>
      <c r="N26" s="64"/>
      <c r="O26" s="64"/>
      <c r="P26" s="64"/>
      <c r="Q26" s="64"/>
      <c r="R26" s="64"/>
      <c r="S26" s="96"/>
      <c r="T26" s="95"/>
      <c r="U26" s="64"/>
      <c r="V26" s="147"/>
      <c r="W26" s="64"/>
      <c r="X26" s="64"/>
      <c r="Y26" s="64"/>
      <c r="Z26" s="64"/>
      <c r="AA26" s="64"/>
      <c r="AB26" s="64"/>
      <c r="AC26" s="64"/>
      <c r="AD26" s="64"/>
      <c r="AE26" s="64"/>
      <c r="AF26" s="64"/>
      <c r="AG26" s="64"/>
      <c r="AH26" s="64"/>
      <c r="AI26" s="64"/>
      <c r="AJ26" s="64"/>
      <c r="AK26" s="64"/>
      <c r="AL26" s="96"/>
    </row>
    <row r="27" spans="1:38" ht="12.75" customHeight="1">
      <c r="A27" s="95"/>
      <c r="B27" s="64"/>
      <c r="C27" s="64"/>
      <c r="D27" s="64"/>
      <c r="E27" s="64"/>
      <c r="F27" s="64"/>
      <c r="G27" s="64"/>
      <c r="H27" s="64"/>
      <c r="I27" s="64"/>
      <c r="J27" s="64"/>
      <c r="K27" s="64"/>
      <c r="L27" s="64"/>
      <c r="M27" s="64"/>
      <c r="N27" s="64"/>
      <c r="O27" s="64"/>
      <c r="P27" s="64"/>
      <c r="Q27" s="64"/>
      <c r="R27" s="64"/>
      <c r="S27" s="96"/>
      <c r="T27" s="95"/>
      <c r="U27" s="64"/>
      <c r="V27" s="375" t="s">
        <v>693</v>
      </c>
      <c r="W27" s="64"/>
      <c r="X27" s="64"/>
      <c r="Y27" s="64"/>
      <c r="Z27" s="64"/>
      <c r="AA27" s="64"/>
      <c r="AB27" s="64"/>
      <c r="AC27" s="64"/>
      <c r="AD27" s="64"/>
      <c r="AE27" s="64"/>
      <c r="AF27" s="64"/>
      <c r="AG27" s="64"/>
      <c r="AH27" s="64"/>
      <c r="AI27" s="64"/>
      <c r="AJ27" s="64"/>
      <c r="AK27" s="64"/>
      <c r="AL27" s="96"/>
    </row>
    <row r="28" spans="1:38" ht="12.75" customHeight="1">
      <c r="A28" s="95"/>
      <c r="B28" s="64"/>
      <c r="C28" s="64"/>
      <c r="D28" s="64"/>
      <c r="E28" s="64"/>
      <c r="F28" s="64"/>
      <c r="G28" s="64"/>
      <c r="H28" s="64"/>
      <c r="I28" s="64"/>
      <c r="J28" s="64"/>
      <c r="K28" s="64"/>
      <c r="L28" s="64"/>
      <c r="M28" s="64"/>
      <c r="N28" s="64"/>
      <c r="O28" s="64"/>
      <c r="P28" s="64"/>
      <c r="Q28" s="64"/>
      <c r="R28" s="64"/>
      <c r="S28" s="96"/>
      <c r="T28" s="95"/>
      <c r="U28" s="64"/>
      <c r="V28" s="375" t="s">
        <v>694</v>
      </c>
      <c r="W28" s="64"/>
      <c r="X28" s="64"/>
      <c r="Y28" s="64"/>
      <c r="Z28" s="64"/>
      <c r="AA28" s="64"/>
      <c r="AB28" s="64"/>
      <c r="AC28" s="64"/>
      <c r="AD28" s="64"/>
      <c r="AE28" s="64"/>
      <c r="AF28" s="64"/>
      <c r="AG28" s="64"/>
      <c r="AH28" s="64"/>
      <c r="AI28" s="64"/>
      <c r="AJ28" s="64"/>
      <c r="AK28" s="64"/>
      <c r="AL28" s="96"/>
    </row>
    <row r="29" spans="1:38" ht="12.75" customHeight="1">
      <c r="A29" s="95"/>
      <c r="B29" s="64"/>
      <c r="C29" s="64"/>
      <c r="D29" s="64"/>
      <c r="E29" s="64"/>
      <c r="F29" s="64"/>
      <c r="G29" s="64"/>
      <c r="H29" s="64"/>
      <c r="I29" s="64"/>
      <c r="J29" s="64"/>
      <c r="K29" s="64"/>
      <c r="L29" s="64"/>
      <c r="M29" s="64"/>
      <c r="N29" s="64"/>
      <c r="O29" s="64"/>
      <c r="P29" s="64"/>
      <c r="Q29" s="64"/>
      <c r="R29" s="64"/>
      <c r="S29" s="96"/>
      <c r="T29" s="95"/>
      <c r="U29" s="64"/>
      <c r="V29" s="147"/>
      <c r="W29" s="64"/>
      <c r="X29" s="64"/>
      <c r="Y29" s="64"/>
      <c r="Z29" s="64"/>
      <c r="AA29" s="64"/>
      <c r="AB29" s="64"/>
      <c r="AC29" s="64"/>
      <c r="AD29" s="64"/>
      <c r="AE29" s="64"/>
      <c r="AF29" s="64"/>
      <c r="AG29" s="64"/>
      <c r="AH29" s="64"/>
      <c r="AI29" s="64"/>
      <c r="AJ29" s="64"/>
      <c r="AK29" s="64"/>
      <c r="AL29" s="96"/>
    </row>
    <row r="30" spans="1:38" ht="12.75" customHeight="1">
      <c r="A30" s="95"/>
      <c r="B30" s="64"/>
      <c r="C30" s="64"/>
      <c r="D30" s="64"/>
      <c r="E30" s="64"/>
      <c r="F30" s="64"/>
      <c r="G30" s="64"/>
      <c r="H30" s="64"/>
      <c r="I30" s="64"/>
      <c r="J30" s="64"/>
      <c r="K30" s="64"/>
      <c r="L30" s="64"/>
      <c r="M30" s="64"/>
      <c r="N30" s="64"/>
      <c r="O30" s="64"/>
      <c r="P30" s="64"/>
      <c r="Q30" s="64"/>
      <c r="R30" s="64"/>
      <c r="S30" s="96"/>
      <c r="T30" s="95"/>
      <c r="U30" s="64"/>
      <c r="V30" s="64"/>
      <c r="W30" s="64"/>
      <c r="X30" s="64"/>
      <c r="Y30" s="64"/>
      <c r="Z30" s="64"/>
      <c r="AA30" s="64"/>
      <c r="AB30" s="64"/>
      <c r="AC30" s="64"/>
      <c r="AD30" s="64"/>
      <c r="AE30" s="64"/>
      <c r="AF30" s="64"/>
      <c r="AG30" s="64"/>
      <c r="AH30" s="64"/>
      <c r="AI30" s="64"/>
      <c r="AJ30" s="64"/>
      <c r="AK30" s="64"/>
      <c r="AL30" s="96"/>
    </row>
    <row r="31" spans="1:38" ht="12.75" customHeight="1">
      <c r="A31" s="95"/>
      <c r="B31" s="64"/>
      <c r="C31" s="64"/>
      <c r="D31" s="64"/>
      <c r="E31" s="64"/>
      <c r="F31" s="64"/>
      <c r="G31" s="64"/>
      <c r="H31" s="64"/>
      <c r="I31" s="64"/>
      <c r="J31" s="64"/>
      <c r="K31" s="64"/>
      <c r="L31" s="64"/>
      <c r="M31" s="64"/>
      <c r="N31" s="64"/>
      <c r="O31" s="64"/>
      <c r="P31" s="64"/>
      <c r="Q31" s="64"/>
      <c r="R31" s="64"/>
      <c r="S31" s="96"/>
      <c r="T31" s="95"/>
      <c r="U31" s="64"/>
      <c r="V31" s="147" t="s">
        <v>695</v>
      </c>
      <c r="W31" s="64"/>
      <c r="X31" s="64"/>
      <c r="Y31" s="64"/>
      <c r="Z31" s="64"/>
      <c r="AA31" s="64"/>
      <c r="AB31" s="64"/>
      <c r="AC31" s="64"/>
      <c r="AD31" s="64"/>
      <c r="AE31" s="64"/>
      <c r="AF31" s="64"/>
      <c r="AG31" s="64"/>
      <c r="AH31" s="64"/>
      <c r="AI31" s="64"/>
      <c r="AJ31" s="64"/>
      <c r="AK31" s="64"/>
      <c r="AL31" s="96"/>
    </row>
    <row r="32" spans="1:38" ht="12.75" customHeight="1">
      <c r="A32" s="95"/>
      <c r="B32" s="64"/>
      <c r="C32" s="64"/>
      <c r="D32" s="64"/>
      <c r="E32" s="64"/>
      <c r="F32" s="64"/>
      <c r="G32" s="64"/>
      <c r="H32" s="64"/>
      <c r="I32" s="64"/>
      <c r="J32" s="64"/>
      <c r="K32" s="64"/>
      <c r="L32" s="64"/>
      <c r="M32" s="64"/>
      <c r="N32" s="64"/>
      <c r="O32" s="64"/>
      <c r="P32" s="64"/>
      <c r="Q32" s="64"/>
      <c r="R32" s="64"/>
      <c r="S32" s="96"/>
      <c r="T32" s="95"/>
      <c r="U32" s="64"/>
      <c r="V32" s="375" t="s">
        <v>696</v>
      </c>
      <c r="W32" s="64"/>
      <c r="X32" s="64"/>
      <c r="Y32" s="64"/>
      <c r="Z32" s="64"/>
      <c r="AA32" s="64"/>
      <c r="AB32" s="64"/>
      <c r="AC32" s="64"/>
      <c r="AD32" s="64"/>
      <c r="AE32" s="64"/>
      <c r="AF32" s="64"/>
      <c r="AG32" s="64"/>
      <c r="AH32" s="64"/>
      <c r="AI32" s="64"/>
      <c r="AJ32" s="64"/>
      <c r="AK32" s="64"/>
      <c r="AL32" s="96"/>
    </row>
    <row r="33" spans="1:38" ht="12.75" customHeight="1">
      <c r="A33" s="100"/>
      <c r="B33" s="101"/>
      <c r="C33" s="101"/>
      <c r="D33" s="101"/>
      <c r="E33" s="101"/>
      <c r="F33" s="101"/>
      <c r="G33" s="101"/>
      <c r="H33" s="101"/>
      <c r="I33" s="101"/>
      <c r="J33" s="101"/>
      <c r="K33" s="101"/>
      <c r="L33" s="101"/>
      <c r="M33" s="101"/>
      <c r="N33" s="101"/>
      <c r="O33" s="101"/>
      <c r="P33" s="101"/>
      <c r="Q33" s="101"/>
      <c r="R33" s="101"/>
      <c r="S33" s="150"/>
      <c r="T33" s="95"/>
      <c r="U33" s="64"/>
      <c r="V33" s="64"/>
      <c r="W33" s="64"/>
      <c r="X33" s="64"/>
      <c r="Y33" s="64"/>
      <c r="Z33" s="64"/>
      <c r="AA33" s="64"/>
      <c r="AB33" s="64"/>
      <c r="AC33" s="64"/>
      <c r="AD33" s="64"/>
      <c r="AE33" s="64"/>
      <c r="AF33" s="64"/>
      <c r="AG33" s="64"/>
      <c r="AH33" s="64"/>
      <c r="AI33" s="64"/>
      <c r="AJ33" s="64"/>
      <c r="AK33" s="64"/>
      <c r="AL33" s="96"/>
    </row>
    <row r="34" spans="1:38" ht="12.75" customHeight="1">
      <c r="A34" s="151" t="s">
        <v>697</v>
      </c>
      <c r="B34" s="77"/>
      <c r="C34" s="77"/>
      <c r="D34" s="77"/>
      <c r="E34" s="77"/>
      <c r="F34" s="77"/>
      <c r="G34" s="77"/>
      <c r="H34" s="77"/>
      <c r="I34" s="77"/>
      <c r="J34" s="77"/>
      <c r="K34" s="77"/>
      <c r="L34" s="77"/>
      <c r="M34" s="77"/>
      <c r="N34" s="77"/>
      <c r="O34" s="37"/>
      <c r="P34" s="169" t="s">
        <v>698</v>
      </c>
      <c r="Q34" s="676" t="s">
        <v>88</v>
      </c>
      <c r="R34" s="667"/>
      <c r="S34" s="152"/>
      <c r="T34" s="95"/>
      <c r="U34" s="64"/>
      <c r="V34" s="64"/>
      <c r="W34" s="64"/>
      <c r="X34" s="64"/>
      <c r="Y34" s="64"/>
      <c r="Z34" s="64"/>
      <c r="AA34" s="64"/>
      <c r="AB34" s="64"/>
      <c r="AC34" s="64"/>
      <c r="AD34" s="64"/>
      <c r="AE34" s="64"/>
      <c r="AF34" s="64"/>
      <c r="AG34" s="64"/>
      <c r="AH34" s="64"/>
      <c r="AI34" s="64"/>
      <c r="AJ34" s="64"/>
      <c r="AK34" s="64"/>
      <c r="AL34" s="96"/>
    </row>
    <row r="35" spans="1:38" ht="12.75" customHeight="1">
      <c r="A35" s="376" t="str">
        <f>IF(OR(F40="FAIL",F44="FAIL",F48="FAIL",F52="FAIL"),"FAIL","PASS")</f>
        <v>PASS</v>
      </c>
      <c r="B35" s="77"/>
      <c r="C35" s="77"/>
      <c r="D35" s="77"/>
      <c r="E35" s="77"/>
      <c r="F35" s="77"/>
      <c r="G35" s="77"/>
      <c r="H35" s="77"/>
      <c r="I35" s="77"/>
      <c r="J35" s="77"/>
      <c r="K35" s="77"/>
      <c r="L35" s="77"/>
      <c r="M35" s="77"/>
      <c r="N35" s="77"/>
      <c r="P35" s="169" t="s">
        <v>699</v>
      </c>
      <c r="Q35" s="676" t="s">
        <v>88</v>
      </c>
      <c r="R35" s="667"/>
      <c r="S35" s="152"/>
      <c r="T35" s="95"/>
      <c r="U35" s="64"/>
      <c r="V35" s="64"/>
      <c r="W35" s="64"/>
      <c r="X35" s="64"/>
      <c r="Y35" s="64"/>
      <c r="Z35" s="64"/>
      <c r="AA35" s="64"/>
      <c r="AB35" s="64"/>
      <c r="AC35" s="64"/>
      <c r="AD35" s="714"/>
      <c r="AE35" s="64"/>
      <c r="AF35" s="64"/>
      <c r="AG35" s="64"/>
      <c r="AH35" s="64"/>
      <c r="AI35" s="64"/>
      <c r="AJ35" s="64"/>
      <c r="AK35" s="64"/>
      <c r="AL35" s="96"/>
    </row>
    <row r="36" spans="1:38" ht="12.75" customHeight="1">
      <c r="A36" s="80"/>
      <c r="B36" s="77"/>
      <c r="C36" s="77"/>
      <c r="D36" s="77"/>
      <c r="E36" s="77"/>
      <c r="F36" s="77"/>
      <c r="G36" s="77"/>
      <c r="H36" s="77"/>
      <c r="I36" s="77"/>
      <c r="J36" s="77"/>
      <c r="K36" s="77"/>
      <c r="L36" s="77"/>
      <c r="M36" s="77"/>
      <c r="N36" s="77"/>
      <c r="O36" s="77"/>
      <c r="P36" s="169" t="s">
        <v>700</v>
      </c>
      <c r="Q36" s="676" t="s">
        <v>88</v>
      </c>
      <c r="R36" s="667"/>
      <c r="S36" s="152"/>
      <c r="T36" s="95"/>
      <c r="U36" s="64"/>
      <c r="V36" s="64"/>
      <c r="W36" s="64"/>
      <c r="X36" s="64"/>
      <c r="Y36" s="64"/>
      <c r="Z36" s="64"/>
      <c r="AA36" s="64"/>
      <c r="AB36" s="64"/>
      <c r="AC36" s="64"/>
      <c r="AD36" s="715"/>
      <c r="AE36" s="64"/>
      <c r="AF36" s="64"/>
      <c r="AG36" s="64"/>
      <c r="AH36" s="64"/>
      <c r="AI36" s="64"/>
      <c r="AJ36" s="64"/>
      <c r="AK36" s="64"/>
      <c r="AL36" s="96"/>
    </row>
    <row r="37" spans="1:38" ht="12.75" customHeight="1">
      <c r="A37" s="153"/>
      <c r="B37" s="77"/>
      <c r="C37" s="77"/>
      <c r="D37" s="77"/>
      <c r="E37" s="77"/>
      <c r="F37" s="77"/>
      <c r="G37" s="77"/>
      <c r="H37" s="77"/>
      <c r="I37" s="77"/>
      <c r="J37" s="77"/>
      <c r="K37" s="77"/>
      <c r="L37" s="77"/>
      <c r="M37" s="77"/>
      <c r="N37" s="77"/>
      <c r="O37" s="77"/>
      <c r="P37" s="169" t="s">
        <v>701</v>
      </c>
      <c r="Q37" s="711" t="s">
        <v>88</v>
      </c>
      <c r="R37" s="588"/>
      <c r="S37" s="152"/>
      <c r="T37" s="95"/>
      <c r="U37" s="64"/>
      <c r="V37" s="64"/>
      <c r="W37" s="64"/>
      <c r="X37" s="64"/>
      <c r="Y37" s="64"/>
      <c r="Z37" s="64"/>
      <c r="AA37" s="64"/>
      <c r="AB37" s="64"/>
      <c r="AC37" s="717" t="s">
        <v>702</v>
      </c>
      <c r="AD37" s="715"/>
      <c r="AE37" s="64"/>
      <c r="AF37" s="64"/>
      <c r="AG37" s="64"/>
      <c r="AH37" s="64"/>
      <c r="AI37" s="64"/>
      <c r="AJ37" s="64"/>
      <c r="AK37" s="64"/>
      <c r="AL37" s="96"/>
    </row>
    <row r="38" spans="1:38" ht="12.75" customHeight="1">
      <c r="A38" s="377" t="s">
        <v>703</v>
      </c>
      <c r="B38" s="77"/>
      <c r="C38" s="77"/>
      <c r="D38" s="77"/>
      <c r="E38" s="77"/>
      <c r="F38" s="77"/>
      <c r="G38" s="77"/>
      <c r="H38" s="77"/>
      <c r="I38" s="77"/>
      <c r="J38" s="77"/>
      <c r="K38" s="77"/>
      <c r="L38" s="77"/>
      <c r="M38" s="77"/>
      <c r="N38" s="77"/>
      <c r="O38" s="77"/>
      <c r="R38" s="77"/>
      <c r="S38" s="152"/>
      <c r="T38" s="95"/>
      <c r="U38" s="64"/>
      <c r="V38" s="64"/>
      <c r="W38" s="64"/>
      <c r="X38" s="64"/>
      <c r="Y38" s="64"/>
      <c r="Z38" s="64"/>
      <c r="AA38" s="64"/>
      <c r="AB38" s="64"/>
      <c r="AC38" s="715"/>
      <c r="AD38" s="715"/>
      <c r="AE38" s="64"/>
      <c r="AF38" s="64"/>
      <c r="AG38" s="64"/>
      <c r="AH38" s="64"/>
      <c r="AI38" s="64"/>
      <c r="AJ38" s="64"/>
      <c r="AK38" s="64"/>
      <c r="AL38" s="96"/>
    </row>
    <row r="39" spans="1:38" ht="12.75" customHeight="1">
      <c r="A39" s="151" t="s">
        <v>704</v>
      </c>
      <c r="B39" s="158"/>
      <c r="C39" s="158"/>
      <c r="D39" s="158"/>
      <c r="E39" s="158" t="str">
        <f t="array" ref="E39">IF(E18&lt;50,"",13000*E18^3*(E17-E18)^3/(3*'T4.5 Harness Attachments'!AC20E8*E28*E17^3*1000000))</f>
        <v/>
      </c>
      <c r="F39" s="158"/>
      <c r="G39" s="158"/>
      <c r="H39" s="158"/>
      <c r="I39" s="158"/>
      <c r="J39" s="158"/>
      <c r="K39" s="158"/>
      <c r="L39" s="155" t="s">
        <v>705</v>
      </c>
      <c r="M39" s="158"/>
      <c r="N39" s="158"/>
      <c r="O39" s="158"/>
      <c r="P39" s="158"/>
      <c r="Q39" s="158"/>
      <c r="R39" s="158"/>
      <c r="S39" s="159"/>
      <c r="T39" s="95"/>
      <c r="U39" s="64"/>
      <c r="V39" s="64"/>
      <c r="W39" s="64"/>
      <c r="X39" s="64"/>
      <c r="Y39" s="64"/>
      <c r="Z39" s="64"/>
      <c r="AA39" s="64"/>
      <c r="AB39" s="64"/>
      <c r="AC39" s="715"/>
      <c r="AD39" s="715"/>
      <c r="AE39" s="64"/>
      <c r="AF39" s="64"/>
      <c r="AG39" s="64"/>
      <c r="AH39" s="64"/>
      <c r="AI39" s="64"/>
      <c r="AJ39" s="64"/>
      <c r="AK39" s="64"/>
      <c r="AL39" s="96"/>
    </row>
    <row r="40" spans="1:38" ht="12.75" customHeight="1">
      <c r="A40" s="664" t="s">
        <v>706</v>
      </c>
      <c r="B40" s="598"/>
      <c r="C40" s="599"/>
      <c r="D40" s="712">
        <v>0</v>
      </c>
      <c r="E40" s="588"/>
      <c r="F40" s="713" t="str">
        <f>IF(AND(Q34="YES",D40&gt;=13000),"PASS",IF(AND(Q34="YES",D40&lt;13000),"FAIL","N/A"))</f>
        <v>N/A</v>
      </c>
      <c r="G40" s="588"/>
      <c r="H40" s="158"/>
      <c r="I40" s="158"/>
      <c r="J40" s="158"/>
      <c r="K40" s="158"/>
      <c r="L40" s="158"/>
      <c r="M40" s="158"/>
      <c r="N40" s="158"/>
      <c r="O40" s="158"/>
      <c r="P40" s="158"/>
      <c r="Q40" s="158"/>
      <c r="R40" s="158"/>
      <c r="S40" s="159"/>
      <c r="T40" s="95"/>
      <c r="U40" s="64"/>
      <c r="V40" s="147" t="s">
        <v>254</v>
      </c>
      <c r="W40" s="64"/>
      <c r="X40" s="64"/>
      <c r="Y40" s="64"/>
      <c r="Z40" s="64"/>
      <c r="AA40" s="64"/>
      <c r="AB40" s="64"/>
      <c r="AC40" s="715"/>
      <c r="AD40" s="715"/>
      <c r="AE40" s="64"/>
      <c r="AF40" s="64"/>
      <c r="AG40" s="64"/>
      <c r="AH40" s="64"/>
      <c r="AI40" s="64"/>
      <c r="AJ40" s="64"/>
      <c r="AK40" s="64"/>
      <c r="AL40" s="96"/>
    </row>
    <row r="41" spans="1:38" ht="12.75" customHeight="1">
      <c r="A41" s="165"/>
      <c r="B41" s="158"/>
      <c r="C41" s="158"/>
      <c r="D41" s="158"/>
      <c r="E41" s="158"/>
      <c r="F41" s="158"/>
      <c r="G41" s="158"/>
      <c r="H41" s="158"/>
      <c r="I41" s="158"/>
      <c r="J41" s="158"/>
      <c r="K41" s="158"/>
      <c r="L41" s="158"/>
      <c r="M41" s="158"/>
      <c r="N41" s="158"/>
      <c r="O41" s="158"/>
      <c r="P41" s="158"/>
      <c r="Q41" s="158"/>
      <c r="R41" s="158"/>
      <c r="S41" s="159"/>
      <c r="T41" s="95"/>
      <c r="U41" s="64"/>
      <c r="V41" s="203" t="s">
        <v>707</v>
      </c>
      <c r="W41" s="64"/>
      <c r="X41" s="64"/>
      <c r="Y41" s="64"/>
      <c r="Z41" s="64"/>
      <c r="AA41" s="64"/>
      <c r="AB41" s="64"/>
      <c r="AC41" s="715"/>
      <c r="AD41" s="715"/>
      <c r="AE41" s="64"/>
      <c r="AF41" s="64"/>
      <c r="AG41" s="64"/>
      <c r="AH41" s="64"/>
      <c r="AI41" s="64"/>
      <c r="AJ41" s="64"/>
      <c r="AK41" s="64"/>
      <c r="AL41" s="96"/>
    </row>
    <row r="42" spans="1:38" ht="12.75" customHeight="1">
      <c r="A42" s="377" t="s">
        <v>708</v>
      </c>
      <c r="B42" s="77"/>
      <c r="C42" s="77"/>
      <c r="D42" s="77"/>
      <c r="E42" s="77"/>
      <c r="F42" s="77"/>
      <c r="G42" s="77"/>
      <c r="H42" s="77"/>
      <c r="I42" s="77"/>
      <c r="J42" s="77"/>
      <c r="K42" s="77"/>
      <c r="L42" s="77"/>
      <c r="M42" s="77"/>
      <c r="N42" s="77"/>
      <c r="O42" s="77"/>
      <c r="P42" s="77"/>
      <c r="Q42" s="77"/>
      <c r="R42" s="77"/>
      <c r="S42" s="152"/>
      <c r="T42" s="95"/>
      <c r="U42" s="64"/>
      <c r="V42" s="64"/>
      <c r="W42" s="64"/>
      <c r="X42" s="64"/>
      <c r="Y42" s="64"/>
      <c r="Z42" s="64"/>
      <c r="AA42" s="64"/>
      <c r="AB42" s="64"/>
      <c r="AC42" s="715"/>
      <c r="AD42" s="715"/>
      <c r="AE42" s="64"/>
      <c r="AF42" s="64"/>
      <c r="AG42" s="64"/>
      <c r="AH42" s="64"/>
      <c r="AI42" s="64"/>
      <c r="AJ42" s="64"/>
      <c r="AK42" s="64"/>
      <c r="AL42" s="96"/>
    </row>
    <row r="43" spans="1:38" ht="12.75" customHeight="1">
      <c r="A43" s="151" t="s">
        <v>704</v>
      </c>
      <c r="B43" s="158"/>
      <c r="C43" s="158"/>
      <c r="D43" s="158"/>
      <c r="E43" s="158" t="str">
        <f>IF(E18&lt;50,"",'T4.5 Harness Attachments'!Z18)</f>
        <v/>
      </c>
      <c r="F43" s="158"/>
      <c r="G43" s="158"/>
      <c r="H43" s="158"/>
      <c r="I43" s="158"/>
      <c r="J43" s="158"/>
      <c r="K43" s="158"/>
      <c r="L43" s="155" t="s">
        <v>705</v>
      </c>
      <c r="M43" s="158"/>
      <c r="N43" s="158"/>
      <c r="O43" s="158"/>
      <c r="P43" s="158"/>
      <c r="Q43" s="158"/>
      <c r="R43" s="158"/>
      <c r="S43" s="159"/>
      <c r="T43" s="95"/>
      <c r="U43" s="64"/>
      <c r="V43" s="64"/>
      <c r="W43" s="64"/>
      <c r="X43" s="64"/>
      <c r="Y43" s="64"/>
      <c r="Z43" s="64"/>
      <c r="AA43" s="64"/>
      <c r="AB43" s="64"/>
      <c r="AC43" s="715"/>
      <c r="AD43" s="715"/>
      <c r="AE43" s="64"/>
      <c r="AF43" s="64"/>
      <c r="AG43" s="64"/>
      <c r="AH43" s="64"/>
      <c r="AI43" s="64"/>
      <c r="AJ43" s="64"/>
      <c r="AK43" s="64"/>
      <c r="AL43" s="96"/>
    </row>
    <row r="44" spans="1:38" ht="12.75" customHeight="1">
      <c r="A44" s="664" t="s">
        <v>709</v>
      </c>
      <c r="B44" s="598"/>
      <c r="C44" s="599"/>
      <c r="D44" s="712">
        <v>0</v>
      </c>
      <c r="E44" s="588"/>
      <c r="F44" s="713" t="str">
        <f>IF(AND(Q35="YES",D44&gt;=13000),"PASS",IF(AND(Q35="YES",D44&lt;13000),"FAIL","N/A"))</f>
        <v>N/A</v>
      </c>
      <c r="G44" s="588"/>
      <c r="H44" s="158"/>
      <c r="I44" s="158"/>
      <c r="J44" s="158"/>
      <c r="K44" s="158"/>
      <c r="L44" s="158"/>
      <c r="M44" s="158"/>
      <c r="N44" s="158"/>
      <c r="O44" s="158"/>
      <c r="P44" s="158"/>
      <c r="Q44" s="158"/>
      <c r="R44" s="158"/>
      <c r="S44" s="159"/>
      <c r="T44" s="95"/>
      <c r="U44" s="64"/>
      <c r="V44" s="64"/>
      <c r="W44" s="64"/>
      <c r="X44" s="64"/>
      <c r="Y44" s="64"/>
      <c r="Z44" s="64"/>
      <c r="AA44" s="64"/>
      <c r="AB44" s="64"/>
      <c r="AC44" s="715"/>
      <c r="AD44" s="715"/>
      <c r="AE44" s="64"/>
      <c r="AF44" s="64"/>
      <c r="AG44" s="64"/>
      <c r="AH44" s="64"/>
      <c r="AI44" s="64"/>
      <c r="AJ44" s="64"/>
      <c r="AK44" s="64"/>
      <c r="AL44" s="96"/>
    </row>
    <row r="45" spans="1:38" ht="12.75" customHeight="1">
      <c r="A45" s="153"/>
      <c r="B45" s="77"/>
      <c r="C45" s="77"/>
      <c r="D45" s="77"/>
      <c r="E45" s="77"/>
      <c r="F45" s="77"/>
      <c r="G45" s="77"/>
      <c r="H45" s="77"/>
      <c r="I45" s="77"/>
      <c r="J45" s="77"/>
      <c r="K45" s="77"/>
      <c r="L45" s="77"/>
      <c r="M45" s="77"/>
      <c r="N45" s="77"/>
      <c r="O45" s="77"/>
      <c r="P45" s="77"/>
      <c r="Q45" s="77"/>
      <c r="R45" s="77"/>
      <c r="S45" s="152"/>
      <c r="T45" s="95"/>
      <c r="U45" s="64"/>
      <c r="V45" s="64"/>
      <c r="W45" s="64"/>
      <c r="X45" s="64"/>
      <c r="Y45" s="64"/>
      <c r="Z45" s="64"/>
      <c r="AA45" s="64"/>
      <c r="AB45" s="64"/>
      <c r="AC45" s="715"/>
      <c r="AD45" s="715"/>
      <c r="AE45" s="64"/>
      <c r="AF45" s="64"/>
      <c r="AG45" s="64"/>
      <c r="AH45" s="64"/>
      <c r="AI45" s="64"/>
      <c r="AJ45" s="64"/>
      <c r="AK45" s="64"/>
      <c r="AL45" s="96"/>
    </row>
    <row r="46" spans="1:38" ht="12.75" customHeight="1">
      <c r="A46" s="377" t="s">
        <v>710</v>
      </c>
      <c r="B46" s="77"/>
      <c r="C46" s="77"/>
      <c r="D46" s="77"/>
      <c r="E46" s="77"/>
      <c r="F46" s="77"/>
      <c r="G46" s="77"/>
      <c r="H46" s="77"/>
      <c r="I46" s="77"/>
      <c r="J46" s="77"/>
      <c r="K46" s="77"/>
      <c r="L46" s="77"/>
      <c r="M46" s="77"/>
      <c r="N46" s="77"/>
      <c r="O46" s="77"/>
      <c r="P46" s="77"/>
      <c r="Q46" s="77"/>
      <c r="R46" s="77"/>
      <c r="S46" s="152"/>
      <c r="T46" s="95"/>
      <c r="U46" s="64"/>
      <c r="V46" s="64"/>
      <c r="W46" s="64"/>
      <c r="X46" s="64"/>
      <c r="Y46" s="64"/>
      <c r="Z46" s="64"/>
      <c r="AA46" s="64"/>
      <c r="AB46" s="64"/>
      <c r="AC46" s="715"/>
      <c r="AD46" s="715"/>
      <c r="AE46" s="64"/>
      <c r="AF46" s="64"/>
      <c r="AG46" s="64"/>
      <c r="AH46" s="64"/>
      <c r="AI46" s="64"/>
      <c r="AJ46" s="64"/>
      <c r="AK46" s="64"/>
      <c r="AL46" s="96"/>
    </row>
    <row r="47" spans="1:38" ht="12.75" customHeight="1">
      <c r="A47" s="151" t="s">
        <v>704</v>
      </c>
      <c r="B47" s="158"/>
      <c r="C47" s="158"/>
      <c r="D47" s="158"/>
      <c r="E47" s="158"/>
      <c r="F47" s="158"/>
      <c r="G47" s="158"/>
      <c r="H47" s="158"/>
      <c r="I47" s="158"/>
      <c r="J47" s="158"/>
      <c r="K47" s="158"/>
      <c r="L47" s="155" t="s">
        <v>711</v>
      </c>
      <c r="M47" s="158"/>
      <c r="N47" s="158"/>
      <c r="O47" s="158"/>
      <c r="P47" s="158"/>
      <c r="Q47" s="158"/>
      <c r="R47" s="158"/>
      <c r="S47" s="159"/>
      <c r="T47" s="95"/>
      <c r="U47" s="64"/>
      <c r="V47" s="64"/>
      <c r="W47" s="64"/>
      <c r="X47" s="64"/>
      <c r="Y47" s="64"/>
      <c r="Z47" s="64"/>
      <c r="AA47" s="64"/>
      <c r="AB47" s="64"/>
      <c r="AC47" s="715"/>
      <c r="AD47" s="715"/>
      <c r="AE47" s="64"/>
      <c r="AF47" s="64"/>
      <c r="AG47" s="64"/>
      <c r="AH47" s="64"/>
      <c r="AI47" s="64"/>
      <c r="AJ47" s="64"/>
      <c r="AK47" s="64"/>
      <c r="AL47" s="96"/>
    </row>
    <row r="48" spans="1:38" ht="12.75" customHeight="1">
      <c r="A48" s="664" t="s">
        <v>712</v>
      </c>
      <c r="B48" s="598"/>
      <c r="C48" s="599"/>
      <c r="D48" s="712">
        <v>0</v>
      </c>
      <c r="E48" s="588"/>
      <c r="F48" s="713" t="str">
        <f>IF(AND(Q36="YES",D48&gt;=6500),"PASS",IF(AND(Q36="YES",D48&lt;6500),"FAIL","N/A"))</f>
        <v>N/A</v>
      </c>
      <c r="G48" s="588"/>
      <c r="H48" s="158"/>
      <c r="I48" s="158"/>
      <c r="J48" s="158"/>
      <c r="K48" s="158"/>
      <c r="L48" s="158"/>
      <c r="M48" s="158"/>
      <c r="N48" s="158"/>
      <c r="O48" s="158"/>
      <c r="P48" s="158"/>
      <c r="Q48" s="158"/>
      <c r="R48" s="158"/>
      <c r="S48" s="159"/>
      <c r="T48" s="95"/>
      <c r="U48" s="64"/>
      <c r="V48" s="64"/>
      <c r="W48" s="64"/>
      <c r="X48" s="64"/>
      <c r="Y48" s="64"/>
      <c r="Z48" s="64"/>
      <c r="AA48" s="64"/>
      <c r="AB48" s="64"/>
      <c r="AC48" s="715"/>
      <c r="AD48" s="716"/>
      <c r="AE48" s="64"/>
      <c r="AF48" s="64"/>
      <c r="AG48" s="64"/>
      <c r="AH48" s="64"/>
      <c r="AI48" s="64"/>
      <c r="AJ48" s="64"/>
      <c r="AK48" s="64"/>
      <c r="AL48" s="96"/>
    </row>
    <row r="49" spans="1:38" ht="12.75" customHeight="1">
      <c r="A49" s="153"/>
      <c r="B49" s="77"/>
      <c r="C49" s="77"/>
      <c r="D49" s="77"/>
      <c r="E49" s="77"/>
      <c r="F49" s="77"/>
      <c r="G49" s="77"/>
      <c r="H49" s="77"/>
      <c r="I49" s="77"/>
      <c r="J49" s="77"/>
      <c r="K49" s="77"/>
      <c r="L49" s="77"/>
      <c r="M49" s="77"/>
      <c r="N49" s="77"/>
      <c r="O49" s="77"/>
      <c r="P49" s="77"/>
      <c r="Q49" s="77"/>
      <c r="R49" s="77"/>
      <c r="S49" s="152"/>
      <c r="T49" s="95"/>
      <c r="U49" s="64"/>
      <c r="V49" s="64"/>
      <c r="W49" s="64"/>
      <c r="X49" s="64"/>
      <c r="Y49" s="64"/>
      <c r="Z49" s="64"/>
      <c r="AA49" s="64"/>
      <c r="AB49" s="64"/>
      <c r="AC49" s="716"/>
      <c r="AD49" s="64"/>
      <c r="AE49" s="64"/>
      <c r="AF49" s="64"/>
      <c r="AG49" s="64"/>
      <c r="AH49" s="64"/>
      <c r="AI49" s="64"/>
      <c r="AJ49" s="64"/>
      <c r="AK49" s="64"/>
      <c r="AL49" s="96"/>
    </row>
    <row r="50" spans="1:38" ht="12.75" customHeight="1">
      <c r="A50" s="377" t="s">
        <v>713</v>
      </c>
      <c r="B50" s="77"/>
      <c r="C50" s="77"/>
      <c r="D50" s="77"/>
      <c r="E50" s="77"/>
      <c r="F50" s="77"/>
      <c r="G50" s="77"/>
      <c r="H50" s="77"/>
      <c r="I50" s="77"/>
      <c r="J50" s="77"/>
      <c r="K50" s="77"/>
      <c r="L50" s="77"/>
      <c r="M50" s="77"/>
      <c r="N50" s="77"/>
      <c r="O50" s="77"/>
      <c r="P50" s="77"/>
      <c r="Q50" s="77"/>
      <c r="R50" s="77"/>
      <c r="S50" s="152"/>
      <c r="T50" s="95"/>
      <c r="U50" s="64"/>
      <c r="V50" s="64"/>
      <c r="W50" s="64"/>
      <c r="X50" s="64"/>
      <c r="Y50" s="64"/>
      <c r="Z50" s="64"/>
      <c r="AA50" s="64"/>
      <c r="AB50" s="64"/>
      <c r="AC50" s="64"/>
      <c r="AD50" s="64"/>
      <c r="AE50" s="64"/>
      <c r="AF50" s="64"/>
      <c r="AG50" s="64"/>
      <c r="AH50" s="64"/>
      <c r="AI50" s="64"/>
      <c r="AJ50" s="64"/>
      <c r="AK50" s="64"/>
      <c r="AL50" s="96"/>
    </row>
    <row r="51" spans="1:38" ht="12.75" customHeight="1">
      <c r="A51" s="151" t="s">
        <v>704</v>
      </c>
      <c r="B51" s="158"/>
      <c r="C51" s="158"/>
      <c r="D51" s="158"/>
      <c r="E51" s="158"/>
      <c r="F51" s="158"/>
      <c r="G51" s="158"/>
      <c r="H51" s="158"/>
      <c r="I51" s="158"/>
      <c r="J51" s="158"/>
      <c r="K51" s="158"/>
      <c r="L51" s="155" t="s">
        <v>714</v>
      </c>
      <c r="M51" s="158"/>
      <c r="N51" s="158"/>
      <c r="O51" s="39" t="s">
        <v>252</v>
      </c>
      <c r="P51" s="158"/>
      <c r="Q51" s="158"/>
      <c r="R51" s="158"/>
      <c r="S51" s="159"/>
      <c r="T51" s="95"/>
      <c r="U51" s="64"/>
      <c r="V51" s="64"/>
      <c r="W51" s="64"/>
      <c r="X51" s="64"/>
      <c r="Y51" s="64"/>
      <c r="Z51" s="64"/>
      <c r="AA51" s="64"/>
      <c r="AB51" s="64"/>
      <c r="AC51" s="64"/>
      <c r="AD51" s="64"/>
      <c r="AE51" s="64"/>
      <c r="AF51" s="64"/>
      <c r="AG51" s="64"/>
      <c r="AH51" s="64"/>
      <c r="AI51" s="64"/>
      <c r="AJ51" s="64"/>
      <c r="AK51" s="64"/>
      <c r="AL51" s="96"/>
    </row>
    <row r="52" spans="1:38" ht="12.75" customHeight="1">
      <c r="A52" s="718" t="s">
        <v>715</v>
      </c>
      <c r="B52" s="601"/>
      <c r="C52" s="602"/>
      <c r="D52" s="712">
        <v>0</v>
      </c>
      <c r="E52" s="588"/>
      <c r="F52" s="713" t="str">
        <f>IF(AND(Q37="YES",D52&gt;=19500),"PASS",IF(AND(Q37="YES",D52&lt;19500),"FAIL","N/A"))</f>
        <v>N/A</v>
      </c>
      <c r="G52" s="588"/>
      <c r="H52" s="175"/>
      <c r="I52" s="175"/>
      <c r="J52" s="175"/>
      <c r="K52" s="175"/>
      <c r="L52" s="175"/>
      <c r="M52" s="175"/>
      <c r="N52" s="175"/>
      <c r="O52" s="175"/>
      <c r="P52" s="175"/>
      <c r="Q52" s="175"/>
      <c r="R52" s="175"/>
      <c r="S52" s="176"/>
      <c r="T52" s="100"/>
      <c r="U52" s="101"/>
      <c r="V52" s="101"/>
      <c r="W52" s="101"/>
      <c r="X52" s="101"/>
      <c r="Y52" s="101"/>
      <c r="Z52" s="101"/>
      <c r="AA52" s="101"/>
      <c r="AB52" s="101"/>
      <c r="AC52" s="101"/>
      <c r="AD52" s="101"/>
      <c r="AE52" s="101"/>
      <c r="AF52" s="101"/>
      <c r="AG52" s="101"/>
      <c r="AH52" s="101"/>
      <c r="AI52" s="101"/>
      <c r="AJ52" s="101"/>
      <c r="AK52" s="101"/>
      <c r="AL52" s="150"/>
    </row>
    <row r="53" spans="1:38" ht="12.75" customHeight="1">
      <c r="A53" s="179" t="s">
        <v>312</v>
      </c>
      <c r="S53" s="141"/>
      <c r="T53" s="179" t="s">
        <v>312</v>
      </c>
      <c r="AL53" s="141"/>
    </row>
    <row r="54" spans="1:38" ht="12.75" customHeight="1">
      <c r="A54" s="155" t="s">
        <v>716</v>
      </c>
      <c r="S54" s="141"/>
      <c r="T54" s="155" t="s">
        <v>717</v>
      </c>
      <c r="AL54" s="141"/>
    </row>
    <row r="55" spans="1:38" ht="12.75" customHeight="1">
      <c r="A55" s="155" t="s">
        <v>315</v>
      </c>
      <c r="B55" s="34"/>
      <c r="C55" s="34"/>
      <c r="D55" s="34"/>
      <c r="E55" s="34"/>
      <c r="F55" s="34"/>
      <c r="G55" s="34"/>
      <c r="H55" s="34"/>
      <c r="I55" s="34"/>
      <c r="J55" s="34"/>
      <c r="K55" s="34"/>
      <c r="L55" s="34"/>
      <c r="M55" s="34"/>
      <c r="N55" s="34"/>
      <c r="O55" s="34"/>
      <c r="P55" s="34"/>
      <c r="Q55" s="34"/>
      <c r="R55" s="34"/>
      <c r="S55" s="141"/>
      <c r="T55" s="155" t="s">
        <v>315</v>
      </c>
      <c r="U55" s="34"/>
      <c r="V55" s="34"/>
      <c r="W55" s="34"/>
      <c r="X55" s="34"/>
      <c r="Y55" s="34"/>
      <c r="Z55" s="34"/>
      <c r="AA55" s="34"/>
      <c r="AB55" s="34"/>
      <c r="AC55" s="34"/>
      <c r="AD55" s="34"/>
      <c r="AE55" s="34"/>
      <c r="AF55" s="34"/>
      <c r="AG55" s="34"/>
      <c r="AH55" s="34"/>
      <c r="AI55" s="34"/>
      <c r="AJ55" s="34"/>
      <c r="AK55" s="34"/>
      <c r="AL55" s="141"/>
    </row>
    <row r="56" spans="1:38" ht="12.75" customHeight="1">
      <c r="A56" s="80"/>
      <c r="B56" s="34"/>
      <c r="C56" s="34"/>
      <c r="D56" s="34"/>
      <c r="E56" s="34"/>
      <c r="F56" s="34"/>
      <c r="G56" s="34"/>
      <c r="H56" s="34"/>
      <c r="I56" s="34"/>
      <c r="J56" s="34"/>
      <c r="K56" s="34"/>
      <c r="L56" s="34"/>
      <c r="M56" s="34"/>
      <c r="N56" s="34"/>
      <c r="O56" s="34"/>
      <c r="P56" s="34"/>
      <c r="Q56" s="34"/>
      <c r="R56" s="34"/>
      <c r="S56" s="141"/>
      <c r="T56" s="80"/>
      <c r="U56" s="34"/>
      <c r="V56" s="34"/>
      <c r="W56" s="34"/>
      <c r="X56" s="34"/>
      <c r="Y56" s="34"/>
      <c r="Z56" s="34"/>
      <c r="AA56" s="34"/>
      <c r="AB56" s="34"/>
      <c r="AC56" s="34"/>
      <c r="AD56" s="34"/>
      <c r="AE56" s="34"/>
      <c r="AF56" s="34"/>
      <c r="AG56" s="34"/>
      <c r="AH56" s="34"/>
      <c r="AI56" s="34"/>
      <c r="AJ56" s="34"/>
      <c r="AK56" s="34"/>
      <c r="AL56" s="141"/>
    </row>
    <row r="57" spans="1:38" ht="12.75" customHeight="1">
      <c r="A57" s="80"/>
      <c r="B57" s="180"/>
      <c r="C57" s="719" t="s">
        <v>718</v>
      </c>
      <c r="D57" s="588"/>
      <c r="E57" s="378" t="s">
        <v>317</v>
      </c>
      <c r="F57" s="34"/>
      <c r="G57" s="34"/>
      <c r="H57" s="686"/>
      <c r="I57" s="598"/>
      <c r="J57" s="34"/>
      <c r="K57" s="34"/>
      <c r="L57" s="34"/>
      <c r="M57" s="34"/>
      <c r="N57" s="34"/>
      <c r="O57" s="34"/>
      <c r="P57" s="34"/>
      <c r="Q57" s="34"/>
      <c r="R57" s="34"/>
      <c r="S57" s="141"/>
      <c r="T57" s="80"/>
      <c r="U57" s="180"/>
      <c r="V57" s="719" t="s">
        <v>718</v>
      </c>
      <c r="W57" s="588"/>
      <c r="X57" s="378" t="s">
        <v>317</v>
      </c>
      <c r="Y57" s="34"/>
      <c r="Z57" s="34"/>
      <c r="AA57" s="686"/>
      <c r="AB57" s="598"/>
      <c r="AC57" s="34"/>
      <c r="AD57" s="34"/>
      <c r="AE57" s="34"/>
      <c r="AF57" s="34"/>
      <c r="AG57" s="34"/>
      <c r="AH57" s="34"/>
      <c r="AI57" s="34"/>
      <c r="AJ57" s="34"/>
      <c r="AK57" s="34"/>
      <c r="AL57" s="141"/>
    </row>
    <row r="58" spans="1:38" ht="12.75" customHeight="1">
      <c r="A58" s="80"/>
      <c r="B58" s="43">
        <v>1</v>
      </c>
      <c r="C58" s="708"/>
      <c r="D58" s="588"/>
      <c r="E58" s="379"/>
      <c r="F58" s="34"/>
      <c r="G58" s="34"/>
      <c r="H58" s="201"/>
      <c r="I58" s="201"/>
      <c r="J58" s="34"/>
      <c r="K58" s="34"/>
      <c r="L58" s="34"/>
      <c r="M58" s="34"/>
      <c r="N58" s="34"/>
      <c r="O58" s="34"/>
      <c r="P58" s="34"/>
      <c r="Q58" s="34"/>
      <c r="R58" s="34"/>
      <c r="S58" s="141"/>
      <c r="T58" s="80"/>
      <c r="U58" s="43">
        <v>1</v>
      </c>
      <c r="V58" s="708"/>
      <c r="W58" s="588"/>
      <c r="X58" s="379"/>
      <c r="Y58" s="34"/>
      <c r="Z58" s="34"/>
      <c r="AA58" s="201"/>
      <c r="AB58" s="201"/>
      <c r="AC58" s="34"/>
      <c r="AD58" s="34"/>
      <c r="AE58" s="34"/>
      <c r="AF58" s="34"/>
      <c r="AG58" s="34"/>
      <c r="AH58" s="34"/>
      <c r="AI58" s="34"/>
      <c r="AJ58" s="34"/>
      <c r="AK58" s="34"/>
      <c r="AL58" s="141"/>
    </row>
    <row r="59" spans="1:38" ht="12.75" customHeight="1">
      <c r="A59" s="80"/>
      <c r="B59" s="43">
        <v>2</v>
      </c>
      <c r="C59" s="708"/>
      <c r="D59" s="588"/>
      <c r="E59" s="379"/>
      <c r="F59" s="34"/>
      <c r="G59" s="34"/>
      <c r="J59" s="34"/>
      <c r="K59" s="34"/>
      <c r="L59" s="34"/>
      <c r="M59" s="34"/>
      <c r="N59" s="34"/>
      <c r="O59" s="34"/>
      <c r="P59" s="34"/>
      <c r="Q59" s="34"/>
      <c r="R59" s="34"/>
      <c r="S59" s="141"/>
      <c r="T59" s="80"/>
      <c r="U59" s="43">
        <v>2</v>
      </c>
      <c r="V59" s="708"/>
      <c r="W59" s="588"/>
      <c r="X59" s="379"/>
      <c r="Y59" s="34"/>
      <c r="Z59" s="34"/>
      <c r="AC59" s="34"/>
      <c r="AD59" s="34"/>
      <c r="AE59" s="34"/>
      <c r="AF59" s="34"/>
      <c r="AG59" s="34"/>
      <c r="AH59" s="34"/>
      <c r="AI59" s="34"/>
      <c r="AJ59" s="34"/>
      <c r="AK59" s="34"/>
      <c r="AL59" s="141"/>
    </row>
    <row r="60" spans="1:38" ht="12.75" customHeight="1">
      <c r="A60" s="80"/>
      <c r="B60" s="43">
        <v>3</v>
      </c>
      <c r="C60" s="708"/>
      <c r="D60" s="588"/>
      <c r="E60" s="379"/>
      <c r="F60" s="34"/>
      <c r="G60" s="34"/>
      <c r="J60" s="34"/>
      <c r="K60" s="34"/>
      <c r="L60" s="34"/>
      <c r="M60" s="34"/>
      <c r="N60" s="34"/>
      <c r="O60" s="34"/>
      <c r="P60" s="34"/>
      <c r="Q60" s="34"/>
      <c r="R60" s="34"/>
      <c r="S60" s="141"/>
      <c r="T60" s="80"/>
      <c r="U60" s="43">
        <v>3</v>
      </c>
      <c r="V60" s="708"/>
      <c r="W60" s="588"/>
      <c r="X60" s="379"/>
      <c r="Y60" s="34"/>
      <c r="Z60" s="34"/>
      <c r="AC60" s="34"/>
      <c r="AD60" s="34"/>
      <c r="AE60" s="34"/>
      <c r="AF60" s="34"/>
      <c r="AG60" s="34"/>
      <c r="AH60" s="34"/>
      <c r="AI60" s="34"/>
      <c r="AJ60" s="34"/>
      <c r="AK60" s="34"/>
      <c r="AL60" s="141"/>
    </row>
    <row r="61" spans="1:38" ht="12.75" customHeight="1">
      <c r="A61" s="80"/>
      <c r="B61" s="43">
        <v>4</v>
      </c>
      <c r="C61" s="708"/>
      <c r="D61" s="588"/>
      <c r="E61" s="379"/>
      <c r="F61" s="34"/>
      <c r="G61" s="34"/>
      <c r="H61" s="34"/>
      <c r="I61" s="34"/>
      <c r="J61" s="34"/>
      <c r="K61" s="34"/>
      <c r="L61" s="34"/>
      <c r="M61" s="34"/>
      <c r="N61" s="34"/>
      <c r="O61" s="34"/>
      <c r="P61" s="34"/>
      <c r="Q61" s="34"/>
      <c r="R61" s="34"/>
      <c r="S61" s="141"/>
      <c r="T61" s="80"/>
      <c r="U61" s="43">
        <v>4</v>
      </c>
      <c r="V61" s="708"/>
      <c r="W61" s="588"/>
      <c r="X61" s="379"/>
      <c r="Y61" s="34"/>
      <c r="Z61" s="34"/>
      <c r="AA61" s="34"/>
      <c r="AB61" s="34"/>
      <c r="AC61" s="34"/>
      <c r="AD61" s="34"/>
      <c r="AE61" s="34"/>
      <c r="AF61" s="34"/>
      <c r="AG61" s="34"/>
      <c r="AH61" s="34"/>
      <c r="AI61" s="34"/>
      <c r="AJ61" s="34"/>
      <c r="AK61" s="34"/>
      <c r="AL61" s="141"/>
    </row>
    <row r="62" spans="1:38" ht="12.75" customHeight="1">
      <c r="A62" s="80"/>
      <c r="B62" s="43">
        <v>5</v>
      </c>
      <c r="C62" s="708"/>
      <c r="D62" s="588"/>
      <c r="E62" s="379"/>
      <c r="F62" s="34"/>
      <c r="G62" s="34"/>
      <c r="H62" s="34"/>
      <c r="I62" s="34"/>
      <c r="J62" s="34"/>
      <c r="K62" s="34"/>
      <c r="L62" s="34"/>
      <c r="M62" s="34"/>
      <c r="N62" s="34"/>
      <c r="O62" s="34"/>
      <c r="P62" s="34"/>
      <c r="Q62" s="34"/>
      <c r="R62" s="34"/>
      <c r="S62" s="141"/>
      <c r="T62" s="80"/>
      <c r="U62" s="43">
        <v>5</v>
      </c>
      <c r="V62" s="708"/>
      <c r="W62" s="588"/>
      <c r="X62" s="379"/>
      <c r="Y62" s="34"/>
      <c r="Z62" s="34"/>
      <c r="AA62" s="34"/>
      <c r="AB62" s="34"/>
      <c r="AC62" s="34"/>
      <c r="AD62" s="34"/>
      <c r="AE62" s="34"/>
      <c r="AF62" s="34"/>
      <c r="AG62" s="34"/>
      <c r="AH62" s="34"/>
      <c r="AI62" s="34"/>
      <c r="AJ62" s="34"/>
      <c r="AK62" s="34"/>
      <c r="AL62" s="141"/>
    </row>
    <row r="63" spans="1:38" ht="12.75" customHeight="1">
      <c r="A63" s="80"/>
      <c r="B63" s="43">
        <v>6</v>
      </c>
      <c r="C63" s="708"/>
      <c r="D63" s="588"/>
      <c r="E63" s="379"/>
      <c r="F63" s="34"/>
      <c r="G63" s="34"/>
      <c r="H63" s="34"/>
      <c r="I63" s="34"/>
      <c r="J63" s="34"/>
      <c r="K63" s="34"/>
      <c r="L63" s="34"/>
      <c r="M63" s="34"/>
      <c r="N63" s="34"/>
      <c r="O63" s="34"/>
      <c r="P63" s="34"/>
      <c r="Q63" s="34"/>
      <c r="R63" s="34"/>
      <c r="S63" s="141"/>
      <c r="T63" s="80"/>
      <c r="U63" s="43">
        <v>6</v>
      </c>
      <c r="V63" s="708"/>
      <c r="W63" s="588"/>
      <c r="X63" s="379"/>
      <c r="Y63" s="34"/>
      <c r="Z63" s="34"/>
      <c r="AA63" s="34"/>
      <c r="AB63" s="34"/>
      <c r="AC63" s="34"/>
      <c r="AD63" s="34"/>
      <c r="AE63" s="34"/>
      <c r="AF63" s="34"/>
      <c r="AG63" s="34"/>
      <c r="AH63" s="34"/>
      <c r="AI63" s="34"/>
      <c r="AJ63" s="34"/>
      <c r="AK63" s="34"/>
      <c r="AL63" s="141"/>
    </row>
    <row r="64" spans="1:38" ht="12.75" customHeight="1">
      <c r="A64" s="80"/>
      <c r="B64" s="43">
        <v>7</v>
      </c>
      <c r="C64" s="708"/>
      <c r="D64" s="588"/>
      <c r="E64" s="379"/>
      <c r="F64" s="34"/>
      <c r="G64" s="34"/>
      <c r="H64" s="34"/>
      <c r="I64" s="34"/>
      <c r="J64" s="34"/>
      <c r="K64" s="34"/>
      <c r="L64" s="34"/>
      <c r="M64" s="34"/>
      <c r="N64" s="34"/>
      <c r="O64" s="34"/>
      <c r="P64" s="34"/>
      <c r="Q64" s="34"/>
      <c r="R64" s="34"/>
      <c r="S64" s="141"/>
      <c r="T64" s="80"/>
      <c r="U64" s="43">
        <v>7</v>
      </c>
      <c r="V64" s="708"/>
      <c r="W64" s="588"/>
      <c r="X64" s="379"/>
      <c r="Y64" s="34"/>
      <c r="Z64" s="34"/>
      <c r="AA64" s="34"/>
      <c r="AB64" s="34"/>
      <c r="AC64" s="34"/>
      <c r="AD64" s="34"/>
      <c r="AE64" s="34"/>
      <c r="AF64" s="34"/>
      <c r="AG64" s="34"/>
      <c r="AH64" s="34"/>
      <c r="AI64" s="34"/>
      <c r="AJ64" s="34"/>
      <c r="AK64" s="34"/>
      <c r="AL64" s="141"/>
    </row>
    <row r="65" spans="1:38" ht="12.75" customHeight="1">
      <c r="A65" s="80"/>
      <c r="B65" s="43">
        <v>8</v>
      </c>
      <c r="C65" s="708"/>
      <c r="D65" s="588"/>
      <c r="E65" s="379"/>
      <c r="F65" s="34"/>
      <c r="G65" s="34"/>
      <c r="H65" s="34"/>
      <c r="I65" s="34"/>
      <c r="J65" s="34"/>
      <c r="K65" s="34"/>
      <c r="L65" s="34"/>
      <c r="M65" s="34"/>
      <c r="N65" s="34"/>
      <c r="O65" s="34"/>
      <c r="P65" s="34"/>
      <c r="Q65" s="34"/>
      <c r="R65" s="34"/>
      <c r="S65" s="141"/>
      <c r="T65" s="80"/>
      <c r="U65" s="43">
        <v>8</v>
      </c>
      <c r="V65" s="708"/>
      <c r="W65" s="588"/>
      <c r="X65" s="379"/>
      <c r="Y65" s="34"/>
      <c r="Z65" s="34"/>
      <c r="AA65" s="34"/>
      <c r="AB65" s="34"/>
      <c r="AC65" s="34"/>
      <c r="AD65" s="34"/>
      <c r="AE65" s="34"/>
      <c r="AF65" s="34"/>
      <c r="AG65" s="34"/>
      <c r="AH65" s="34"/>
      <c r="AI65" s="34"/>
      <c r="AJ65" s="34"/>
      <c r="AK65" s="34"/>
      <c r="AL65" s="141"/>
    </row>
    <row r="66" spans="1:38" ht="12.75" customHeight="1">
      <c r="A66" s="80"/>
      <c r="B66" s="43">
        <v>9</v>
      </c>
      <c r="C66" s="708"/>
      <c r="D66" s="588"/>
      <c r="E66" s="379"/>
      <c r="F66" s="34"/>
      <c r="G66" s="34"/>
      <c r="H66" s="34"/>
      <c r="I66" s="34"/>
      <c r="J66" s="34"/>
      <c r="K66" s="34"/>
      <c r="L66" s="34"/>
      <c r="M66" s="34"/>
      <c r="N66" s="34"/>
      <c r="O66" s="34"/>
      <c r="P66" s="34"/>
      <c r="Q66" s="34"/>
      <c r="R66" s="34"/>
      <c r="S66" s="141"/>
      <c r="T66" s="80"/>
      <c r="U66" s="43">
        <v>9</v>
      </c>
      <c r="V66" s="708"/>
      <c r="W66" s="588"/>
      <c r="X66" s="379"/>
      <c r="Y66" s="34"/>
      <c r="Z66" s="34"/>
      <c r="AA66" s="34"/>
      <c r="AB66" s="34"/>
      <c r="AC66" s="34"/>
      <c r="AD66" s="34"/>
      <c r="AE66" s="34"/>
      <c r="AF66" s="34"/>
      <c r="AG66" s="34"/>
      <c r="AH66" s="34"/>
      <c r="AI66" s="34"/>
      <c r="AJ66" s="34"/>
      <c r="AK66" s="34"/>
      <c r="AL66" s="141"/>
    </row>
    <row r="67" spans="1:38" ht="12.75" customHeight="1">
      <c r="A67" s="80"/>
      <c r="B67" s="43">
        <v>10</v>
      </c>
      <c r="C67" s="708"/>
      <c r="D67" s="588"/>
      <c r="E67" s="379"/>
      <c r="F67" s="34"/>
      <c r="G67" s="34"/>
      <c r="H67" s="34"/>
      <c r="I67" s="34"/>
      <c r="J67" s="34"/>
      <c r="K67" s="34"/>
      <c r="L67" s="34"/>
      <c r="M67" s="34"/>
      <c r="N67" s="34"/>
      <c r="O67" s="34"/>
      <c r="P67" s="34"/>
      <c r="Q67" s="34"/>
      <c r="R67" s="34"/>
      <c r="S67" s="141"/>
      <c r="T67" s="80"/>
      <c r="U67" s="43">
        <v>10</v>
      </c>
      <c r="V67" s="708"/>
      <c r="W67" s="588"/>
      <c r="X67" s="379"/>
      <c r="Y67" s="34"/>
      <c r="Z67" s="34"/>
      <c r="AA67" s="34"/>
      <c r="AB67" s="34"/>
      <c r="AC67" s="34"/>
      <c r="AD67" s="34"/>
      <c r="AE67" s="34"/>
      <c r="AF67" s="34"/>
      <c r="AG67" s="34"/>
      <c r="AH67" s="34"/>
      <c r="AI67" s="34"/>
      <c r="AJ67" s="34"/>
      <c r="AK67" s="34"/>
      <c r="AL67" s="141"/>
    </row>
    <row r="68" spans="1:38" ht="12.75" customHeight="1">
      <c r="A68" s="80"/>
      <c r="B68" s="43">
        <v>11</v>
      </c>
      <c r="C68" s="708"/>
      <c r="D68" s="588"/>
      <c r="E68" s="379"/>
      <c r="F68" s="34"/>
      <c r="G68" s="34"/>
      <c r="H68" s="34"/>
      <c r="I68" s="34"/>
      <c r="J68" s="34"/>
      <c r="K68" s="34"/>
      <c r="L68" s="34"/>
      <c r="M68" s="34"/>
      <c r="N68" s="34"/>
      <c r="O68" s="34"/>
      <c r="P68" s="34"/>
      <c r="Q68" s="34"/>
      <c r="R68" s="34"/>
      <c r="S68" s="141"/>
      <c r="T68" s="80"/>
      <c r="U68" s="43">
        <v>11</v>
      </c>
      <c r="V68" s="708"/>
      <c r="W68" s="588"/>
      <c r="X68" s="379"/>
      <c r="Y68" s="34"/>
      <c r="Z68" s="34"/>
      <c r="AA68" s="34"/>
      <c r="AB68" s="34"/>
      <c r="AC68" s="34"/>
      <c r="AD68" s="34"/>
      <c r="AE68" s="34"/>
      <c r="AF68" s="34"/>
      <c r="AG68" s="34"/>
      <c r="AH68" s="34"/>
      <c r="AI68" s="34"/>
      <c r="AJ68" s="34"/>
      <c r="AK68" s="34"/>
      <c r="AL68" s="141"/>
    </row>
    <row r="69" spans="1:38" ht="12.75" customHeight="1">
      <c r="A69" s="80"/>
      <c r="B69" s="43">
        <v>12</v>
      </c>
      <c r="C69" s="708"/>
      <c r="D69" s="588"/>
      <c r="E69" s="379"/>
      <c r="F69" s="34"/>
      <c r="G69" s="34"/>
      <c r="H69" s="34"/>
      <c r="I69" s="34"/>
      <c r="J69" s="34"/>
      <c r="K69" s="34"/>
      <c r="L69" s="34"/>
      <c r="M69" s="34"/>
      <c r="N69" s="34"/>
      <c r="O69" s="34"/>
      <c r="P69" s="34"/>
      <c r="Q69" s="34"/>
      <c r="R69" s="34"/>
      <c r="S69" s="141"/>
      <c r="T69" s="80"/>
      <c r="U69" s="43">
        <v>12</v>
      </c>
      <c r="V69" s="708"/>
      <c r="W69" s="588"/>
      <c r="X69" s="379"/>
      <c r="Y69" s="34"/>
      <c r="Z69" s="34"/>
      <c r="AA69" s="34"/>
      <c r="AB69" s="34"/>
      <c r="AC69" s="34"/>
      <c r="AD69" s="34"/>
      <c r="AE69" s="34"/>
      <c r="AF69" s="34"/>
      <c r="AG69" s="34"/>
      <c r="AH69" s="34"/>
      <c r="AI69" s="34"/>
      <c r="AJ69" s="34"/>
      <c r="AK69" s="34"/>
      <c r="AL69" s="141"/>
    </row>
    <row r="70" spans="1:38" ht="12.75" customHeight="1">
      <c r="A70" s="80"/>
      <c r="B70" s="43">
        <v>13</v>
      </c>
      <c r="C70" s="708"/>
      <c r="D70" s="588"/>
      <c r="E70" s="379"/>
      <c r="F70" s="34"/>
      <c r="G70" s="34"/>
      <c r="H70" s="34"/>
      <c r="I70" s="34"/>
      <c r="J70" s="34"/>
      <c r="K70" s="34"/>
      <c r="L70" s="34"/>
      <c r="M70" s="34"/>
      <c r="N70" s="34"/>
      <c r="O70" s="34"/>
      <c r="P70" s="34"/>
      <c r="Q70" s="34"/>
      <c r="R70" s="34"/>
      <c r="S70" s="141"/>
      <c r="T70" s="80"/>
      <c r="U70" s="43">
        <v>13</v>
      </c>
      <c r="V70" s="708"/>
      <c r="W70" s="588"/>
      <c r="X70" s="379"/>
      <c r="Y70" s="34"/>
      <c r="Z70" s="34"/>
      <c r="AA70" s="34"/>
      <c r="AB70" s="34"/>
      <c r="AC70" s="34"/>
      <c r="AD70" s="34"/>
      <c r="AE70" s="34"/>
      <c r="AF70" s="34"/>
      <c r="AG70" s="34"/>
      <c r="AH70" s="34"/>
      <c r="AI70" s="34"/>
      <c r="AJ70" s="34"/>
      <c r="AK70" s="34"/>
      <c r="AL70" s="141"/>
    </row>
    <row r="71" spans="1:38" ht="12.75" customHeight="1">
      <c r="A71" s="80"/>
      <c r="B71" s="43">
        <v>14</v>
      </c>
      <c r="C71" s="708"/>
      <c r="D71" s="588"/>
      <c r="E71" s="379"/>
      <c r="F71" s="34"/>
      <c r="G71" s="34"/>
      <c r="H71" s="34"/>
      <c r="I71" s="34"/>
      <c r="J71" s="34"/>
      <c r="K71" s="34"/>
      <c r="L71" s="34"/>
      <c r="M71" s="34"/>
      <c r="N71" s="34"/>
      <c r="O71" s="34"/>
      <c r="P71" s="34"/>
      <c r="Q71" s="34"/>
      <c r="R71" s="34"/>
      <c r="S71" s="141"/>
      <c r="T71" s="80"/>
      <c r="U71" s="43">
        <v>14</v>
      </c>
      <c r="V71" s="708"/>
      <c r="W71" s="588"/>
      <c r="X71" s="379"/>
      <c r="Y71" s="34"/>
      <c r="Z71" s="34"/>
      <c r="AA71" s="34"/>
      <c r="AB71" s="34"/>
      <c r="AC71" s="34"/>
      <c r="AD71" s="34"/>
      <c r="AE71" s="34"/>
      <c r="AF71" s="34"/>
      <c r="AG71" s="34"/>
      <c r="AH71" s="34"/>
      <c r="AI71" s="34"/>
      <c r="AJ71" s="34"/>
      <c r="AK71" s="34"/>
      <c r="AL71" s="141"/>
    </row>
    <row r="72" spans="1:38" ht="12.75" customHeight="1">
      <c r="A72" s="80"/>
      <c r="B72" s="43">
        <v>15</v>
      </c>
      <c r="C72" s="708"/>
      <c r="D72" s="588"/>
      <c r="E72" s="379"/>
      <c r="F72" s="34"/>
      <c r="G72" s="34"/>
      <c r="H72" s="34"/>
      <c r="I72" s="34"/>
      <c r="J72" s="34"/>
      <c r="K72" s="34"/>
      <c r="L72" s="34"/>
      <c r="M72" s="34"/>
      <c r="N72" s="34"/>
      <c r="O72" s="34"/>
      <c r="P72" s="34"/>
      <c r="Q72" s="34"/>
      <c r="R72" s="34"/>
      <c r="S72" s="141"/>
      <c r="T72" s="80"/>
      <c r="U72" s="43">
        <v>15</v>
      </c>
      <c r="V72" s="708"/>
      <c r="W72" s="588"/>
      <c r="X72" s="379"/>
      <c r="Y72" s="34"/>
      <c r="Z72" s="34"/>
      <c r="AA72" s="34"/>
      <c r="AB72" s="34"/>
      <c r="AC72" s="34"/>
      <c r="AD72" s="34"/>
      <c r="AE72" s="34"/>
      <c r="AF72" s="34"/>
      <c r="AG72" s="34"/>
      <c r="AH72" s="34"/>
      <c r="AI72" s="34"/>
      <c r="AJ72" s="34"/>
      <c r="AK72" s="34"/>
      <c r="AL72" s="141"/>
    </row>
    <row r="73" spans="1:38" ht="12.75" customHeight="1">
      <c r="A73" s="80"/>
      <c r="B73" s="43">
        <v>16</v>
      </c>
      <c r="C73" s="708"/>
      <c r="D73" s="588"/>
      <c r="E73" s="379"/>
      <c r="F73" s="34"/>
      <c r="G73" s="34"/>
      <c r="H73" s="34"/>
      <c r="I73" s="34"/>
      <c r="J73" s="34"/>
      <c r="K73" s="34"/>
      <c r="L73" s="34"/>
      <c r="M73" s="34"/>
      <c r="N73" s="34"/>
      <c r="O73" s="34"/>
      <c r="P73" s="34"/>
      <c r="Q73" s="34"/>
      <c r="R73" s="34"/>
      <c r="S73" s="141"/>
      <c r="T73" s="80"/>
      <c r="U73" s="43">
        <v>16</v>
      </c>
      <c r="V73" s="708"/>
      <c r="W73" s="588"/>
      <c r="X73" s="379"/>
      <c r="Y73" s="34"/>
      <c r="Z73" s="34"/>
      <c r="AA73" s="34"/>
      <c r="AB73" s="34"/>
      <c r="AC73" s="34"/>
      <c r="AD73" s="34"/>
      <c r="AE73" s="34"/>
      <c r="AF73" s="34"/>
      <c r="AG73" s="34"/>
      <c r="AH73" s="34"/>
      <c r="AI73" s="34"/>
      <c r="AJ73" s="34"/>
      <c r="AK73" s="34"/>
      <c r="AL73" s="141"/>
    </row>
    <row r="74" spans="1:38" ht="12.75" customHeight="1">
      <c r="A74" s="80"/>
      <c r="B74" s="43">
        <v>17</v>
      </c>
      <c r="C74" s="708"/>
      <c r="D74" s="588"/>
      <c r="E74" s="379"/>
      <c r="F74" s="34"/>
      <c r="G74" s="34"/>
      <c r="H74" s="34"/>
      <c r="I74" s="34"/>
      <c r="J74" s="34"/>
      <c r="K74" s="34"/>
      <c r="L74" s="34"/>
      <c r="M74" s="34"/>
      <c r="N74" s="34"/>
      <c r="O74" s="34"/>
      <c r="P74" s="34"/>
      <c r="Q74" s="34"/>
      <c r="R74" s="34"/>
      <c r="S74" s="141"/>
      <c r="T74" s="80"/>
      <c r="U74" s="43">
        <v>17</v>
      </c>
      <c r="V74" s="708"/>
      <c r="W74" s="588"/>
      <c r="X74" s="379"/>
      <c r="Y74" s="34"/>
      <c r="Z74" s="34"/>
      <c r="AA74" s="34"/>
      <c r="AB74" s="34"/>
      <c r="AC74" s="34"/>
      <c r="AD74" s="34"/>
      <c r="AE74" s="34"/>
      <c r="AF74" s="34"/>
      <c r="AG74" s="34"/>
      <c r="AH74" s="34"/>
      <c r="AI74" s="34"/>
      <c r="AJ74" s="34"/>
      <c r="AK74" s="34"/>
      <c r="AL74" s="141"/>
    </row>
    <row r="75" spans="1:38" ht="12.75" customHeight="1">
      <c r="A75" s="80"/>
      <c r="B75" s="43">
        <v>18</v>
      </c>
      <c r="C75" s="708"/>
      <c r="D75" s="588"/>
      <c r="E75" s="379"/>
      <c r="F75" s="34"/>
      <c r="G75" s="34"/>
      <c r="H75" s="34"/>
      <c r="I75" s="34"/>
      <c r="J75" s="34"/>
      <c r="K75" s="34"/>
      <c r="L75" s="34"/>
      <c r="M75" s="34"/>
      <c r="N75" s="34"/>
      <c r="O75" s="34"/>
      <c r="P75" s="34"/>
      <c r="Q75" s="34"/>
      <c r="R75" s="34"/>
      <c r="S75" s="141"/>
      <c r="T75" s="80"/>
      <c r="U75" s="43">
        <v>18</v>
      </c>
      <c r="V75" s="708"/>
      <c r="W75" s="588"/>
      <c r="X75" s="379"/>
      <c r="Y75" s="34"/>
      <c r="Z75" s="34"/>
      <c r="AA75" s="34"/>
      <c r="AB75" s="34"/>
      <c r="AC75" s="34"/>
      <c r="AD75" s="34"/>
      <c r="AE75" s="34"/>
      <c r="AF75" s="34"/>
      <c r="AG75" s="34"/>
      <c r="AH75" s="34"/>
      <c r="AI75" s="34"/>
      <c r="AJ75" s="34"/>
      <c r="AK75" s="34"/>
      <c r="AL75" s="141"/>
    </row>
    <row r="76" spans="1:38" ht="12.75" customHeight="1">
      <c r="A76" s="80"/>
      <c r="B76" s="43">
        <v>19</v>
      </c>
      <c r="C76" s="708"/>
      <c r="D76" s="588"/>
      <c r="E76" s="379"/>
      <c r="F76" s="34"/>
      <c r="G76" s="34"/>
      <c r="H76" s="34"/>
      <c r="I76" s="34"/>
      <c r="J76" s="34"/>
      <c r="K76" s="34"/>
      <c r="L76" s="34"/>
      <c r="M76" s="34"/>
      <c r="N76" s="34"/>
      <c r="O76" s="34"/>
      <c r="P76" s="34"/>
      <c r="Q76" s="34"/>
      <c r="R76" s="34"/>
      <c r="S76" s="141"/>
      <c r="T76" s="80"/>
      <c r="U76" s="43">
        <v>19</v>
      </c>
      <c r="V76" s="708"/>
      <c r="W76" s="588"/>
      <c r="X76" s="379"/>
      <c r="Y76" s="34"/>
      <c r="Z76" s="34"/>
      <c r="AA76" s="34"/>
      <c r="AB76" s="34"/>
      <c r="AC76" s="34"/>
      <c r="AD76" s="34"/>
      <c r="AE76" s="34"/>
      <c r="AF76" s="34"/>
      <c r="AG76" s="34"/>
      <c r="AH76" s="34"/>
      <c r="AI76" s="34"/>
      <c r="AJ76" s="34"/>
      <c r="AK76" s="34"/>
      <c r="AL76" s="141"/>
    </row>
    <row r="77" spans="1:38" ht="12.75" customHeight="1">
      <c r="A77" s="80"/>
      <c r="B77" s="43">
        <v>20</v>
      </c>
      <c r="C77" s="708"/>
      <c r="D77" s="588"/>
      <c r="E77" s="379"/>
      <c r="F77" s="34"/>
      <c r="G77" s="34"/>
      <c r="H77" s="34"/>
      <c r="I77" s="34"/>
      <c r="J77" s="34"/>
      <c r="K77" s="34"/>
      <c r="L77" s="34"/>
      <c r="M77" s="34"/>
      <c r="N77" s="34"/>
      <c r="O77" s="34"/>
      <c r="P77" s="34"/>
      <c r="Q77" s="34"/>
      <c r="R77" s="34"/>
      <c r="S77" s="141"/>
      <c r="T77" s="80"/>
      <c r="U77" s="43">
        <v>20</v>
      </c>
      <c r="V77" s="708"/>
      <c r="W77" s="588"/>
      <c r="X77" s="379"/>
      <c r="Y77" s="34"/>
      <c r="Z77" s="34"/>
      <c r="AA77" s="34"/>
      <c r="AB77" s="34"/>
      <c r="AC77" s="34"/>
      <c r="AD77" s="34"/>
      <c r="AE77" s="34"/>
      <c r="AF77" s="34"/>
      <c r="AG77" s="34"/>
      <c r="AH77" s="34"/>
      <c r="AI77" s="34"/>
      <c r="AJ77" s="34"/>
      <c r="AK77" s="34"/>
      <c r="AL77" s="141"/>
    </row>
    <row r="78" spans="1:38" ht="12.75" customHeight="1">
      <c r="A78" s="80"/>
      <c r="B78" s="43">
        <v>21</v>
      </c>
      <c r="C78" s="708"/>
      <c r="D78" s="588"/>
      <c r="E78" s="379"/>
      <c r="F78" s="34"/>
      <c r="G78" s="34"/>
      <c r="H78" s="34"/>
      <c r="I78" s="34"/>
      <c r="J78" s="34"/>
      <c r="K78" s="34"/>
      <c r="L78" s="34"/>
      <c r="M78" s="34"/>
      <c r="N78" s="34"/>
      <c r="O78" s="34"/>
      <c r="P78" s="34"/>
      <c r="Q78" s="34"/>
      <c r="R78" s="34"/>
      <c r="S78" s="141"/>
      <c r="T78" s="80"/>
      <c r="U78" s="43">
        <v>21</v>
      </c>
      <c r="V78" s="708"/>
      <c r="W78" s="588"/>
      <c r="X78" s="379"/>
      <c r="Y78" s="34"/>
      <c r="Z78" s="34"/>
      <c r="AA78" s="34"/>
      <c r="AB78" s="34"/>
      <c r="AC78" s="34"/>
      <c r="AD78" s="34"/>
      <c r="AE78" s="34"/>
      <c r="AF78" s="34"/>
      <c r="AG78" s="34"/>
      <c r="AH78" s="34"/>
      <c r="AI78" s="34"/>
      <c r="AJ78" s="34"/>
      <c r="AK78" s="34"/>
      <c r="AL78" s="141"/>
    </row>
    <row r="79" spans="1:38" ht="12.75" customHeight="1">
      <c r="A79" s="80"/>
      <c r="B79" s="43">
        <v>22</v>
      </c>
      <c r="C79" s="708"/>
      <c r="D79" s="588"/>
      <c r="E79" s="379"/>
      <c r="F79" s="34"/>
      <c r="G79" s="34"/>
      <c r="H79" s="34"/>
      <c r="I79" s="34"/>
      <c r="J79" s="34"/>
      <c r="K79" s="34"/>
      <c r="L79" s="34"/>
      <c r="M79" s="34"/>
      <c r="N79" s="34"/>
      <c r="O79" s="34"/>
      <c r="P79" s="34"/>
      <c r="Q79" s="34"/>
      <c r="R79" s="34"/>
      <c r="S79" s="141"/>
      <c r="T79" s="80"/>
      <c r="U79" s="43">
        <v>22</v>
      </c>
      <c r="V79" s="708"/>
      <c r="W79" s="588"/>
      <c r="X79" s="379"/>
      <c r="Y79" s="34"/>
      <c r="Z79" s="34"/>
      <c r="AA79" s="34"/>
      <c r="AB79" s="34"/>
      <c r="AC79" s="34"/>
      <c r="AD79" s="34"/>
      <c r="AE79" s="34"/>
      <c r="AF79" s="34"/>
      <c r="AG79" s="34"/>
      <c r="AH79" s="34"/>
      <c r="AI79" s="34"/>
      <c r="AJ79" s="34"/>
      <c r="AK79" s="34"/>
      <c r="AL79" s="141"/>
    </row>
    <row r="80" spans="1:38" ht="12.75" customHeight="1">
      <c r="A80" s="80"/>
      <c r="B80" s="43">
        <v>23</v>
      </c>
      <c r="C80" s="708"/>
      <c r="D80" s="588"/>
      <c r="E80" s="379"/>
      <c r="F80" s="34"/>
      <c r="G80" s="34"/>
      <c r="H80" s="34"/>
      <c r="I80" s="34"/>
      <c r="J80" s="34"/>
      <c r="K80" s="34"/>
      <c r="L80" s="34"/>
      <c r="M80" s="34"/>
      <c r="N80" s="34"/>
      <c r="O80" s="34"/>
      <c r="P80" s="34"/>
      <c r="Q80" s="34"/>
      <c r="R80" s="34"/>
      <c r="S80" s="141"/>
      <c r="T80" s="80"/>
      <c r="U80" s="43">
        <v>23</v>
      </c>
      <c r="V80" s="708"/>
      <c r="W80" s="588"/>
      <c r="X80" s="379"/>
      <c r="Y80" s="34"/>
      <c r="Z80" s="34"/>
      <c r="AA80" s="34"/>
      <c r="AB80" s="34"/>
      <c r="AC80" s="34"/>
      <c r="AD80" s="34"/>
      <c r="AE80" s="34"/>
      <c r="AF80" s="34"/>
      <c r="AG80" s="34"/>
      <c r="AH80" s="34"/>
      <c r="AI80" s="34"/>
      <c r="AJ80" s="34"/>
      <c r="AK80" s="34"/>
      <c r="AL80" s="141"/>
    </row>
    <row r="81" spans="1:38" ht="12.75" customHeight="1">
      <c r="A81" s="80"/>
      <c r="B81" s="43">
        <v>24</v>
      </c>
      <c r="C81" s="708"/>
      <c r="D81" s="588"/>
      <c r="E81" s="379"/>
      <c r="F81" s="34"/>
      <c r="G81" s="34"/>
      <c r="H81" s="34"/>
      <c r="I81" s="34"/>
      <c r="J81" s="34"/>
      <c r="K81" s="34"/>
      <c r="L81" s="34"/>
      <c r="M81" s="34"/>
      <c r="N81" s="34"/>
      <c r="O81" s="34"/>
      <c r="P81" s="34"/>
      <c r="Q81" s="34"/>
      <c r="R81" s="34"/>
      <c r="S81" s="141"/>
      <c r="T81" s="80"/>
      <c r="U81" s="43">
        <v>24</v>
      </c>
      <c r="V81" s="708"/>
      <c r="W81" s="588"/>
      <c r="X81" s="379"/>
      <c r="Y81" s="34"/>
      <c r="Z81" s="34"/>
      <c r="AA81" s="34"/>
      <c r="AB81" s="34"/>
      <c r="AC81" s="34"/>
      <c r="AD81" s="34"/>
      <c r="AE81" s="34"/>
      <c r="AF81" s="34"/>
      <c r="AG81" s="34"/>
      <c r="AH81" s="34"/>
      <c r="AI81" s="34"/>
      <c r="AJ81" s="34"/>
      <c r="AK81" s="34"/>
      <c r="AL81" s="141"/>
    </row>
    <row r="82" spans="1:38" ht="12.75" customHeight="1">
      <c r="A82" s="80"/>
      <c r="B82" s="43">
        <v>25</v>
      </c>
      <c r="C82" s="708"/>
      <c r="D82" s="588"/>
      <c r="E82" s="379"/>
      <c r="F82" s="34"/>
      <c r="G82" s="34"/>
      <c r="H82" s="34"/>
      <c r="I82" s="34"/>
      <c r="J82" s="34"/>
      <c r="K82" s="34"/>
      <c r="L82" s="34"/>
      <c r="M82" s="34"/>
      <c r="N82" s="34"/>
      <c r="O82" s="34"/>
      <c r="P82" s="34"/>
      <c r="Q82" s="34"/>
      <c r="R82" s="34"/>
      <c r="S82" s="141"/>
      <c r="T82" s="80"/>
      <c r="U82" s="43">
        <v>25</v>
      </c>
      <c r="V82" s="708"/>
      <c r="W82" s="588"/>
      <c r="X82" s="379"/>
      <c r="Y82" s="34"/>
      <c r="Z82" s="34"/>
      <c r="AA82" s="34"/>
      <c r="AB82" s="34"/>
      <c r="AC82" s="34"/>
      <c r="AD82" s="34"/>
      <c r="AE82" s="34"/>
      <c r="AF82" s="34"/>
      <c r="AG82" s="34"/>
      <c r="AH82" s="34"/>
      <c r="AI82" s="34"/>
      <c r="AJ82" s="34"/>
      <c r="AK82" s="34"/>
      <c r="AL82" s="141"/>
    </row>
    <row r="83" spans="1:38" ht="12.75" customHeight="1">
      <c r="A83" s="80"/>
      <c r="B83" s="43">
        <v>26</v>
      </c>
      <c r="C83" s="708"/>
      <c r="D83" s="588"/>
      <c r="E83" s="379"/>
      <c r="F83" s="34"/>
      <c r="G83" s="34"/>
      <c r="H83" s="34"/>
      <c r="I83" s="34"/>
      <c r="J83" s="34"/>
      <c r="K83" s="34"/>
      <c r="L83" s="34"/>
      <c r="M83" s="34"/>
      <c r="N83" s="34"/>
      <c r="O83" s="34"/>
      <c r="P83" s="34"/>
      <c r="Q83" s="34"/>
      <c r="R83" s="34"/>
      <c r="S83" s="141"/>
      <c r="T83" s="80"/>
      <c r="U83" s="43">
        <v>26</v>
      </c>
      <c r="V83" s="708"/>
      <c r="W83" s="588"/>
      <c r="X83" s="379"/>
      <c r="Y83" s="34"/>
      <c r="Z83" s="34"/>
      <c r="AA83" s="34"/>
      <c r="AB83" s="34"/>
      <c r="AC83" s="34"/>
      <c r="AD83" s="34"/>
      <c r="AE83" s="34"/>
      <c r="AF83" s="34"/>
      <c r="AG83" s="34"/>
      <c r="AH83" s="34"/>
      <c r="AI83" s="34"/>
      <c r="AJ83" s="34"/>
      <c r="AK83" s="34"/>
      <c r="AL83" s="141"/>
    </row>
    <row r="84" spans="1:38" ht="12.75" customHeight="1">
      <c r="A84" s="80"/>
      <c r="B84" s="43">
        <v>27</v>
      </c>
      <c r="C84" s="708"/>
      <c r="D84" s="588"/>
      <c r="E84" s="379"/>
      <c r="F84" s="34"/>
      <c r="G84" s="34"/>
      <c r="H84" s="34"/>
      <c r="I84" s="34"/>
      <c r="J84" s="34"/>
      <c r="K84" s="34"/>
      <c r="L84" s="34"/>
      <c r="M84" s="34"/>
      <c r="N84" s="34"/>
      <c r="O84" s="34"/>
      <c r="P84" s="34"/>
      <c r="Q84" s="34"/>
      <c r="R84" s="34"/>
      <c r="S84" s="141"/>
      <c r="T84" s="80"/>
      <c r="U84" s="43">
        <v>27</v>
      </c>
      <c r="V84" s="708"/>
      <c r="W84" s="588"/>
      <c r="X84" s="379"/>
      <c r="Y84" s="34"/>
      <c r="Z84" s="34"/>
      <c r="AA84" s="34"/>
      <c r="AB84" s="34"/>
      <c r="AC84" s="34"/>
      <c r="AD84" s="34"/>
      <c r="AE84" s="34"/>
      <c r="AF84" s="34"/>
      <c r="AG84" s="34"/>
      <c r="AH84" s="34"/>
      <c r="AI84" s="34"/>
      <c r="AJ84" s="34"/>
      <c r="AK84" s="34"/>
      <c r="AL84" s="141"/>
    </row>
    <row r="85" spans="1:38" ht="12.75" customHeight="1">
      <c r="A85" s="80"/>
      <c r="B85" s="43">
        <v>28</v>
      </c>
      <c r="C85" s="708"/>
      <c r="D85" s="588"/>
      <c r="E85" s="379"/>
      <c r="F85" s="34"/>
      <c r="G85" s="34"/>
      <c r="H85" s="34"/>
      <c r="I85" s="34"/>
      <c r="J85" s="34"/>
      <c r="K85" s="34"/>
      <c r="L85" s="34"/>
      <c r="M85" s="34"/>
      <c r="N85" s="34"/>
      <c r="O85" s="34"/>
      <c r="P85" s="34"/>
      <c r="Q85" s="34"/>
      <c r="R85" s="34"/>
      <c r="S85" s="141"/>
      <c r="T85" s="80"/>
      <c r="U85" s="43">
        <v>28</v>
      </c>
      <c r="V85" s="708"/>
      <c r="W85" s="588"/>
      <c r="X85" s="379"/>
      <c r="Y85" s="34"/>
      <c r="Z85" s="34"/>
      <c r="AA85" s="34"/>
      <c r="AB85" s="34"/>
      <c r="AC85" s="34"/>
      <c r="AD85" s="34"/>
      <c r="AE85" s="34"/>
      <c r="AF85" s="34"/>
      <c r="AG85" s="34"/>
      <c r="AH85" s="34"/>
      <c r="AI85" s="34"/>
      <c r="AJ85" s="34"/>
      <c r="AK85" s="34"/>
      <c r="AL85" s="141"/>
    </row>
    <row r="86" spans="1:38" ht="12.75" customHeight="1">
      <c r="A86" s="80"/>
      <c r="B86" s="43">
        <v>29</v>
      </c>
      <c r="C86" s="708"/>
      <c r="D86" s="588"/>
      <c r="E86" s="379"/>
      <c r="F86" s="34"/>
      <c r="G86" s="34"/>
      <c r="H86" s="34"/>
      <c r="I86" s="34"/>
      <c r="J86" s="34"/>
      <c r="K86" s="34"/>
      <c r="L86" s="34"/>
      <c r="M86" s="34"/>
      <c r="N86" s="34"/>
      <c r="O86" s="34"/>
      <c r="P86" s="34"/>
      <c r="Q86" s="34"/>
      <c r="R86" s="34"/>
      <c r="S86" s="141"/>
      <c r="T86" s="80"/>
      <c r="U86" s="43">
        <v>29</v>
      </c>
      <c r="V86" s="708"/>
      <c r="W86" s="588"/>
      <c r="X86" s="379"/>
      <c r="Y86" s="34"/>
      <c r="Z86" s="34"/>
      <c r="AA86" s="34"/>
      <c r="AB86" s="34"/>
      <c r="AC86" s="34"/>
      <c r="AD86" s="34"/>
      <c r="AE86" s="34"/>
      <c r="AF86" s="34"/>
      <c r="AG86" s="34"/>
      <c r="AH86" s="34"/>
      <c r="AI86" s="34"/>
      <c r="AJ86" s="34"/>
      <c r="AK86" s="34"/>
      <c r="AL86" s="141"/>
    </row>
    <row r="87" spans="1:38" ht="12.75" customHeight="1">
      <c r="A87" s="80"/>
      <c r="B87" s="43">
        <v>30</v>
      </c>
      <c r="C87" s="708"/>
      <c r="D87" s="588"/>
      <c r="E87" s="379"/>
      <c r="F87" s="34"/>
      <c r="G87" s="34"/>
      <c r="H87" s="34"/>
      <c r="I87" s="34"/>
      <c r="J87" s="34"/>
      <c r="K87" s="34"/>
      <c r="L87" s="34"/>
      <c r="M87" s="34"/>
      <c r="N87" s="34"/>
      <c r="O87" s="34"/>
      <c r="P87" s="34"/>
      <c r="Q87" s="34"/>
      <c r="R87" s="34"/>
      <c r="S87" s="141"/>
      <c r="T87" s="80"/>
      <c r="U87" s="43">
        <v>30</v>
      </c>
      <c r="V87" s="708"/>
      <c r="W87" s="588"/>
      <c r="X87" s="379"/>
      <c r="Y87" s="34"/>
      <c r="Z87" s="34"/>
      <c r="AA87" s="34"/>
      <c r="AB87" s="34"/>
      <c r="AC87" s="34"/>
      <c r="AD87" s="34"/>
      <c r="AE87" s="34"/>
      <c r="AF87" s="34"/>
      <c r="AG87" s="34"/>
      <c r="AH87" s="34"/>
      <c r="AI87" s="34"/>
      <c r="AJ87" s="34"/>
      <c r="AK87" s="34"/>
      <c r="AL87" s="141"/>
    </row>
    <row r="88" spans="1:38" ht="12.75" customHeight="1">
      <c r="A88" s="80"/>
      <c r="B88" s="43">
        <v>31</v>
      </c>
      <c r="C88" s="708"/>
      <c r="D88" s="588"/>
      <c r="E88" s="379"/>
      <c r="F88" s="34"/>
      <c r="G88" s="34"/>
      <c r="H88" s="34"/>
      <c r="I88" s="34"/>
      <c r="J88" s="34"/>
      <c r="K88" s="34"/>
      <c r="L88" s="34"/>
      <c r="M88" s="34"/>
      <c r="N88" s="34"/>
      <c r="O88" s="34"/>
      <c r="P88" s="34"/>
      <c r="Q88" s="34"/>
      <c r="R88" s="34"/>
      <c r="S88" s="141"/>
      <c r="T88" s="80"/>
      <c r="U88" s="43">
        <v>31</v>
      </c>
      <c r="V88" s="708"/>
      <c r="W88" s="588"/>
      <c r="X88" s="379"/>
      <c r="Y88" s="34"/>
      <c r="Z88" s="34"/>
      <c r="AA88" s="34"/>
      <c r="AB88" s="34"/>
      <c r="AC88" s="34"/>
      <c r="AD88" s="34"/>
      <c r="AE88" s="34"/>
      <c r="AF88" s="34"/>
      <c r="AG88" s="34"/>
      <c r="AH88" s="34"/>
      <c r="AI88" s="34"/>
      <c r="AJ88" s="34"/>
      <c r="AK88" s="34"/>
      <c r="AL88" s="141"/>
    </row>
    <row r="89" spans="1:38" ht="12.75" customHeight="1">
      <c r="A89" s="80"/>
      <c r="B89" s="43">
        <v>32</v>
      </c>
      <c r="C89" s="708"/>
      <c r="D89" s="588"/>
      <c r="E89" s="379"/>
      <c r="F89" s="34"/>
      <c r="G89" s="34"/>
      <c r="H89" s="34"/>
      <c r="I89" s="34"/>
      <c r="J89" s="34"/>
      <c r="K89" s="34"/>
      <c r="L89" s="34"/>
      <c r="M89" s="34"/>
      <c r="N89" s="34"/>
      <c r="O89" s="34"/>
      <c r="P89" s="34"/>
      <c r="Q89" s="34"/>
      <c r="R89" s="34"/>
      <c r="S89" s="141"/>
      <c r="T89" s="80"/>
      <c r="U89" s="43">
        <v>32</v>
      </c>
      <c r="V89" s="708"/>
      <c r="W89" s="588"/>
      <c r="X89" s="379"/>
      <c r="Y89" s="34"/>
      <c r="Z89" s="34"/>
      <c r="AA89" s="34"/>
      <c r="AB89" s="34"/>
      <c r="AC89" s="34"/>
      <c r="AD89" s="34"/>
      <c r="AE89" s="34"/>
      <c r="AF89" s="34"/>
      <c r="AG89" s="34"/>
      <c r="AH89" s="34"/>
      <c r="AI89" s="34"/>
      <c r="AJ89" s="34"/>
      <c r="AK89" s="34"/>
      <c r="AL89" s="141"/>
    </row>
    <row r="90" spans="1:38" ht="12.75" customHeight="1">
      <c r="A90" s="80"/>
      <c r="B90" s="43">
        <v>33</v>
      </c>
      <c r="C90" s="708"/>
      <c r="D90" s="588"/>
      <c r="E90" s="379"/>
      <c r="F90" s="34"/>
      <c r="G90" s="34"/>
      <c r="H90" s="34"/>
      <c r="I90" s="34"/>
      <c r="J90" s="34"/>
      <c r="K90" s="34"/>
      <c r="L90" s="34"/>
      <c r="M90" s="34"/>
      <c r="N90" s="34"/>
      <c r="O90" s="34"/>
      <c r="P90" s="34"/>
      <c r="Q90" s="34"/>
      <c r="R90" s="34"/>
      <c r="S90" s="141"/>
      <c r="T90" s="80"/>
      <c r="U90" s="43">
        <v>33</v>
      </c>
      <c r="V90" s="708"/>
      <c r="W90" s="588"/>
      <c r="X90" s="379"/>
      <c r="Y90" s="34"/>
      <c r="Z90" s="34"/>
      <c r="AA90" s="34"/>
      <c r="AB90" s="34"/>
      <c r="AC90" s="34"/>
      <c r="AD90" s="34"/>
      <c r="AE90" s="34"/>
      <c r="AF90" s="34"/>
      <c r="AG90" s="34"/>
      <c r="AH90" s="34"/>
      <c r="AI90" s="34"/>
      <c r="AJ90" s="34"/>
      <c r="AK90" s="34"/>
      <c r="AL90" s="141"/>
    </row>
    <row r="91" spans="1:38" ht="12.75" customHeight="1">
      <c r="A91" s="80"/>
      <c r="B91" s="43">
        <v>34</v>
      </c>
      <c r="C91" s="708"/>
      <c r="D91" s="588"/>
      <c r="E91" s="379"/>
      <c r="F91" s="34"/>
      <c r="G91" s="34"/>
      <c r="H91" s="34"/>
      <c r="I91" s="34"/>
      <c r="J91" s="34"/>
      <c r="K91" s="34"/>
      <c r="L91" s="34"/>
      <c r="M91" s="34"/>
      <c r="N91" s="34"/>
      <c r="O91" s="34"/>
      <c r="P91" s="34"/>
      <c r="Q91" s="34"/>
      <c r="R91" s="34"/>
      <c r="S91" s="141"/>
      <c r="T91" s="80"/>
      <c r="U91" s="43">
        <v>34</v>
      </c>
      <c r="V91" s="708"/>
      <c r="W91" s="588"/>
      <c r="X91" s="379"/>
      <c r="Y91" s="34"/>
      <c r="Z91" s="34"/>
      <c r="AA91" s="34"/>
      <c r="AB91" s="34"/>
      <c r="AC91" s="34"/>
      <c r="AD91" s="34"/>
      <c r="AE91" s="34"/>
      <c r="AF91" s="34"/>
      <c r="AG91" s="34"/>
      <c r="AH91" s="34"/>
      <c r="AI91" s="34"/>
      <c r="AJ91" s="34"/>
      <c r="AK91" s="34"/>
      <c r="AL91" s="141"/>
    </row>
    <row r="92" spans="1:38" ht="12.75" customHeight="1">
      <c r="A92" s="80"/>
      <c r="B92" s="43">
        <v>35</v>
      </c>
      <c r="C92" s="708"/>
      <c r="D92" s="588"/>
      <c r="E92" s="379"/>
      <c r="F92" s="34"/>
      <c r="G92" s="34"/>
      <c r="H92" s="34"/>
      <c r="I92" s="34"/>
      <c r="J92" s="34"/>
      <c r="K92" s="34"/>
      <c r="L92" s="34"/>
      <c r="M92" s="34"/>
      <c r="N92" s="34"/>
      <c r="O92" s="34"/>
      <c r="P92" s="34"/>
      <c r="Q92" s="34"/>
      <c r="R92" s="34"/>
      <c r="S92" s="141"/>
      <c r="T92" s="80"/>
      <c r="U92" s="43">
        <v>35</v>
      </c>
      <c r="V92" s="708"/>
      <c r="W92" s="588"/>
      <c r="X92" s="379"/>
      <c r="Y92" s="34"/>
      <c r="Z92" s="34"/>
      <c r="AA92" s="34"/>
      <c r="AB92" s="34"/>
      <c r="AC92" s="34"/>
      <c r="AD92" s="34"/>
      <c r="AE92" s="34"/>
      <c r="AF92" s="34"/>
      <c r="AG92" s="34"/>
      <c r="AH92" s="34"/>
      <c r="AI92" s="34"/>
      <c r="AJ92" s="34"/>
      <c r="AK92" s="34"/>
      <c r="AL92" s="141"/>
    </row>
    <row r="93" spans="1:38" ht="12.75" customHeight="1">
      <c r="A93" s="80"/>
      <c r="B93" s="43">
        <v>36</v>
      </c>
      <c r="C93" s="708"/>
      <c r="D93" s="588"/>
      <c r="E93" s="379"/>
      <c r="F93" s="34"/>
      <c r="G93" s="34"/>
      <c r="H93" s="34"/>
      <c r="I93" s="34"/>
      <c r="J93" s="34"/>
      <c r="K93" s="34"/>
      <c r="L93" s="34"/>
      <c r="M93" s="34"/>
      <c r="N93" s="34"/>
      <c r="O93" s="34"/>
      <c r="P93" s="34"/>
      <c r="Q93" s="34"/>
      <c r="R93" s="34"/>
      <c r="S93" s="141"/>
      <c r="T93" s="80"/>
      <c r="U93" s="43">
        <v>36</v>
      </c>
      <c r="V93" s="708"/>
      <c r="W93" s="588"/>
      <c r="X93" s="379"/>
      <c r="Y93" s="34"/>
      <c r="Z93" s="34"/>
      <c r="AA93" s="34"/>
      <c r="AB93" s="34"/>
      <c r="AC93" s="34"/>
      <c r="AD93" s="34"/>
      <c r="AE93" s="34"/>
      <c r="AF93" s="34"/>
      <c r="AG93" s="34"/>
      <c r="AH93" s="34"/>
      <c r="AI93" s="34"/>
      <c r="AJ93" s="34"/>
      <c r="AK93" s="34"/>
      <c r="AL93" s="141"/>
    </row>
    <row r="94" spans="1:38" ht="12.75" customHeight="1">
      <c r="A94" s="80"/>
      <c r="B94" s="43">
        <v>37</v>
      </c>
      <c r="C94" s="708"/>
      <c r="D94" s="588"/>
      <c r="E94" s="379"/>
      <c r="F94" s="34"/>
      <c r="G94" s="34"/>
      <c r="H94" s="34"/>
      <c r="I94" s="34"/>
      <c r="J94" s="34"/>
      <c r="K94" s="34"/>
      <c r="L94" s="34"/>
      <c r="M94" s="34"/>
      <c r="N94" s="34"/>
      <c r="O94" s="34"/>
      <c r="P94" s="34"/>
      <c r="Q94" s="34"/>
      <c r="R94" s="34"/>
      <c r="S94" s="141"/>
      <c r="T94" s="80"/>
      <c r="U94" s="43">
        <v>37</v>
      </c>
      <c r="V94" s="708"/>
      <c r="W94" s="588"/>
      <c r="X94" s="379"/>
      <c r="Y94" s="34"/>
      <c r="Z94" s="34"/>
      <c r="AA94" s="34"/>
      <c r="AB94" s="34"/>
      <c r="AC94" s="34"/>
      <c r="AD94" s="34"/>
      <c r="AE94" s="34"/>
      <c r="AF94" s="34"/>
      <c r="AG94" s="34"/>
      <c r="AH94" s="34"/>
      <c r="AI94" s="34"/>
      <c r="AJ94" s="34"/>
      <c r="AK94" s="34"/>
      <c r="AL94" s="141"/>
    </row>
    <row r="95" spans="1:38" ht="12.75" customHeight="1">
      <c r="A95" s="80"/>
      <c r="B95" s="43">
        <v>38</v>
      </c>
      <c r="C95" s="708"/>
      <c r="D95" s="588"/>
      <c r="E95" s="379"/>
      <c r="F95" s="34"/>
      <c r="G95" s="34"/>
      <c r="H95" s="34"/>
      <c r="I95" s="34"/>
      <c r="J95" s="34"/>
      <c r="K95" s="34"/>
      <c r="L95" s="34"/>
      <c r="M95" s="34"/>
      <c r="N95" s="34"/>
      <c r="O95" s="34"/>
      <c r="P95" s="34"/>
      <c r="Q95" s="34"/>
      <c r="R95" s="34"/>
      <c r="S95" s="141"/>
      <c r="T95" s="80"/>
      <c r="U95" s="43">
        <v>38</v>
      </c>
      <c r="V95" s="708"/>
      <c r="W95" s="588"/>
      <c r="X95" s="379"/>
      <c r="Y95" s="34"/>
      <c r="Z95" s="34"/>
      <c r="AA95" s="34"/>
      <c r="AB95" s="34"/>
      <c r="AC95" s="34"/>
      <c r="AD95" s="34"/>
      <c r="AE95" s="34"/>
      <c r="AF95" s="34"/>
      <c r="AG95" s="34"/>
      <c r="AH95" s="34"/>
      <c r="AI95" s="34"/>
      <c r="AJ95" s="34"/>
      <c r="AK95" s="34"/>
      <c r="AL95" s="141"/>
    </row>
    <row r="96" spans="1:38" ht="12.75" customHeight="1">
      <c r="A96" s="80"/>
      <c r="B96" s="43">
        <v>39</v>
      </c>
      <c r="C96" s="708"/>
      <c r="D96" s="588"/>
      <c r="E96" s="379"/>
      <c r="F96" s="34"/>
      <c r="G96" s="34"/>
      <c r="H96" s="34"/>
      <c r="I96" s="34"/>
      <c r="J96" s="34"/>
      <c r="K96" s="34"/>
      <c r="L96" s="34"/>
      <c r="M96" s="34"/>
      <c r="N96" s="34"/>
      <c r="O96" s="34"/>
      <c r="P96" s="34"/>
      <c r="Q96" s="34"/>
      <c r="R96" s="34"/>
      <c r="S96" s="141"/>
      <c r="T96" s="80"/>
      <c r="U96" s="43">
        <v>39</v>
      </c>
      <c r="V96" s="708"/>
      <c r="W96" s="588"/>
      <c r="X96" s="379"/>
      <c r="Y96" s="34"/>
      <c r="Z96" s="34"/>
      <c r="AA96" s="34"/>
      <c r="AB96" s="34"/>
      <c r="AC96" s="34"/>
      <c r="AD96" s="34"/>
      <c r="AE96" s="34"/>
      <c r="AF96" s="34"/>
      <c r="AG96" s="34"/>
      <c r="AH96" s="34"/>
      <c r="AI96" s="34"/>
      <c r="AJ96" s="34"/>
      <c r="AK96" s="34"/>
      <c r="AL96" s="141"/>
    </row>
    <row r="97" spans="1:38" ht="12.75" customHeight="1">
      <c r="A97" s="80"/>
      <c r="B97" s="43">
        <v>40</v>
      </c>
      <c r="C97" s="708"/>
      <c r="D97" s="588"/>
      <c r="E97" s="379"/>
      <c r="F97" s="34"/>
      <c r="G97" s="34"/>
      <c r="H97" s="34"/>
      <c r="I97" s="34"/>
      <c r="J97" s="34"/>
      <c r="K97" s="34"/>
      <c r="L97" s="34"/>
      <c r="M97" s="34"/>
      <c r="N97" s="34"/>
      <c r="O97" s="34"/>
      <c r="P97" s="34"/>
      <c r="Q97" s="34"/>
      <c r="R97" s="34"/>
      <c r="S97" s="141"/>
      <c r="T97" s="80"/>
      <c r="U97" s="43">
        <v>40</v>
      </c>
      <c r="V97" s="708"/>
      <c r="W97" s="588"/>
      <c r="X97" s="379"/>
      <c r="Y97" s="34"/>
      <c r="Z97" s="34"/>
      <c r="AA97" s="34"/>
      <c r="AB97" s="34"/>
      <c r="AC97" s="34"/>
      <c r="AD97" s="34"/>
      <c r="AE97" s="34"/>
      <c r="AF97" s="34"/>
      <c r="AG97" s="34"/>
      <c r="AH97" s="34"/>
      <c r="AI97" s="34"/>
      <c r="AJ97" s="34"/>
      <c r="AK97" s="34"/>
      <c r="AL97" s="141"/>
    </row>
    <row r="98" spans="1:38" ht="12.75" customHeight="1">
      <c r="A98" s="80"/>
      <c r="B98" s="43">
        <v>41</v>
      </c>
      <c r="C98" s="708"/>
      <c r="D98" s="588"/>
      <c r="E98" s="379"/>
      <c r="F98" s="34"/>
      <c r="G98" s="34"/>
      <c r="H98" s="34"/>
      <c r="I98" s="34"/>
      <c r="J98" s="34"/>
      <c r="K98" s="34"/>
      <c r="L98" s="34"/>
      <c r="M98" s="34"/>
      <c r="N98" s="34"/>
      <c r="O98" s="34"/>
      <c r="P98" s="34"/>
      <c r="Q98" s="34"/>
      <c r="R98" s="34"/>
      <c r="S98" s="141"/>
      <c r="T98" s="80"/>
      <c r="U98" s="43">
        <v>41</v>
      </c>
      <c r="V98" s="708"/>
      <c r="W98" s="588"/>
      <c r="X98" s="379"/>
      <c r="Y98" s="34"/>
      <c r="Z98" s="34"/>
      <c r="AA98" s="34"/>
      <c r="AB98" s="34"/>
      <c r="AC98" s="34"/>
      <c r="AD98" s="34"/>
      <c r="AE98" s="34"/>
      <c r="AF98" s="34"/>
      <c r="AG98" s="34"/>
      <c r="AH98" s="34"/>
      <c r="AI98" s="34"/>
      <c r="AJ98" s="34"/>
      <c r="AK98" s="34"/>
      <c r="AL98" s="141"/>
    </row>
    <row r="99" spans="1:38" ht="12.75" customHeight="1">
      <c r="A99" s="80"/>
      <c r="B99" s="43">
        <v>42</v>
      </c>
      <c r="C99" s="708"/>
      <c r="D99" s="588"/>
      <c r="E99" s="379"/>
      <c r="F99" s="34"/>
      <c r="G99" s="34"/>
      <c r="H99" s="34"/>
      <c r="I99" s="34"/>
      <c r="J99" s="34"/>
      <c r="K99" s="34"/>
      <c r="L99" s="34"/>
      <c r="M99" s="34"/>
      <c r="N99" s="34"/>
      <c r="O99" s="34"/>
      <c r="P99" s="34"/>
      <c r="Q99" s="34"/>
      <c r="R99" s="34"/>
      <c r="S99" s="141"/>
      <c r="T99" s="80"/>
      <c r="U99" s="43">
        <v>42</v>
      </c>
      <c r="V99" s="708"/>
      <c r="W99" s="588"/>
      <c r="X99" s="379"/>
      <c r="Y99" s="34"/>
      <c r="Z99" s="34"/>
      <c r="AA99" s="34"/>
      <c r="AB99" s="34"/>
      <c r="AC99" s="34"/>
      <c r="AD99" s="34"/>
      <c r="AE99" s="34"/>
      <c r="AF99" s="34"/>
      <c r="AG99" s="34"/>
      <c r="AH99" s="34"/>
      <c r="AI99" s="34"/>
      <c r="AJ99" s="34"/>
      <c r="AK99" s="34"/>
      <c r="AL99" s="141"/>
    </row>
    <row r="100" spans="1:38" ht="12.75" customHeight="1">
      <c r="A100" s="80"/>
      <c r="B100" s="43">
        <v>43</v>
      </c>
      <c r="C100" s="708"/>
      <c r="D100" s="588"/>
      <c r="E100" s="379"/>
      <c r="F100" s="34"/>
      <c r="G100" s="34"/>
      <c r="H100" s="34"/>
      <c r="I100" s="34"/>
      <c r="J100" s="34"/>
      <c r="K100" s="34"/>
      <c r="L100" s="34"/>
      <c r="M100" s="34"/>
      <c r="N100" s="34"/>
      <c r="O100" s="34"/>
      <c r="P100" s="34"/>
      <c r="Q100" s="34"/>
      <c r="R100" s="34"/>
      <c r="S100" s="141"/>
      <c r="T100" s="80"/>
      <c r="U100" s="43">
        <v>43</v>
      </c>
      <c r="V100" s="708"/>
      <c r="W100" s="588"/>
      <c r="X100" s="379"/>
      <c r="Y100" s="34"/>
      <c r="Z100" s="34"/>
      <c r="AA100" s="34"/>
      <c r="AB100" s="34"/>
      <c r="AC100" s="34"/>
      <c r="AD100" s="34"/>
      <c r="AE100" s="34"/>
      <c r="AF100" s="34"/>
      <c r="AG100" s="34"/>
      <c r="AH100" s="34"/>
      <c r="AI100" s="34"/>
      <c r="AJ100" s="34"/>
      <c r="AK100" s="34"/>
      <c r="AL100" s="141"/>
    </row>
    <row r="101" spans="1:38" ht="12.75" customHeight="1">
      <c r="A101" s="80"/>
      <c r="B101" s="43">
        <v>44</v>
      </c>
      <c r="C101" s="708"/>
      <c r="D101" s="588"/>
      <c r="E101" s="379"/>
      <c r="F101" s="34"/>
      <c r="G101" s="34"/>
      <c r="H101" s="34"/>
      <c r="I101" s="34"/>
      <c r="J101" s="34"/>
      <c r="K101" s="34"/>
      <c r="L101" s="34"/>
      <c r="M101" s="34"/>
      <c r="N101" s="34"/>
      <c r="O101" s="34"/>
      <c r="P101" s="34"/>
      <c r="Q101" s="34"/>
      <c r="R101" s="34"/>
      <c r="S101" s="141"/>
      <c r="T101" s="80"/>
      <c r="U101" s="43">
        <v>44</v>
      </c>
      <c r="V101" s="708"/>
      <c r="W101" s="588"/>
      <c r="X101" s="379"/>
      <c r="Y101" s="34"/>
      <c r="Z101" s="34"/>
      <c r="AA101" s="34"/>
      <c r="AB101" s="34"/>
      <c r="AC101" s="34"/>
      <c r="AD101" s="34"/>
      <c r="AE101" s="34"/>
      <c r="AF101" s="34"/>
      <c r="AG101" s="34"/>
      <c r="AH101" s="34"/>
      <c r="AI101" s="34"/>
      <c r="AJ101" s="34"/>
      <c r="AK101" s="34"/>
      <c r="AL101" s="141"/>
    </row>
    <row r="102" spans="1:38" ht="12.75" customHeight="1">
      <c r="A102" s="80"/>
      <c r="B102" s="43">
        <v>45</v>
      </c>
      <c r="C102" s="708"/>
      <c r="D102" s="588"/>
      <c r="E102" s="379"/>
      <c r="F102" s="34"/>
      <c r="G102" s="34"/>
      <c r="H102" s="34"/>
      <c r="I102" s="34"/>
      <c r="J102" s="34"/>
      <c r="K102" s="34"/>
      <c r="L102" s="34"/>
      <c r="M102" s="34"/>
      <c r="N102" s="34"/>
      <c r="O102" s="34"/>
      <c r="P102" s="34"/>
      <c r="Q102" s="34"/>
      <c r="R102" s="34"/>
      <c r="S102" s="141"/>
      <c r="T102" s="80"/>
      <c r="U102" s="43">
        <v>45</v>
      </c>
      <c r="V102" s="708"/>
      <c r="W102" s="588"/>
      <c r="X102" s="379"/>
      <c r="Y102" s="34"/>
      <c r="Z102" s="34"/>
      <c r="AA102" s="34"/>
      <c r="AB102" s="34"/>
      <c r="AC102" s="34"/>
      <c r="AD102" s="34"/>
      <c r="AE102" s="34"/>
      <c r="AF102" s="34"/>
      <c r="AG102" s="34"/>
      <c r="AH102" s="34"/>
      <c r="AI102" s="34"/>
      <c r="AJ102" s="34"/>
      <c r="AK102" s="34"/>
      <c r="AL102" s="141"/>
    </row>
    <row r="103" spans="1:38" ht="12.75" customHeight="1">
      <c r="A103" s="80"/>
      <c r="B103" s="43">
        <v>46</v>
      </c>
      <c r="C103" s="708"/>
      <c r="D103" s="588"/>
      <c r="E103" s="379"/>
      <c r="F103" s="34"/>
      <c r="G103" s="34"/>
      <c r="H103" s="34"/>
      <c r="I103" s="34"/>
      <c r="J103" s="34"/>
      <c r="K103" s="34"/>
      <c r="L103" s="34"/>
      <c r="M103" s="34"/>
      <c r="N103" s="34"/>
      <c r="O103" s="34"/>
      <c r="P103" s="34"/>
      <c r="Q103" s="34"/>
      <c r="R103" s="34"/>
      <c r="S103" s="141"/>
      <c r="T103" s="80"/>
      <c r="U103" s="43">
        <v>46</v>
      </c>
      <c r="V103" s="708"/>
      <c r="W103" s="588"/>
      <c r="X103" s="379"/>
      <c r="Y103" s="34"/>
      <c r="Z103" s="34"/>
      <c r="AA103" s="34"/>
      <c r="AB103" s="34"/>
      <c r="AC103" s="34"/>
      <c r="AD103" s="34"/>
      <c r="AE103" s="34"/>
      <c r="AF103" s="34"/>
      <c r="AG103" s="34"/>
      <c r="AH103" s="34"/>
      <c r="AI103" s="34"/>
      <c r="AJ103" s="34"/>
      <c r="AK103" s="34"/>
      <c r="AL103" s="141"/>
    </row>
    <row r="104" spans="1:38" ht="12.75" customHeight="1">
      <c r="A104" s="80"/>
      <c r="B104" s="43">
        <v>47</v>
      </c>
      <c r="C104" s="708"/>
      <c r="D104" s="588"/>
      <c r="E104" s="379"/>
      <c r="F104" s="34"/>
      <c r="G104" s="34"/>
      <c r="H104" s="34"/>
      <c r="I104" s="34"/>
      <c r="J104" s="34"/>
      <c r="K104" s="34"/>
      <c r="L104" s="34"/>
      <c r="M104" s="34"/>
      <c r="N104" s="34"/>
      <c r="O104" s="34"/>
      <c r="P104" s="34"/>
      <c r="Q104" s="34"/>
      <c r="R104" s="34"/>
      <c r="S104" s="141"/>
      <c r="T104" s="80"/>
      <c r="U104" s="43">
        <v>47</v>
      </c>
      <c r="V104" s="708"/>
      <c r="W104" s="588"/>
      <c r="X104" s="379"/>
      <c r="Y104" s="34"/>
      <c r="Z104" s="34"/>
      <c r="AA104" s="34"/>
      <c r="AB104" s="34"/>
      <c r="AC104" s="34"/>
      <c r="AD104" s="34"/>
      <c r="AE104" s="34"/>
      <c r="AF104" s="34"/>
      <c r="AG104" s="34"/>
      <c r="AH104" s="34"/>
      <c r="AI104" s="34"/>
      <c r="AJ104" s="34"/>
      <c r="AK104" s="34"/>
      <c r="AL104" s="141"/>
    </row>
    <row r="105" spans="1:38" ht="12.75" customHeight="1">
      <c r="A105" s="80"/>
      <c r="B105" s="43">
        <v>48</v>
      </c>
      <c r="C105" s="708"/>
      <c r="D105" s="588"/>
      <c r="E105" s="379"/>
      <c r="F105" s="34"/>
      <c r="G105" s="34"/>
      <c r="H105" s="34"/>
      <c r="I105" s="34"/>
      <c r="J105" s="34"/>
      <c r="K105" s="34"/>
      <c r="L105" s="34"/>
      <c r="M105" s="34"/>
      <c r="N105" s="34"/>
      <c r="O105" s="34"/>
      <c r="P105" s="34"/>
      <c r="Q105" s="34"/>
      <c r="R105" s="34"/>
      <c r="S105" s="141"/>
      <c r="T105" s="80"/>
      <c r="U105" s="43">
        <v>48</v>
      </c>
      <c r="V105" s="708"/>
      <c r="W105" s="588"/>
      <c r="X105" s="379"/>
      <c r="Y105" s="34"/>
      <c r="Z105" s="34"/>
      <c r="AA105" s="34"/>
      <c r="AB105" s="34"/>
      <c r="AC105" s="34"/>
      <c r="AD105" s="34"/>
      <c r="AE105" s="34"/>
      <c r="AF105" s="34"/>
      <c r="AG105" s="34"/>
      <c r="AH105" s="34"/>
      <c r="AI105" s="34"/>
      <c r="AJ105" s="34"/>
      <c r="AK105" s="34"/>
      <c r="AL105" s="141"/>
    </row>
    <row r="106" spans="1:38" ht="12.75" customHeight="1">
      <c r="A106" s="80"/>
      <c r="B106" s="43">
        <v>49</v>
      </c>
      <c r="C106" s="708"/>
      <c r="D106" s="588"/>
      <c r="E106" s="379"/>
      <c r="F106" s="34"/>
      <c r="G106" s="34"/>
      <c r="H106" s="34"/>
      <c r="I106" s="34"/>
      <c r="J106" s="34"/>
      <c r="K106" s="34"/>
      <c r="L106" s="34"/>
      <c r="M106" s="34"/>
      <c r="N106" s="34"/>
      <c r="O106" s="34"/>
      <c r="P106" s="34"/>
      <c r="Q106" s="34"/>
      <c r="R106" s="34"/>
      <c r="S106" s="141"/>
      <c r="T106" s="80"/>
      <c r="U106" s="43">
        <v>49</v>
      </c>
      <c r="V106" s="708"/>
      <c r="W106" s="588"/>
      <c r="X106" s="379"/>
      <c r="Y106" s="34"/>
      <c r="Z106" s="34"/>
      <c r="AA106" s="34"/>
      <c r="AB106" s="34"/>
      <c r="AC106" s="34"/>
      <c r="AD106" s="34"/>
      <c r="AE106" s="34"/>
      <c r="AF106" s="34"/>
      <c r="AG106" s="34"/>
      <c r="AH106" s="34"/>
      <c r="AI106" s="34"/>
      <c r="AJ106" s="34"/>
      <c r="AK106" s="34"/>
      <c r="AL106" s="141"/>
    </row>
    <row r="107" spans="1:38" ht="12.75" customHeight="1">
      <c r="A107" s="80"/>
      <c r="B107" s="43">
        <v>50</v>
      </c>
      <c r="C107" s="708"/>
      <c r="D107" s="588"/>
      <c r="E107" s="379"/>
      <c r="F107" s="34"/>
      <c r="G107" s="34"/>
      <c r="H107" s="34"/>
      <c r="I107" s="34"/>
      <c r="J107" s="34"/>
      <c r="K107" s="34"/>
      <c r="L107" s="34"/>
      <c r="M107" s="34"/>
      <c r="N107" s="34"/>
      <c r="O107" s="34"/>
      <c r="P107" s="34"/>
      <c r="Q107" s="34"/>
      <c r="R107" s="34"/>
      <c r="S107" s="141"/>
      <c r="T107" s="80"/>
      <c r="U107" s="43">
        <v>50</v>
      </c>
      <c r="V107" s="708"/>
      <c r="W107" s="588"/>
      <c r="X107" s="379"/>
      <c r="Y107" s="34"/>
      <c r="Z107" s="34"/>
      <c r="AA107" s="34"/>
      <c r="AB107" s="34"/>
      <c r="AC107" s="34"/>
      <c r="AD107" s="34"/>
      <c r="AE107" s="34"/>
      <c r="AF107" s="34"/>
      <c r="AG107" s="34"/>
      <c r="AH107" s="34"/>
      <c r="AI107" s="34"/>
      <c r="AJ107" s="34"/>
      <c r="AK107" s="34"/>
      <c r="AL107" s="141"/>
    </row>
    <row r="108" spans="1:38" ht="12.75" customHeight="1">
      <c r="A108" s="80"/>
      <c r="B108" s="43">
        <v>51</v>
      </c>
      <c r="C108" s="708"/>
      <c r="D108" s="588"/>
      <c r="E108" s="379"/>
      <c r="F108" s="34"/>
      <c r="G108" s="34"/>
      <c r="H108" s="34"/>
      <c r="I108" s="34"/>
      <c r="J108" s="34"/>
      <c r="K108" s="34"/>
      <c r="L108" s="34"/>
      <c r="M108" s="34"/>
      <c r="N108" s="34"/>
      <c r="O108" s="34"/>
      <c r="P108" s="34"/>
      <c r="Q108" s="34"/>
      <c r="R108" s="34"/>
      <c r="S108" s="141"/>
      <c r="T108" s="80"/>
      <c r="U108" s="43">
        <v>51</v>
      </c>
      <c r="V108" s="708"/>
      <c r="W108" s="588"/>
      <c r="X108" s="379"/>
      <c r="Y108" s="34"/>
      <c r="Z108" s="34"/>
      <c r="AA108" s="34"/>
      <c r="AB108" s="34"/>
      <c r="AC108" s="34"/>
      <c r="AD108" s="34"/>
      <c r="AE108" s="34"/>
      <c r="AF108" s="34"/>
      <c r="AG108" s="34"/>
      <c r="AH108" s="34"/>
      <c r="AI108" s="34"/>
      <c r="AJ108" s="34"/>
      <c r="AK108" s="34"/>
      <c r="AL108" s="141"/>
    </row>
    <row r="109" spans="1:38" ht="12.75" customHeight="1">
      <c r="A109" s="80"/>
      <c r="B109" s="43">
        <v>52</v>
      </c>
      <c r="C109" s="708"/>
      <c r="D109" s="588"/>
      <c r="E109" s="379"/>
      <c r="F109" s="34"/>
      <c r="G109" s="34"/>
      <c r="H109" s="34"/>
      <c r="I109" s="34"/>
      <c r="J109" s="34"/>
      <c r="K109" s="34"/>
      <c r="L109" s="34"/>
      <c r="M109" s="34"/>
      <c r="N109" s="34"/>
      <c r="O109" s="34"/>
      <c r="P109" s="34"/>
      <c r="Q109" s="34"/>
      <c r="R109" s="34"/>
      <c r="S109" s="141"/>
      <c r="T109" s="80"/>
      <c r="U109" s="43">
        <v>52</v>
      </c>
      <c r="V109" s="708"/>
      <c r="W109" s="588"/>
      <c r="X109" s="379"/>
      <c r="Y109" s="34"/>
      <c r="Z109" s="34"/>
      <c r="AA109" s="34"/>
      <c r="AB109" s="34"/>
      <c r="AC109" s="34"/>
      <c r="AD109" s="34"/>
      <c r="AE109" s="34"/>
      <c r="AF109" s="34"/>
      <c r="AG109" s="34"/>
      <c r="AH109" s="34"/>
      <c r="AI109" s="34"/>
      <c r="AJ109" s="34"/>
      <c r="AK109" s="34"/>
      <c r="AL109" s="141"/>
    </row>
    <row r="110" spans="1:38" ht="12.75" customHeight="1">
      <c r="A110" s="80"/>
      <c r="B110" s="43">
        <v>53</v>
      </c>
      <c r="C110" s="708"/>
      <c r="D110" s="588"/>
      <c r="E110" s="379"/>
      <c r="F110" s="34"/>
      <c r="G110" s="34"/>
      <c r="H110" s="34"/>
      <c r="I110" s="34"/>
      <c r="J110" s="34"/>
      <c r="K110" s="34"/>
      <c r="L110" s="34"/>
      <c r="M110" s="34"/>
      <c r="N110" s="34"/>
      <c r="O110" s="34"/>
      <c r="P110" s="34"/>
      <c r="Q110" s="34"/>
      <c r="R110" s="34"/>
      <c r="S110" s="141"/>
      <c r="T110" s="80"/>
      <c r="U110" s="43">
        <v>53</v>
      </c>
      <c r="V110" s="708"/>
      <c r="W110" s="588"/>
      <c r="X110" s="379"/>
      <c r="Y110" s="34"/>
      <c r="Z110" s="34"/>
      <c r="AA110" s="34"/>
      <c r="AB110" s="34"/>
      <c r="AC110" s="34"/>
      <c r="AD110" s="34"/>
      <c r="AE110" s="34"/>
      <c r="AF110" s="34"/>
      <c r="AG110" s="34"/>
      <c r="AH110" s="34"/>
      <c r="AI110" s="34"/>
      <c r="AJ110" s="34"/>
      <c r="AK110" s="34"/>
      <c r="AL110" s="141"/>
    </row>
    <row r="111" spans="1:38" ht="12.75" customHeight="1">
      <c r="A111" s="80"/>
      <c r="B111" s="43">
        <v>54</v>
      </c>
      <c r="C111" s="708"/>
      <c r="D111" s="588"/>
      <c r="E111" s="379"/>
      <c r="F111" s="34"/>
      <c r="G111" s="34"/>
      <c r="H111" s="34"/>
      <c r="I111" s="34"/>
      <c r="J111" s="34"/>
      <c r="K111" s="34"/>
      <c r="L111" s="34"/>
      <c r="M111" s="34"/>
      <c r="N111" s="34"/>
      <c r="O111" s="34"/>
      <c r="P111" s="34"/>
      <c r="Q111" s="34"/>
      <c r="R111" s="34"/>
      <c r="S111" s="141"/>
      <c r="T111" s="80"/>
      <c r="U111" s="43">
        <v>54</v>
      </c>
      <c r="V111" s="708"/>
      <c r="W111" s="588"/>
      <c r="X111" s="379"/>
      <c r="Y111" s="34"/>
      <c r="Z111" s="34"/>
      <c r="AA111" s="34"/>
      <c r="AB111" s="34"/>
      <c r="AC111" s="34"/>
      <c r="AD111" s="34"/>
      <c r="AE111" s="34"/>
      <c r="AF111" s="34"/>
      <c r="AG111" s="34"/>
      <c r="AH111" s="34"/>
      <c r="AI111" s="34"/>
      <c r="AJ111" s="34"/>
      <c r="AK111" s="34"/>
      <c r="AL111" s="141"/>
    </row>
    <row r="112" spans="1:38" ht="12.75" customHeight="1">
      <c r="A112" s="80"/>
      <c r="B112" s="43">
        <v>55</v>
      </c>
      <c r="C112" s="708"/>
      <c r="D112" s="588"/>
      <c r="E112" s="379"/>
      <c r="F112" s="34"/>
      <c r="G112" s="34"/>
      <c r="H112" s="34"/>
      <c r="I112" s="34"/>
      <c r="J112" s="34"/>
      <c r="K112" s="34"/>
      <c r="L112" s="34"/>
      <c r="M112" s="34"/>
      <c r="N112" s="34"/>
      <c r="O112" s="34"/>
      <c r="P112" s="34"/>
      <c r="Q112" s="34"/>
      <c r="R112" s="34"/>
      <c r="S112" s="141"/>
      <c r="T112" s="80"/>
      <c r="U112" s="43">
        <v>55</v>
      </c>
      <c r="V112" s="708"/>
      <c r="W112" s="588"/>
      <c r="X112" s="379"/>
      <c r="Y112" s="34"/>
      <c r="Z112" s="34"/>
      <c r="AA112" s="34"/>
      <c r="AB112" s="34"/>
      <c r="AC112" s="34"/>
      <c r="AD112" s="34"/>
      <c r="AE112" s="34"/>
      <c r="AF112" s="34"/>
      <c r="AG112" s="34"/>
      <c r="AH112" s="34"/>
      <c r="AI112" s="34"/>
      <c r="AJ112" s="34"/>
      <c r="AK112" s="34"/>
      <c r="AL112" s="141"/>
    </row>
    <row r="113" spans="1:38" ht="12.75" customHeight="1">
      <c r="A113" s="80"/>
      <c r="B113" s="43">
        <v>56</v>
      </c>
      <c r="C113" s="708"/>
      <c r="D113" s="588"/>
      <c r="E113" s="379"/>
      <c r="F113" s="34"/>
      <c r="G113" s="34"/>
      <c r="H113" s="34"/>
      <c r="I113" s="34"/>
      <c r="J113" s="34"/>
      <c r="K113" s="34"/>
      <c r="L113" s="34"/>
      <c r="M113" s="34"/>
      <c r="N113" s="34"/>
      <c r="O113" s="34"/>
      <c r="P113" s="34"/>
      <c r="Q113" s="34"/>
      <c r="R113" s="34"/>
      <c r="S113" s="141"/>
      <c r="T113" s="80"/>
      <c r="U113" s="43">
        <v>56</v>
      </c>
      <c r="V113" s="708"/>
      <c r="W113" s="588"/>
      <c r="X113" s="379"/>
      <c r="Y113" s="34"/>
      <c r="Z113" s="34"/>
      <c r="AA113" s="34"/>
      <c r="AB113" s="34"/>
      <c r="AC113" s="34"/>
      <c r="AD113" s="34"/>
      <c r="AE113" s="34"/>
      <c r="AF113" s="34"/>
      <c r="AG113" s="34"/>
      <c r="AH113" s="34"/>
      <c r="AI113" s="34"/>
      <c r="AJ113" s="34"/>
      <c r="AK113" s="34"/>
      <c r="AL113" s="141"/>
    </row>
    <row r="114" spans="1:38" ht="12.75" customHeight="1">
      <c r="A114" s="80"/>
      <c r="B114" s="43">
        <v>57</v>
      </c>
      <c r="C114" s="708"/>
      <c r="D114" s="588"/>
      <c r="E114" s="379"/>
      <c r="F114" s="34"/>
      <c r="G114" s="34"/>
      <c r="H114" s="34"/>
      <c r="I114" s="34"/>
      <c r="J114" s="34"/>
      <c r="K114" s="34"/>
      <c r="L114" s="34"/>
      <c r="M114" s="34"/>
      <c r="N114" s="34"/>
      <c r="O114" s="34"/>
      <c r="P114" s="34"/>
      <c r="Q114" s="34"/>
      <c r="R114" s="34"/>
      <c r="S114" s="141"/>
      <c r="T114" s="80"/>
      <c r="U114" s="43">
        <v>57</v>
      </c>
      <c r="V114" s="708"/>
      <c r="W114" s="588"/>
      <c r="X114" s="379"/>
      <c r="Y114" s="34"/>
      <c r="Z114" s="34"/>
      <c r="AA114" s="34"/>
      <c r="AB114" s="34"/>
      <c r="AC114" s="34"/>
      <c r="AD114" s="34"/>
      <c r="AE114" s="34"/>
      <c r="AF114" s="34"/>
      <c r="AG114" s="34"/>
      <c r="AH114" s="34"/>
      <c r="AI114" s="34"/>
      <c r="AJ114" s="34"/>
      <c r="AK114" s="34"/>
      <c r="AL114" s="141"/>
    </row>
    <row r="115" spans="1:38" ht="12.75" customHeight="1">
      <c r="A115" s="80"/>
      <c r="B115" s="43">
        <v>58</v>
      </c>
      <c r="C115" s="708"/>
      <c r="D115" s="588"/>
      <c r="E115" s="379"/>
      <c r="F115" s="34"/>
      <c r="G115" s="34"/>
      <c r="H115" s="34"/>
      <c r="I115" s="34"/>
      <c r="J115" s="34"/>
      <c r="K115" s="34"/>
      <c r="L115" s="34"/>
      <c r="M115" s="34"/>
      <c r="N115" s="34"/>
      <c r="O115" s="34"/>
      <c r="P115" s="34"/>
      <c r="Q115" s="34"/>
      <c r="R115" s="34"/>
      <c r="S115" s="141"/>
      <c r="T115" s="80"/>
      <c r="U115" s="43">
        <v>58</v>
      </c>
      <c r="V115" s="708"/>
      <c r="W115" s="588"/>
      <c r="X115" s="379"/>
      <c r="Y115" s="34"/>
      <c r="Z115" s="34"/>
      <c r="AA115" s="34"/>
      <c r="AB115" s="34"/>
      <c r="AC115" s="34"/>
      <c r="AD115" s="34"/>
      <c r="AE115" s="34"/>
      <c r="AF115" s="34"/>
      <c r="AG115" s="34"/>
      <c r="AH115" s="34"/>
      <c r="AI115" s="34"/>
      <c r="AJ115" s="34"/>
      <c r="AK115" s="34"/>
      <c r="AL115" s="141"/>
    </row>
    <row r="116" spans="1:38" ht="12.75" customHeight="1">
      <c r="A116" s="80"/>
      <c r="B116" s="43">
        <v>59</v>
      </c>
      <c r="C116" s="708"/>
      <c r="D116" s="588"/>
      <c r="E116" s="379"/>
      <c r="F116" s="34"/>
      <c r="G116" s="34"/>
      <c r="H116" s="34"/>
      <c r="I116" s="34"/>
      <c r="J116" s="34"/>
      <c r="K116" s="34"/>
      <c r="L116" s="34"/>
      <c r="M116" s="34"/>
      <c r="N116" s="34"/>
      <c r="O116" s="34"/>
      <c r="P116" s="34"/>
      <c r="Q116" s="34"/>
      <c r="R116" s="34"/>
      <c r="S116" s="141"/>
      <c r="T116" s="80"/>
      <c r="U116" s="43">
        <v>59</v>
      </c>
      <c r="V116" s="708"/>
      <c r="W116" s="588"/>
      <c r="X116" s="379"/>
      <c r="Y116" s="34"/>
      <c r="Z116" s="34"/>
      <c r="AA116" s="34"/>
      <c r="AB116" s="34"/>
      <c r="AC116" s="34"/>
      <c r="AD116" s="34"/>
      <c r="AE116" s="34"/>
      <c r="AF116" s="34"/>
      <c r="AG116" s="34"/>
      <c r="AH116" s="34"/>
      <c r="AI116" s="34"/>
      <c r="AJ116" s="34"/>
      <c r="AK116" s="34"/>
      <c r="AL116" s="141"/>
    </row>
    <row r="117" spans="1:38" ht="12.75" customHeight="1">
      <c r="A117" s="80"/>
      <c r="B117" s="43">
        <v>60</v>
      </c>
      <c r="C117" s="708"/>
      <c r="D117" s="588"/>
      <c r="E117" s="379"/>
      <c r="F117" s="34"/>
      <c r="G117" s="34"/>
      <c r="H117" s="34"/>
      <c r="I117" s="34"/>
      <c r="J117" s="34"/>
      <c r="K117" s="34"/>
      <c r="L117" s="34"/>
      <c r="M117" s="34"/>
      <c r="N117" s="34"/>
      <c r="O117" s="34"/>
      <c r="P117" s="34"/>
      <c r="Q117" s="34"/>
      <c r="R117" s="34"/>
      <c r="S117" s="141"/>
      <c r="T117" s="80"/>
      <c r="U117" s="43">
        <v>60</v>
      </c>
      <c r="V117" s="708"/>
      <c r="W117" s="588"/>
      <c r="X117" s="379"/>
      <c r="Y117" s="34"/>
      <c r="Z117" s="34"/>
      <c r="AA117" s="34"/>
      <c r="AB117" s="34"/>
      <c r="AC117" s="34"/>
      <c r="AD117" s="34"/>
      <c r="AE117" s="34"/>
      <c r="AF117" s="34"/>
      <c r="AG117" s="34"/>
      <c r="AH117" s="34"/>
      <c r="AI117" s="34"/>
      <c r="AJ117" s="34"/>
      <c r="AK117" s="34"/>
      <c r="AL117" s="141"/>
    </row>
    <row r="118" spans="1:38" ht="12.75" customHeight="1">
      <c r="A118" s="80"/>
      <c r="B118" s="43">
        <v>61</v>
      </c>
      <c r="C118" s="708"/>
      <c r="D118" s="588"/>
      <c r="E118" s="379"/>
      <c r="F118" s="34"/>
      <c r="G118" s="34"/>
      <c r="H118" s="34"/>
      <c r="I118" s="34"/>
      <c r="J118" s="34"/>
      <c r="K118" s="34"/>
      <c r="L118" s="34"/>
      <c r="M118" s="34"/>
      <c r="N118" s="34"/>
      <c r="O118" s="34"/>
      <c r="P118" s="34"/>
      <c r="Q118" s="34"/>
      <c r="R118" s="34"/>
      <c r="S118" s="141"/>
      <c r="T118" s="80"/>
      <c r="U118" s="43">
        <v>61</v>
      </c>
      <c r="V118" s="708"/>
      <c r="W118" s="588"/>
      <c r="X118" s="379"/>
      <c r="Y118" s="34"/>
      <c r="Z118" s="34"/>
      <c r="AA118" s="34"/>
      <c r="AB118" s="34"/>
      <c r="AC118" s="34"/>
      <c r="AD118" s="34"/>
      <c r="AE118" s="34"/>
      <c r="AF118" s="34"/>
      <c r="AG118" s="34"/>
      <c r="AH118" s="34"/>
      <c r="AI118" s="34"/>
      <c r="AJ118" s="34"/>
      <c r="AK118" s="34"/>
      <c r="AL118" s="141"/>
    </row>
    <row r="119" spans="1:38" ht="12.75" customHeight="1">
      <c r="A119" s="80"/>
      <c r="B119" s="43">
        <v>62</v>
      </c>
      <c r="C119" s="708"/>
      <c r="D119" s="588"/>
      <c r="E119" s="379"/>
      <c r="F119" s="34"/>
      <c r="G119" s="34"/>
      <c r="H119" s="34"/>
      <c r="I119" s="34"/>
      <c r="J119" s="34"/>
      <c r="K119" s="34"/>
      <c r="L119" s="34"/>
      <c r="M119" s="34"/>
      <c r="N119" s="34"/>
      <c r="O119" s="34"/>
      <c r="P119" s="34"/>
      <c r="Q119" s="34"/>
      <c r="R119" s="34"/>
      <c r="S119" s="141"/>
      <c r="T119" s="80"/>
      <c r="U119" s="43">
        <v>62</v>
      </c>
      <c r="V119" s="708"/>
      <c r="W119" s="588"/>
      <c r="X119" s="379"/>
      <c r="Y119" s="34"/>
      <c r="Z119" s="34"/>
      <c r="AA119" s="34"/>
      <c r="AB119" s="34"/>
      <c r="AC119" s="34"/>
      <c r="AD119" s="34"/>
      <c r="AE119" s="34"/>
      <c r="AF119" s="34"/>
      <c r="AG119" s="34"/>
      <c r="AH119" s="34"/>
      <c r="AI119" s="34"/>
      <c r="AJ119" s="34"/>
      <c r="AK119" s="34"/>
      <c r="AL119" s="141"/>
    </row>
    <row r="120" spans="1:38" ht="12.75" customHeight="1">
      <c r="A120" s="80"/>
      <c r="B120" s="43">
        <v>63</v>
      </c>
      <c r="C120" s="708"/>
      <c r="D120" s="588"/>
      <c r="E120" s="379"/>
      <c r="F120" s="34"/>
      <c r="G120" s="34"/>
      <c r="H120" s="34"/>
      <c r="I120" s="34"/>
      <c r="J120" s="34"/>
      <c r="K120" s="34"/>
      <c r="L120" s="34"/>
      <c r="M120" s="34"/>
      <c r="N120" s="34"/>
      <c r="O120" s="34"/>
      <c r="P120" s="34"/>
      <c r="Q120" s="34"/>
      <c r="R120" s="34"/>
      <c r="S120" s="141"/>
      <c r="T120" s="80"/>
      <c r="U120" s="43">
        <v>63</v>
      </c>
      <c r="V120" s="708"/>
      <c r="W120" s="588"/>
      <c r="X120" s="379"/>
      <c r="Y120" s="34"/>
      <c r="Z120" s="34"/>
      <c r="AA120" s="34"/>
      <c r="AB120" s="34"/>
      <c r="AC120" s="34"/>
      <c r="AD120" s="34"/>
      <c r="AE120" s="34"/>
      <c r="AF120" s="34"/>
      <c r="AG120" s="34"/>
      <c r="AH120" s="34"/>
      <c r="AI120" s="34"/>
      <c r="AJ120" s="34"/>
      <c r="AK120" s="34"/>
      <c r="AL120" s="141"/>
    </row>
    <row r="121" spans="1:38" ht="12.75" customHeight="1">
      <c r="A121" s="80"/>
      <c r="B121" s="43">
        <v>64</v>
      </c>
      <c r="C121" s="708"/>
      <c r="D121" s="588"/>
      <c r="E121" s="379"/>
      <c r="F121" s="34"/>
      <c r="G121" s="34"/>
      <c r="H121" s="34"/>
      <c r="I121" s="34"/>
      <c r="J121" s="34"/>
      <c r="K121" s="34"/>
      <c r="L121" s="34"/>
      <c r="M121" s="34"/>
      <c r="N121" s="34"/>
      <c r="O121" s="34"/>
      <c r="P121" s="34"/>
      <c r="Q121" s="34"/>
      <c r="R121" s="34"/>
      <c r="S121" s="141"/>
      <c r="T121" s="80"/>
      <c r="U121" s="43">
        <v>64</v>
      </c>
      <c r="V121" s="708"/>
      <c r="W121" s="588"/>
      <c r="X121" s="379"/>
      <c r="Y121" s="34"/>
      <c r="Z121" s="34"/>
      <c r="AA121" s="34"/>
      <c r="AB121" s="34"/>
      <c r="AC121" s="34"/>
      <c r="AD121" s="34"/>
      <c r="AE121" s="34"/>
      <c r="AF121" s="34"/>
      <c r="AG121" s="34"/>
      <c r="AH121" s="34"/>
      <c r="AI121" s="34"/>
      <c r="AJ121" s="34"/>
      <c r="AK121" s="34"/>
      <c r="AL121" s="141"/>
    </row>
    <row r="122" spans="1:38" ht="12.75" customHeight="1">
      <c r="A122" s="80"/>
      <c r="B122" s="43">
        <v>65</v>
      </c>
      <c r="C122" s="708"/>
      <c r="D122" s="588"/>
      <c r="E122" s="379"/>
      <c r="F122" s="34"/>
      <c r="G122" s="34"/>
      <c r="H122" s="34"/>
      <c r="I122" s="34"/>
      <c r="J122" s="34"/>
      <c r="K122" s="34"/>
      <c r="L122" s="34"/>
      <c r="M122" s="34"/>
      <c r="N122" s="34"/>
      <c r="O122" s="34"/>
      <c r="P122" s="34"/>
      <c r="Q122" s="34"/>
      <c r="R122" s="34"/>
      <c r="S122" s="141"/>
      <c r="T122" s="80"/>
      <c r="U122" s="43">
        <v>65</v>
      </c>
      <c r="V122" s="708"/>
      <c r="W122" s="588"/>
      <c r="X122" s="379"/>
      <c r="Y122" s="34"/>
      <c r="Z122" s="34"/>
      <c r="AA122" s="34"/>
      <c r="AB122" s="34"/>
      <c r="AC122" s="34"/>
      <c r="AD122" s="34"/>
      <c r="AE122" s="34"/>
      <c r="AF122" s="34"/>
      <c r="AG122" s="34"/>
      <c r="AH122" s="34"/>
      <c r="AI122" s="34"/>
      <c r="AJ122" s="34"/>
      <c r="AK122" s="34"/>
      <c r="AL122" s="141"/>
    </row>
    <row r="123" spans="1:38" ht="12.75" customHeight="1">
      <c r="A123" s="80"/>
      <c r="B123" s="43">
        <v>66</v>
      </c>
      <c r="C123" s="708"/>
      <c r="D123" s="588"/>
      <c r="E123" s="379"/>
      <c r="F123" s="34"/>
      <c r="G123" s="34"/>
      <c r="H123" s="34"/>
      <c r="I123" s="34"/>
      <c r="J123" s="34"/>
      <c r="K123" s="34"/>
      <c r="L123" s="34"/>
      <c r="M123" s="34"/>
      <c r="N123" s="34"/>
      <c r="O123" s="34"/>
      <c r="P123" s="34"/>
      <c r="Q123" s="34"/>
      <c r="R123" s="34"/>
      <c r="S123" s="141"/>
      <c r="T123" s="80"/>
      <c r="U123" s="43">
        <v>66</v>
      </c>
      <c r="V123" s="708"/>
      <c r="W123" s="588"/>
      <c r="X123" s="379"/>
      <c r="Y123" s="34"/>
      <c r="Z123" s="34"/>
      <c r="AA123" s="34"/>
      <c r="AB123" s="34"/>
      <c r="AC123" s="34"/>
      <c r="AD123" s="34"/>
      <c r="AE123" s="34"/>
      <c r="AF123" s="34"/>
      <c r="AG123" s="34"/>
      <c r="AH123" s="34"/>
      <c r="AI123" s="34"/>
      <c r="AJ123" s="34"/>
      <c r="AK123" s="34"/>
      <c r="AL123" s="141"/>
    </row>
    <row r="124" spans="1:38" ht="12.75" customHeight="1">
      <c r="A124" s="80"/>
      <c r="B124" s="43">
        <v>67</v>
      </c>
      <c r="C124" s="708"/>
      <c r="D124" s="588"/>
      <c r="E124" s="379"/>
      <c r="F124" s="34"/>
      <c r="G124" s="34"/>
      <c r="H124" s="34"/>
      <c r="I124" s="34"/>
      <c r="J124" s="34"/>
      <c r="K124" s="34"/>
      <c r="L124" s="34"/>
      <c r="M124" s="34"/>
      <c r="N124" s="34"/>
      <c r="O124" s="34"/>
      <c r="P124" s="34"/>
      <c r="Q124" s="34"/>
      <c r="R124" s="34"/>
      <c r="S124" s="141"/>
      <c r="T124" s="80"/>
      <c r="U124" s="43">
        <v>67</v>
      </c>
      <c r="V124" s="708"/>
      <c r="W124" s="588"/>
      <c r="X124" s="379"/>
      <c r="Y124" s="34"/>
      <c r="Z124" s="34"/>
      <c r="AA124" s="34"/>
      <c r="AB124" s="34"/>
      <c r="AC124" s="34"/>
      <c r="AD124" s="34"/>
      <c r="AE124" s="34"/>
      <c r="AF124" s="34"/>
      <c r="AG124" s="34"/>
      <c r="AH124" s="34"/>
      <c r="AI124" s="34"/>
      <c r="AJ124" s="34"/>
      <c r="AK124" s="34"/>
      <c r="AL124" s="141"/>
    </row>
    <row r="125" spans="1:38" ht="12.75" customHeight="1">
      <c r="A125" s="80"/>
      <c r="B125" s="43">
        <v>68</v>
      </c>
      <c r="C125" s="708"/>
      <c r="D125" s="588"/>
      <c r="E125" s="379"/>
      <c r="F125" s="34"/>
      <c r="G125" s="34"/>
      <c r="H125" s="34"/>
      <c r="I125" s="34"/>
      <c r="J125" s="34"/>
      <c r="K125" s="34"/>
      <c r="L125" s="34"/>
      <c r="M125" s="34"/>
      <c r="N125" s="34"/>
      <c r="O125" s="34"/>
      <c r="P125" s="34"/>
      <c r="Q125" s="34"/>
      <c r="R125" s="34"/>
      <c r="S125" s="141"/>
      <c r="T125" s="80"/>
      <c r="U125" s="43">
        <v>68</v>
      </c>
      <c r="V125" s="708"/>
      <c r="W125" s="588"/>
      <c r="X125" s="379"/>
      <c r="Y125" s="34"/>
      <c r="Z125" s="34"/>
      <c r="AA125" s="34"/>
      <c r="AB125" s="34"/>
      <c r="AC125" s="34"/>
      <c r="AD125" s="34"/>
      <c r="AE125" s="34"/>
      <c r="AF125" s="34"/>
      <c r="AG125" s="34"/>
      <c r="AH125" s="34"/>
      <c r="AI125" s="34"/>
      <c r="AJ125" s="34"/>
      <c r="AK125" s="34"/>
      <c r="AL125" s="141"/>
    </row>
    <row r="126" spans="1:38" ht="12.75" customHeight="1">
      <c r="A126" s="80"/>
      <c r="B126" s="43">
        <v>69</v>
      </c>
      <c r="C126" s="708"/>
      <c r="D126" s="588"/>
      <c r="E126" s="379"/>
      <c r="F126" s="34"/>
      <c r="G126" s="34"/>
      <c r="H126" s="34"/>
      <c r="I126" s="34"/>
      <c r="J126" s="34"/>
      <c r="K126" s="34"/>
      <c r="L126" s="34"/>
      <c r="M126" s="34"/>
      <c r="N126" s="34"/>
      <c r="O126" s="34"/>
      <c r="P126" s="34"/>
      <c r="Q126" s="34"/>
      <c r="R126" s="34"/>
      <c r="S126" s="141"/>
      <c r="T126" s="80"/>
      <c r="U126" s="43">
        <v>69</v>
      </c>
      <c r="V126" s="708"/>
      <c r="W126" s="588"/>
      <c r="X126" s="379"/>
      <c r="Y126" s="34"/>
      <c r="Z126" s="34"/>
      <c r="AA126" s="34"/>
      <c r="AB126" s="34"/>
      <c r="AC126" s="34"/>
      <c r="AD126" s="34"/>
      <c r="AE126" s="34"/>
      <c r="AF126" s="34"/>
      <c r="AG126" s="34"/>
      <c r="AH126" s="34"/>
      <c r="AI126" s="34"/>
      <c r="AJ126" s="34"/>
      <c r="AK126" s="34"/>
      <c r="AL126" s="141"/>
    </row>
    <row r="127" spans="1:38" ht="12.75" customHeight="1">
      <c r="A127" s="80"/>
      <c r="B127" s="43">
        <v>70</v>
      </c>
      <c r="C127" s="708"/>
      <c r="D127" s="588"/>
      <c r="E127" s="379"/>
      <c r="F127" s="34"/>
      <c r="G127" s="34"/>
      <c r="H127" s="34"/>
      <c r="I127" s="34"/>
      <c r="J127" s="34"/>
      <c r="K127" s="34"/>
      <c r="L127" s="34"/>
      <c r="M127" s="34"/>
      <c r="N127" s="34"/>
      <c r="O127" s="34"/>
      <c r="P127" s="34"/>
      <c r="Q127" s="34"/>
      <c r="R127" s="34"/>
      <c r="S127" s="141"/>
      <c r="T127" s="80"/>
      <c r="U127" s="43">
        <v>70</v>
      </c>
      <c r="V127" s="708"/>
      <c r="W127" s="588"/>
      <c r="X127" s="379"/>
      <c r="Y127" s="34"/>
      <c r="Z127" s="34"/>
      <c r="AA127" s="34"/>
      <c r="AB127" s="34"/>
      <c r="AC127" s="34"/>
      <c r="AD127" s="34"/>
      <c r="AE127" s="34"/>
      <c r="AF127" s="34"/>
      <c r="AG127" s="34"/>
      <c r="AH127" s="34"/>
      <c r="AI127" s="34"/>
      <c r="AJ127" s="34"/>
      <c r="AK127" s="34"/>
      <c r="AL127" s="141"/>
    </row>
    <row r="128" spans="1:38" ht="12.75" customHeight="1">
      <c r="A128" s="80"/>
      <c r="B128" s="43">
        <v>71</v>
      </c>
      <c r="C128" s="708"/>
      <c r="D128" s="588"/>
      <c r="E128" s="379"/>
      <c r="F128" s="34"/>
      <c r="G128" s="34"/>
      <c r="H128" s="34"/>
      <c r="I128" s="34"/>
      <c r="J128" s="34"/>
      <c r="K128" s="34"/>
      <c r="L128" s="34"/>
      <c r="M128" s="34"/>
      <c r="N128" s="34"/>
      <c r="O128" s="34"/>
      <c r="P128" s="34"/>
      <c r="Q128" s="34"/>
      <c r="R128" s="34"/>
      <c r="S128" s="141"/>
      <c r="T128" s="80"/>
      <c r="U128" s="43">
        <v>71</v>
      </c>
      <c r="V128" s="708"/>
      <c r="W128" s="588"/>
      <c r="X128" s="379"/>
      <c r="Y128" s="34"/>
      <c r="Z128" s="34"/>
      <c r="AA128" s="34"/>
      <c r="AB128" s="34"/>
      <c r="AC128" s="34"/>
      <c r="AD128" s="34"/>
      <c r="AE128" s="34"/>
      <c r="AF128" s="34"/>
      <c r="AG128" s="34"/>
      <c r="AH128" s="34"/>
      <c r="AI128" s="34"/>
      <c r="AJ128" s="34"/>
      <c r="AK128" s="34"/>
      <c r="AL128" s="141"/>
    </row>
    <row r="129" spans="1:38" ht="12.75" customHeight="1">
      <c r="A129" s="80"/>
      <c r="B129" s="43">
        <v>72</v>
      </c>
      <c r="C129" s="708"/>
      <c r="D129" s="588"/>
      <c r="E129" s="379"/>
      <c r="F129" s="34"/>
      <c r="G129" s="34"/>
      <c r="H129" s="34"/>
      <c r="I129" s="34"/>
      <c r="J129" s="34"/>
      <c r="K129" s="34"/>
      <c r="L129" s="34"/>
      <c r="M129" s="34"/>
      <c r="N129" s="34"/>
      <c r="O129" s="34"/>
      <c r="P129" s="34"/>
      <c r="Q129" s="34"/>
      <c r="R129" s="34"/>
      <c r="S129" s="141"/>
      <c r="T129" s="80"/>
      <c r="U129" s="43">
        <v>72</v>
      </c>
      <c r="V129" s="708"/>
      <c r="W129" s="588"/>
      <c r="X129" s="379"/>
      <c r="Y129" s="34"/>
      <c r="Z129" s="34"/>
      <c r="AA129" s="34"/>
      <c r="AB129" s="34"/>
      <c r="AC129" s="34"/>
      <c r="AD129" s="34"/>
      <c r="AE129" s="34"/>
      <c r="AF129" s="34"/>
      <c r="AG129" s="34"/>
      <c r="AH129" s="34"/>
      <c r="AI129" s="34"/>
      <c r="AJ129" s="34"/>
      <c r="AK129" s="34"/>
      <c r="AL129" s="141"/>
    </row>
    <row r="130" spans="1:38" ht="12.75" customHeight="1">
      <c r="A130" s="80"/>
      <c r="B130" s="43">
        <v>73</v>
      </c>
      <c r="C130" s="708"/>
      <c r="D130" s="588"/>
      <c r="E130" s="379"/>
      <c r="F130" s="34"/>
      <c r="G130" s="34"/>
      <c r="H130" s="34"/>
      <c r="I130" s="34"/>
      <c r="J130" s="34"/>
      <c r="K130" s="34"/>
      <c r="L130" s="34"/>
      <c r="M130" s="34"/>
      <c r="N130" s="34"/>
      <c r="O130" s="34"/>
      <c r="P130" s="34"/>
      <c r="Q130" s="34"/>
      <c r="R130" s="34"/>
      <c r="S130" s="141"/>
      <c r="T130" s="80"/>
      <c r="U130" s="43">
        <v>73</v>
      </c>
      <c r="V130" s="708"/>
      <c r="W130" s="588"/>
      <c r="X130" s="379"/>
      <c r="Y130" s="34"/>
      <c r="Z130" s="34"/>
      <c r="AA130" s="34"/>
      <c r="AB130" s="34"/>
      <c r="AC130" s="34"/>
      <c r="AD130" s="34"/>
      <c r="AE130" s="34"/>
      <c r="AF130" s="34"/>
      <c r="AG130" s="34"/>
      <c r="AH130" s="34"/>
      <c r="AI130" s="34"/>
      <c r="AJ130" s="34"/>
      <c r="AK130" s="34"/>
      <c r="AL130" s="141"/>
    </row>
    <row r="131" spans="1:38" ht="12.75" customHeight="1">
      <c r="A131" s="80"/>
      <c r="B131" s="43">
        <v>74</v>
      </c>
      <c r="C131" s="708"/>
      <c r="D131" s="588"/>
      <c r="E131" s="379"/>
      <c r="F131" s="34"/>
      <c r="G131" s="34"/>
      <c r="H131" s="34"/>
      <c r="I131" s="34"/>
      <c r="J131" s="34"/>
      <c r="K131" s="34"/>
      <c r="L131" s="34"/>
      <c r="M131" s="34"/>
      <c r="N131" s="34"/>
      <c r="O131" s="34"/>
      <c r="P131" s="34"/>
      <c r="Q131" s="34"/>
      <c r="R131" s="34"/>
      <c r="S131" s="141"/>
      <c r="T131" s="80"/>
      <c r="U131" s="43">
        <v>74</v>
      </c>
      <c r="V131" s="708"/>
      <c r="W131" s="588"/>
      <c r="X131" s="379"/>
      <c r="Y131" s="34"/>
      <c r="Z131" s="34"/>
      <c r="AA131" s="34"/>
      <c r="AB131" s="34"/>
      <c r="AC131" s="34"/>
      <c r="AD131" s="34"/>
      <c r="AE131" s="34"/>
      <c r="AF131" s="34"/>
      <c r="AG131" s="34"/>
      <c r="AH131" s="34"/>
      <c r="AI131" s="34"/>
      <c r="AJ131" s="34"/>
      <c r="AK131" s="34"/>
      <c r="AL131" s="141"/>
    </row>
    <row r="132" spans="1:38" ht="12.75" customHeight="1">
      <c r="A132" s="80"/>
      <c r="B132" s="43">
        <v>75</v>
      </c>
      <c r="C132" s="708"/>
      <c r="D132" s="588"/>
      <c r="E132" s="379"/>
      <c r="F132" s="34"/>
      <c r="G132" s="34"/>
      <c r="H132" s="34"/>
      <c r="I132" s="34"/>
      <c r="J132" s="34"/>
      <c r="K132" s="34"/>
      <c r="L132" s="34"/>
      <c r="M132" s="34"/>
      <c r="N132" s="34"/>
      <c r="O132" s="34"/>
      <c r="P132" s="34"/>
      <c r="Q132" s="34"/>
      <c r="R132" s="34"/>
      <c r="S132" s="141"/>
      <c r="T132" s="80"/>
      <c r="U132" s="43">
        <v>75</v>
      </c>
      <c r="V132" s="708"/>
      <c r="W132" s="588"/>
      <c r="X132" s="379"/>
      <c r="Y132" s="34"/>
      <c r="Z132" s="34"/>
      <c r="AA132" s="34"/>
      <c r="AB132" s="34"/>
      <c r="AC132" s="34"/>
      <c r="AD132" s="34"/>
      <c r="AE132" s="34"/>
      <c r="AF132" s="34"/>
      <c r="AG132" s="34"/>
      <c r="AH132" s="34"/>
      <c r="AI132" s="34"/>
      <c r="AJ132" s="34"/>
      <c r="AK132" s="34"/>
      <c r="AL132" s="141"/>
    </row>
    <row r="133" spans="1:38" ht="12.75" customHeight="1">
      <c r="A133" s="80"/>
      <c r="B133" s="43">
        <v>76</v>
      </c>
      <c r="C133" s="708"/>
      <c r="D133" s="588"/>
      <c r="E133" s="379"/>
      <c r="F133" s="34"/>
      <c r="G133" s="34"/>
      <c r="H133" s="34"/>
      <c r="I133" s="34"/>
      <c r="J133" s="34"/>
      <c r="K133" s="34"/>
      <c r="L133" s="34"/>
      <c r="M133" s="34"/>
      <c r="N133" s="34"/>
      <c r="O133" s="34"/>
      <c r="P133" s="34"/>
      <c r="Q133" s="34"/>
      <c r="R133" s="34"/>
      <c r="S133" s="141"/>
      <c r="T133" s="80"/>
      <c r="U133" s="43">
        <v>76</v>
      </c>
      <c r="V133" s="708"/>
      <c r="W133" s="588"/>
      <c r="X133" s="379"/>
      <c r="Y133" s="34"/>
      <c r="Z133" s="34"/>
      <c r="AA133" s="34"/>
      <c r="AB133" s="34"/>
      <c r="AC133" s="34"/>
      <c r="AD133" s="34"/>
      <c r="AE133" s="34"/>
      <c r="AF133" s="34"/>
      <c r="AG133" s="34"/>
      <c r="AH133" s="34"/>
      <c r="AI133" s="34"/>
      <c r="AJ133" s="34"/>
      <c r="AK133" s="34"/>
      <c r="AL133" s="141"/>
    </row>
    <row r="134" spans="1:38" ht="12.75" customHeight="1">
      <c r="A134" s="80"/>
      <c r="B134" s="43">
        <v>77</v>
      </c>
      <c r="C134" s="708"/>
      <c r="D134" s="588"/>
      <c r="E134" s="379"/>
      <c r="F134" s="34"/>
      <c r="G134" s="34"/>
      <c r="H134" s="34"/>
      <c r="I134" s="34"/>
      <c r="J134" s="34"/>
      <c r="K134" s="34"/>
      <c r="L134" s="34"/>
      <c r="M134" s="34"/>
      <c r="N134" s="34"/>
      <c r="O134" s="34"/>
      <c r="P134" s="34"/>
      <c r="Q134" s="34"/>
      <c r="R134" s="34"/>
      <c r="S134" s="141"/>
      <c r="T134" s="80"/>
      <c r="U134" s="43">
        <v>77</v>
      </c>
      <c r="V134" s="708"/>
      <c r="W134" s="588"/>
      <c r="X134" s="379"/>
      <c r="Y134" s="34"/>
      <c r="Z134" s="34"/>
      <c r="AA134" s="34"/>
      <c r="AB134" s="34"/>
      <c r="AC134" s="34"/>
      <c r="AD134" s="34"/>
      <c r="AE134" s="34"/>
      <c r="AF134" s="34"/>
      <c r="AG134" s="34"/>
      <c r="AH134" s="34"/>
      <c r="AI134" s="34"/>
      <c r="AJ134" s="34"/>
      <c r="AK134" s="34"/>
      <c r="AL134" s="141"/>
    </row>
    <row r="135" spans="1:38" ht="12.75" customHeight="1">
      <c r="A135" s="80"/>
      <c r="B135" s="43">
        <v>78</v>
      </c>
      <c r="C135" s="708"/>
      <c r="D135" s="588"/>
      <c r="E135" s="379"/>
      <c r="F135" s="34"/>
      <c r="G135" s="34"/>
      <c r="H135" s="34"/>
      <c r="I135" s="34"/>
      <c r="J135" s="34"/>
      <c r="K135" s="34"/>
      <c r="L135" s="34"/>
      <c r="M135" s="34"/>
      <c r="N135" s="34"/>
      <c r="O135" s="34"/>
      <c r="P135" s="34"/>
      <c r="Q135" s="34"/>
      <c r="R135" s="34"/>
      <c r="S135" s="141"/>
      <c r="T135" s="80"/>
      <c r="U135" s="43">
        <v>78</v>
      </c>
      <c r="V135" s="708"/>
      <c r="W135" s="588"/>
      <c r="X135" s="379"/>
      <c r="Y135" s="34"/>
      <c r="Z135" s="34"/>
      <c r="AA135" s="34"/>
      <c r="AB135" s="34"/>
      <c r="AC135" s="34"/>
      <c r="AD135" s="34"/>
      <c r="AE135" s="34"/>
      <c r="AF135" s="34"/>
      <c r="AG135" s="34"/>
      <c r="AH135" s="34"/>
      <c r="AI135" s="34"/>
      <c r="AJ135" s="34"/>
      <c r="AK135" s="34"/>
      <c r="AL135" s="141"/>
    </row>
    <row r="136" spans="1:38" ht="12.75" customHeight="1">
      <c r="A136" s="80"/>
      <c r="B136" s="43">
        <v>79</v>
      </c>
      <c r="C136" s="708"/>
      <c r="D136" s="588"/>
      <c r="E136" s="379"/>
      <c r="F136" s="34"/>
      <c r="G136" s="34"/>
      <c r="H136" s="34"/>
      <c r="I136" s="34"/>
      <c r="J136" s="34"/>
      <c r="K136" s="34"/>
      <c r="L136" s="34"/>
      <c r="M136" s="34"/>
      <c r="N136" s="34"/>
      <c r="O136" s="34"/>
      <c r="P136" s="34"/>
      <c r="Q136" s="34"/>
      <c r="R136" s="34"/>
      <c r="S136" s="141"/>
      <c r="T136" s="80"/>
      <c r="U136" s="43">
        <v>79</v>
      </c>
      <c r="V136" s="708"/>
      <c r="W136" s="588"/>
      <c r="X136" s="379"/>
      <c r="Y136" s="34"/>
      <c r="Z136" s="34"/>
      <c r="AA136" s="34"/>
      <c r="AB136" s="34"/>
      <c r="AC136" s="34"/>
      <c r="AD136" s="34"/>
      <c r="AE136" s="34"/>
      <c r="AF136" s="34"/>
      <c r="AG136" s="34"/>
      <c r="AH136" s="34"/>
      <c r="AI136" s="34"/>
      <c r="AJ136" s="34"/>
      <c r="AK136" s="34"/>
      <c r="AL136" s="141"/>
    </row>
    <row r="137" spans="1:38" ht="12.75" customHeight="1">
      <c r="A137" s="80"/>
      <c r="B137" s="43">
        <v>80</v>
      </c>
      <c r="C137" s="708"/>
      <c r="D137" s="588"/>
      <c r="E137" s="379"/>
      <c r="F137" s="34"/>
      <c r="G137" s="34"/>
      <c r="H137" s="34"/>
      <c r="I137" s="34"/>
      <c r="J137" s="34"/>
      <c r="K137" s="34"/>
      <c r="L137" s="34"/>
      <c r="M137" s="34"/>
      <c r="N137" s="34"/>
      <c r="O137" s="34"/>
      <c r="P137" s="34"/>
      <c r="Q137" s="34"/>
      <c r="R137" s="34"/>
      <c r="S137" s="141"/>
      <c r="T137" s="80"/>
      <c r="U137" s="43">
        <v>80</v>
      </c>
      <c r="V137" s="708"/>
      <c r="W137" s="588"/>
      <c r="X137" s="379"/>
      <c r="Y137" s="34"/>
      <c r="Z137" s="34"/>
      <c r="AA137" s="34"/>
      <c r="AB137" s="34"/>
      <c r="AC137" s="34"/>
      <c r="AD137" s="34"/>
      <c r="AE137" s="34"/>
      <c r="AF137" s="34"/>
      <c r="AG137" s="34"/>
      <c r="AH137" s="34"/>
      <c r="AI137" s="34"/>
      <c r="AJ137" s="34"/>
      <c r="AK137" s="34"/>
      <c r="AL137" s="141"/>
    </row>
    <row r="138" spans="1:38" ht="12.75" customHeight="1">
      <c r="A138" s="80"/>
      <c r="B138" s="43">
        <v>81</v>
      </c>
      <c r="C138" s="708"/>
      <c r="D138" s="588"/>
      <c r="E138" s="379"/>
      <c r="F138" s="34"/>
      <c r="G138" s="34"/>
      <c r="H138" s="34"/>
      <c r="I138" s="34"/>
      <c r="J138" s="34"/>
      <c r="K138" s="34"/>
      <c r="L138" s="34"/>
      <c r="M138" s="34"/>
      <c r="N138" s="34"/>
      <c r="O138" s="34"/>
      <c r="P138" s="34"/>
      <c r="Q138" s="34"/>
      <c r="R138" s="34"/>
      <c r="S138" s="141"/>
      <c r="T138" s="80"/>
      <c r="U138" s="43">
        <v>81</v>
      </c>
      <c r="V138" s="708"/>
      <c r="W138" s="588"/>
      <c r="X138" s="379"/>
      <c r="Y138" s="34"/>
      <c r="Z138" s="34"/>
      <c r="AA138" s="34"/>
      <c r="AB138" s="34"/>
      <c r="AC138" s="34"/>
      <c r="AD138" s="34"/>
      <c r="AE138" s="34"/>
      <c r="AF138" s="34"/>
      <c r="AG138" s="34"/>
      <c r="AH138" s="34"/>
      <c r="AI138" s="34"/>
      <c r="AJ138" s="34"/>
      <c r="AK138" s="34"/>
      <c r="AL138" s="141"/>
    </row>
    <row r="139" spans="1:38" ht="12.75" customHeight="1">
      <c r="A139" s="80"/>
      <c r="B139" s="43">
        <v>82</v>
      </c>
      <c r="C139" s="708"/>
      <c r="D139" s="588"/>
      <c r="E139" s="379"/>
      <c r="F139" s="34"/>
      <c r="G139" s="34"/>
      <c r="H139" s="34"/>
      <c r="I139" s="34"/>
      <c r="J139" s="34"/>
      <c r="K139" s="34"/>
      <c r="L139" s="34"/>
      <c r="M139" s="34"/>
      <c r="N139" s="34"/>
      <c r="O139" s="34"/>
      <c r="P139" s="34"/>
      <c r="Q139" s="34"/>
      <c r="R139" s="34"/>
      <c r="S139" s="141"/>
      <c r="T139" s="80"/>
      <c r="U139" s="43">
        <v>82</v>
      </c>
      <c r="V139" s="708"/>
      <c r="W139" s="588"/>
      <c r="X139" s="379"/>
      <c r="Y139" s="34"/>
      <c r="Z139" s="34"/>
      <c r="AA139" s="34"/>
      <c r="AB139" s="34"/>
      <c r="AC139" s="34"/>
      <c r="AD139" s="34"/>
      <c r="AE139" s="34"/>
      <c r="AF139" s="34"/>
      <c r="AG139" s="34"/>
      <c r="AH139" s="34"/>
      <c r="AI139" s="34"/>
      <c r="AJ139" s="34"/>
      <c r="AK139" s="34"/>
      <c r="AL139" s="141"/>
    </row>
    <row r="140" spans="1:38" ht="12.75" customHeight="1">
      <c r="A140" s="80"/>
      <c r="B140" s="43">
        <v>83</v>
      </c>
      <c r="C140" s="708"/>
      <c r="D140" s="588"/>
      <c r="E140" s="379"/>
      <c r="F140" s="34"/>
      <c r="G140" s="34"/>
      <c r="H140" s="34"/>
      <c r="I140" s="34"/>
      <c r="J140" s="34"/>
      <c r="K140" s="34"/>
      <c r="L140" s="34"/>
      <c r="M140" s="34"/>
      <c r="N140" s="34"/>
      <c r="O140" s="34"/>
      <c r="P140" s="34"/>
      <c r="Q140" s="34"/>
      <c r="R140" s="34"/>
      <c r="S140" s="141"/>
      <c r="T140" s="80"/>
      <c r="U140" s="43">
        <v>83</v>
      </c>
      <c r="V140" s="708"/>
      <c r="W140" s="588"/>
      <c r="X140" s="379"/>
      <c r="Y140" s="34"/>
      <c r="Z140" s="34"/>
      <c r="AA140" s="34"/>
      <c r="AB140" s="34"/>
      <c r="AC140" s="34"/>
      <c r="AD140" s="34"/>
      <c r="AE140" s="34"/>
      <c r="AF140" s="34"/>
      <c r="AG140" s="34"/>
      <c r="AH140" s="34"/>
      <c r="AI140" s="34"/>
      <c r="AJ140" s="34"/>
      <c r="AK140" s="34"/>
      <c r="AL140" s="141"/>
    </row>
    <row r="141" spans="1:38" ht="12.75" customHeight="1">
      <c r="A141" s="80"/>
      <c r="B141" s="43">
        <v>84</v>
      </c>
      <c r="C141" s="708"/>
      <c r="D141" s="588"/>
      <c r="E141" s="379"/>
      <c r="F141" s="34"/>
      <c r="G141" s="34"/>
      <c r="H141" s="34"/>
      <c r="I141" s="34"/>
      <c r="J141" s="34"/>
      <c r="K141" s="34"/>
      <c r="L141" s="34"/>
      <c r="M141" s="34"/>
      <c r="N141" s="34"/>
      <c r="O141" s="34"/>
      <c r="P141" s="34"/>
      <c r="Q141" s="34"/>
      <c r="R141" s="34"/>
      <c r="S141" s="141"/>
      <c r="T141" s="80"/>
      <c r="U141" s="43">
        <v>84</v>
      </c>
      <c r="V141" s="708"/>
      <c r="W141" s="588"/>
      <c r="X141" s="379"/>
      <c r="Y141" s="34"/>
      <c r="Z141" s="34"/>
      <c r="AA141" s="34"/>
      <c r="AB141" s="34"/>
      <c r="AC141" s="34"/>
      <c r="AD141" s="34"/>
      <c r="AE141" s="34"/>
      <c r="AF141" s="34"/>
      <c r="AG141" s="34"/>
      <c r="AH141" s="34"/>
      <c r="AI141" s="34"/>
      <c r="AJ141" s="34"/>
      <c r="AK141" s="34"/>
      <c r="AL141" s="141"/>
    </row>
    <row r="142" spans="1:38" ht="12.75" customHeight="1">
      <c r="A142" s="80"/>
      <c r="B142" s="43">
        <v>85</v>
      </c>
      <c r="C142" s="708"/>
      <c r="D142" s="588"/>
      <c r="E142" s="379"/>
      <c r="F142" s="34"/>
      <c r="G142" s="34"/>
      <c r="H142" s="34"/>
      <c r="I142" s="34"/>
      <c r="J142" s="34"/>
      <c r="K142" s="34"/>
      <c r="L142" s="34"/>
      <c r="M142" s="34"/>
      <c r="N142" s="34"/>
      <c r="O142" s="34"/>
      <c r="P142" s="34"/>
      <c r="Q142" s="34"/>
      <c r="R142" s="34"/>
      <c r="S142" s="141"/>
      <c r="T142" s="80"/>
      <c r="U142" s="43">
        <v>85</v>
      </c>
      <c r="V142" s="708"/>
      <c r="W142" s="588"/>
      <c r="X142" s="379"/>
      <c r="Y142" s="34"/>
      <c r="Z142" s="34"/>
      <c r="AA142" s="34"/>
      <c r="AB142" s="34"/>
      <c r="AC142" s="34"/>
      <c r="AD142" s="34"/>
      <c r="AE142" s="34"/>
      <c r="AF142" s="34"/>
      <c r="AG142" s="34"/>
      <c r="AH142" s="34"/>
      <c r="AI142" s="34"/>
      <c r="AJ142" s="34"/>
      <c r="AK142" s="34"/>
      <c r="AL142" s="141"/>
    </row>
    <row r="143" spans="1:38" ht="12.75" customHeight="1">
      <c r="A143" s="80"/>
      <c r="B143" s="43">
        <v>86</v>
      </c>
      <c r="C143" s="708"/>
      <c r="D143" s="588"/>
      <c r="E143" s="379"/>
      <c r="F143" s="34"/>
      <c r="G143" s="34"/>
      <c r="H143" s="34"/>
      <c r="I143" s="34"/>
      <c r="J143" s="34"/>
      <c r="K143" s="34"/>
      <c r="L143" s="34"/>
      <c r="M143" s="34"/>
      <c r="N143" s="34"/>
      <c r="O143" s="34"/>
      <c r="P143" s="34"/>
      <c r="Q143" s="34"/>
      <c r="R143" s="34"/>
      <c r="S143" s="141"/>
      <c r="T143" s="80"/>
      <c r="U143" s="43">
        <v>86</v>
      </c>
      <c r="V143" s="708"/>
      <c r="W143" s="588"/>
      <c r="X143" s="379"/>
      <c r="Y143" s="34"/>
      <c r="Z143" s="34"/>
      <c r="AA143" s="34"/>
      <c r="AB143" s="34"/>
      <c r="AC143" s="34"/>
      <c r="AD143" s="34"/>
      <c r="AE143" s="34"/>
      <c r="AF143" s="34"/>
      <c r="AG143" s="34"/>
      <c r="AH143" s="34"/>
      <c r="AI143" s="34"/>
      <c r="AJ143" s="34"/>
      <c r="AK143" s="34"/>
      <c r="AL143" s="141"/>
    </row>
    <row r="144" spans="1:38" ht="12.75" customHeight="1">
      <c r="A144" s="80"/>
      <c r="B144" s="43">
        <v>87</v>
      </c>
      <c r="C144" s="708"/>
      <c r="D144" s="588"/>
      <c r="E144" s="379"/>
      <c r="F144" s="34"/>
      <c r="G144" s="34"/>
      <c r="H144" s="34"/>
      <c r="I144" s="34"/>
      <c r="J144" s="34"/>
      <c r="K144" s="34"/>
      <c r="L144" s="34"/>
      <c r="M144" s="34"/>
      <c r="N144" s="34"/>
      <c r="O144" s="34"/>
      <c r="P144" s="34"/>
      <c r="Q144" s="34"/>
      <c r="R144" s="34"/>
      <c r="S144" s="141"/>
      <c r="T144" s="80"/>
      <c r="U144" s="43">
        <v>87</v>
      </c>
      <c r="V144" s="708"/>
      <c r="W144" s="588"/>
      <c r="X144" s="379"/>
      <c r="Y144" s="34"/>
      <c r="Z144" s="34"/>
      <c r="AA144" s="34"/>
      <c r="AB144" s="34"/>
      <c r="AC144" s="34"/>
      <c r="AD144" s="34"/>
      <c r="AE144" s="34"/>
      <c r="AF144" s="34"/>
      <c r="AG144" s="34"/>
      <c r="AH144" s="34"/>
      <c r="AI144" s="34"/>
      <c r="AJ144" s="34"/>
      <c r="AK144" s="34"/>
      <c r="AL144" s="141"/>
    </row>
    <row r="145" spans="1:38" ht="12.75" customHeight="1">
      <c r="A145" s="80"/>
      <c r="B145" s="43">
        <v>88</v>
      </c>
      <c r="C145" s="708"/>
      <c r="D145" s="588"/>
      <c r="E145" s="379"/>
      <c r="F145" s="34"/>
      <c r="G145" s="34"/>
      <c r="H145" s="34"/>
      <c r="I145" s="34"/>
      <c r="J145" s="34"/>
      <c r="K145" s="34"/>
      <c r="L145" s="34"/>
      <c r="M145" s="34"/>
      <c r="N145" s="34"/>
      <c r="O145" s="34"/>
      <c r="P145" s="34"/>
      <c r="Q145" s="34"/>
      <c r="R145" s="34"/>
      <c r="S145" s="141"/>
      <c r="T145" s="80"/>
      <c r="U145" s="43">
        <v>88</v>
      </c>
      <c r="V145" s="708"/>
      <c r="W145" s="588"/>
      <c r="X145" s="379"/>
      <c r="Y145" s="34"/>
      <c r="Z145" s="34"/>
      <c r="AA145" s="34"/>
      <c r="AB145" s="34"/>
      <c r="AC145" s="34"/>
      <c r="AD145" s="34"/>
      <c r="AE145" s="34"/>
      <c r="AF145" s="34"/>
      <c r="AG145" s="34"/>
      <c r="AH145" s="34"/>
      <c r="AI145" s="34"/>
      <c r="AJ145" s="34"/>
      <c r="AK145" s="34"/>
      <c r="AL145" s="141"/>
    </row>
    <row r="146" spans="1:38" ht="12.75" customHeight="1">
      <c r="A146" s="80"/>
      <c r="B146" s="43">
        <v>89</v>
      </c>
      <c r="C146" s="708"/>
      <c r="D146" s="588"/>
      <c r="E146" s="379"/>
      <c r="F146" s="34"/>
      <c r="G146" s="34"/>
      <c r="H146" s="34"/>
      <c r="I146" s="34"/>
      <c r="J146" s="34"/>
      <c r="K146" s="34"/>
      <c r="L146" s="34"/>
      <c r="M146" s="34"/>
      <c r="N146" s="34"/>
      <c r="O146" s="34"/>
      <c r="P146" s="34"/>
      <c r="Q146" s="34"/>
      <c r="R146" s="34"/>
      <c r="S146" s="141"/>
      <c r="T146" s="80"/>
      <c r="U146" s="43">
        <v>89</v>
      </c>
      <c r="V146" s="708"/>
      <c r="W146" s="588"/>
      <c r="X146" s="379"/>
      <c r="Y146" s="34"/>
      <c r="Z146" s="34"/>
      <c r="AA146" s="34"/>
      <c r="AB146" s="34"/>
      <c r="AC146" s="34"/>
      <c r="AD146" s="34"/>
      <c r="AE146" s="34"/>
      <c r="AF146" s="34"/>
      <c r="AG146" s="34"/>
      <c r="AH146" s="34"/>
      <c r="AI146" s="34"/>
      <c r="AJ146" s="34"/>
      <c r="AK146" s="34"/>
      <c r="AL146" s="141"/>
    </row>
    <row r="147" spans="1:38" ht="12.75" customHeight="1">
      <c r="A147" s="80"/>
      <c r="B147" s="43">
        <v>90</v>
      </c>
      <c r="C147" s="708"/>
      <c r="D147" s="588"/>
      <c r="E147" s="379"/>
      <c r="F147" s="34"/>
      <c r="G147" s="34"/>
      <c r="H147" s="34"/>
      <c r="I147" s="34"/>
      <c r="J147" s="34"/>
      <c r="K147" s="34"/>
      <c r="L147" s="34"/>
      <c r="M147" s="34"/>
      <c r="N147" s="34"/>
      <c r="O147" s="34"/>
      <c r="P147" s="34"/>
      <c r="Q147" s="34"/>
      <c r="R147" s="34"/>
      <c r="S147" s="141"/>
      <c r="T147" s="80"/>
      <c r="U147" s="43">
        <v>90</v>
      </c>
      <c r="V147" s="708"/>
      <c r="W147" s="588"/>
      <c r="X147" s="379"/>
      <c r="Y147" s="34"/>
      <c r="Z147" s="34"/>
      <c r="AA147" s="34"/>
      <c r="AB147" s="34"/>
      <c r="AC147" s="34"/>
      <c r="AD147" s="34"/>
      <c r="AE147" s="34"/>
      <c r="AF147" s="34"/>
      <c r="AG147" s="34"/>
      <c r="AH147" s="34"/>
      <c r="AI147" s="34"/>
      <c r="AJ147" s="34"/>
      <c r="AK147" s="34"/>
      <c r="AL147" s="141"/>
    </row>
    <row r="148" spans="1:38" ht="12.75" customHeight="1">
      <c r="A148" s="80"/>
      <c r="B148" s="43">
        <v>91</v>
      </c>
      <c r="C148" s="708"/>
      <c r="D148" s="588"/>
      <c r="E148" s="379"/>
      <c r="F148" s="34"/>
      <c r="G148" s="34"/>
      <c r="H148" s="34"/>
      <c r="I148" s="34"/>
      <c r="J148" s="34"/>
      <c r="K148" s="34"/>
      <c r="L148" s="34"/>
      <c r="M148" s="34"/>
      <c r="N148" s="34"/>
      <c r="O148" s="34"/>
      <c r="P148" s="34"/>
      <c r="Q148" s="34"/>
      <c r="R148" s="34"/>
      <c r="S148" s="141"/>
      <c r="T148" s="80"/>
      <c r="U148" s="43">
        <v>91</v>
      </c>
      <c r="V148" s="708"/>
      <c r="W148" s="588"/>
      <c r="X148" s="379"/>
      <c r="Y148" s="34"/>
      <c r="Z148" s="34"/>
      <c r="AA148" s="34"/>
      <c r="AB148" s="34"/>
      <c r="AC148" s="34"/>
      <c r="AD148" s="34"/>
      <c r="AE148" s="34"/>
      <c r="AF148" s="34"/>
      <c r="AG148" s="34"/>
      <c r="AH148" s="34"/>
      <c r="AI148" s="34"/>
      <c r="AJ148" s="34"/>
      <c r="AK148" s="34"/>
      <c r="AL148" s="141"/>
    </row>
    <row r="149" spans="1:38" ht="12.75" customHeight="1">
      <c r="A149" s="80"/>
      <c r="B149" s="43">
        <v>92</v>
      </c>
      <c r="C149" s="708"/>
      <c r="D149" s="588"/>
      <c r="E149" s="379"/>
      <c r="F149" s="34"/>
      <c r="G149" s="34"/>
      <c r="H149" s="34"/>
      <c r="I149" s="34"/>
      <c r="J149" s="34"/>
      <c r="K149" s="34"/>
      <c r="L149" s="34"/>
      <c r="M149" s="34"/>
      <c r="N149" s="34"/>
      <c r="O149" s="34"/>
      <c r="P149" s="34"/>
      <c r="Q149" s="34"/>
      <c r="R149" s="34"/>
      <c r="S149" s="141"/>
      <c r="T149" s="80"/>
      <c r="U149" s="43">
        <v>92</v>
      </c>
      <c r="V149" s="708"/>
      <c r="W149" s="588"/>
      <c r="X149" s="379"/>
      <c r="Y149" s="34"/>
      <c r="Z149" s="34"/>
      <c r="AA149" s="34"/>
      <c r="AB149" s="34"/>
      <c r="AC149" s="34"/>
      <c r="AD149" s="34"/>
      <c r="AE149" s="34"/>
      <c r="AF149" s="34"/>
      <c r="AG149" s="34"/>
      <c r="AH149" s="34"/>
      <c r="AI149" s="34"/>
      <c r="AJ149" s="34"/>
      <c r="AK149" s="34"/>
      <c r="AL149" s="141"/>
    </row>
    <row r="150" spans="1:38" ht="12.75" customHeight="1">
      <c r="A150" s="80"/>
      <c r="B150" s="43">
        <v>93</v>
      </c>
      <c r="C150" s="708"/>
      <c r="D150" s="588"/>
      <c r="E150" s="379"/>
      <c r="F150" s="34"/>
      <c r="G150" s="34"/>
      <c r="H150" s="34"/>
      <c r="I150" s="34"/>
      <c r="J150" s="34"/>
      <c r="K150" s="34"/>
      <c r="L150" s="34"/>
      <c r="M150" s="34"/>
      <c r="N150" s="34"/>
      <c r="O150" s="34"/>
      <c r="P150" s="34"/>
      <c r="Q150" s="34"/>
      <c r="R150" s="34"/>
      <c r="S150" s="141"/>
      <c r="T150" s="80"/>
      <c r="U150" s="43">
        <v>93</v>
      </c>
      <c r="V150" s="708"/>
      <c r="W150" s="588"/>
      <c r="X150" s="379"/>
      <c r="Y150" s="34"/>
      <c r="Z150" s="34"/>
      <c r="AA150" s="34"/>
      <c r="AB150" s="34"/>
      <c r="AC150" s="34"/>
      <c r="AD150" s="34"/>
      <c r="AE150" s="34"/>
      <c r="AF150" s="34"/>
      <c r="AG150" s="34"/>
      <c r="AH150" s="34"/>
      <c r="AI150" s="34"/>
      <c r="AJ150" s="34"/>
      <c r="AK150" s="34"/>
      <c r="AL150" s="141"/>
    </row>
    <row r="151" spans="1:38" ht="12.75" customHeight="1">
      <c r="A151" s="80"/>
      <c r="B151" s="43">
        <v>94</v>
      </c>
      <c r="C151" s="708"/>
      <c r="D151" s="588"/>
      <c r="E151" s="379"/>
      <c r="F151" s="34"/>
      <c r="G151" s="34"/>
      <c r="H151" s="34"/>
      <c r="I151" s="34"/>
      <c r="J151" s="34"/>
      <c r="K151" s="34"/>
      <c r="L151" s="34"/>
      <c r="M151" s="34"/>
      <c r="N151" s="34"/>
      <c r="O151" s="34"/>
      <c r="P151" s="34"/>
      <c r="Q151" s="34"/>
      <c r="R151" s="34"/>
      <c r="S151" s="141"/>
      <c r="T151" s="80"/>
      <c r="U151" s="43">
        <v>94</v>
      </c>
      <c r="V151" s="708"/>
      <c r="W151" s="588"/>
      <c r="X151" s="379"/>
      <c r="Y151" s="34"/>
      <c r="Z151" s="34"/>
      <c r="AA151" s="34"/>
      <c r="AB151" s="34"/>
      <c r="AC151" s="34"/>
      <c r="AD151" s="34"/>
      <c r="AE151" s="34"/>
      <c r="AF151" s="34"/>
      <c r="AG151" s="34"/>
      <c r="AH151" s="34"/>
      <c r="AI151" s="34"/>
      <c r="AJ151" s="34"/>
      <c r="AK151" s="34"/>
      <c r="AL151" s="141"/>
    </row>
    <row r="152" spans="1:38" ht="12.75" customHeight="1">
      <c r="A152" s="80"/>
      <c r="B152" s="43">
        <v>95</v>
      </c>
      <c r="C152" s="708"/>
      <c r="D152" s="588"/>
      <c r="E152" s="379"/>
      <c r="F152" s="34"/>
      <c r="G152" s="34"/>
      <c r="H152" s="34"/>
      <c r="I152" s="34"/>
      <c r="J152" s="34"/>
      <c r="K152" s="34"/>
      <c r="L152" s="34"/>
      <c r="M152" s="34"/>
      <c r="N152" s="34"/>
      <c r="O152" s="34"/>
      <c r="P152" s="34"/>
      <c r="Q152" s="34"/>
      <c r="R152" s="34"/>
      <c r="S152" s="141"/>
      <c r="T152" s="80"/>
      <c r="U152" s="43">
        <v>95</v>
      </c>
      <c r="V152" s="708"/>
      <c r="W152" s="588"/>
      <c r="X152" s="379"/>
      <c r="Y152" s="34"/>
      <c r="Z152" s="34"/>
      <c r="AA152" s="34"/>
      <c r="AB152" s="34"/>
      <c r="AC152" s="34"/>
      <c r="AD152" s="34"/>
      <c r="AE152" s="34"/>
      <c r="AF152" s="34"/>
      <c r="AG152" s="34"/>
      <c r="AH152" s="34"/>
      <c r="AI152" s="34"/>
      <c r="AJ152" s="34"/>
      <c r="AK152" s="34"/>
      <c r="AL152" s="141"/>
    </row>
    <row r="153" spans="1:38" ht="12.75" customHeight="1">
      <c r="A153" s="80"/>
      <c r="B153" s="43">
        <v>96</v>
      </c>
      <c r="C153" s="708"/>
      <c r="D153" s="588"/>
      <c r="E153" s="379"/>
      <c r="F153" s="34"/>
      <c r="G153" s="34"/>
      <c r="H153" s="34"/>
      <c r="I153" s="34"/>
      <c r="J153" s="34"/>
      <c r="K153" s="34"/>
      <c r="L153" s="34"/>
      <c r="M153" s="34"/>
      <c r="N153" s="34"/>
      <c r="O153" s="34"/>
      <c r="P153" s="34"/>
      <c r="Q153" s="34"/>
      <c r="R153" s="34"/>
      <c r="S153" s="141"/>
      <c r="T153" s="80"/>
      <c r="U153" s="43">
        <v>96</v>
      </c>
      <c r="V153" s="708"/>
      <c r="W153" s="588"/>
      <c r="X153" s="379"/>
      <c r="Y153" s="34"/>
      <c r="Z153" s="34"/>
      <c r="AA153" s="34"/>
      <c r="AB153" s="34"/>
      <c r="AC153" s="34"/>
      <c r="AD153" s="34"/>
      <c r="AE153" s="34"/>
      <c r="AF153" s="34"/>
      <c r="AG153" s="34"/>
      <c r="AH153" s="34"/>
      <c r="AI153" s="34"/>
      <c r="AJ153" s="34"/>
      <c r="AK153" s="34"/>
      <c r="AL153" s="141"/>
    </row>
    <row r="154" spans="1:38" ht="12.75" customHeight="1">
      <c r="A154" s="80"/>
      <c r="B154" s="43">
        <v>97</v>
      </c>
      <c r="C154" s="708"/>
      <c r="D154" s="588"/>
      <c r="E154" s="379"/>
      <c r="F154" s="34"/>
      <c r="G154" s="34"/>
      <c r="H154" s="34"/>
      <c r="I154" s="34"/>
      <c r="J154" s="34"/>
      <c r="K154" s="34"/>
      <c r="L154" s="34"/>
      <c r="M154" s="34"/>
      <c r="N154" s="34"/>
      <c r="O154" s="34"/>
      <c r="P154" s="34"/>
      <c r="Q154" s="34"/>
      <c r="R154" s="34"/>
      <c r="S154" s="141"/>
      <c r="T154" s="80"/>
      <c r="U154" s="43">
        <v>97</v>
      </c>
      <c r="V154" s="708"/>
      <c r="W154" s="588"/>
      <c r="X154" s="379"/>
      <c r="Y154" s="34"/>
      <c r="Z154" s="34"/>
      <c r="AA154" s="34"/>
      <c r="AB154" s="34"/>
      <c r="AC154" s="34"/>
      <c r="AD154" s="34"/>
      <c r="AE154" s="34"/>
      <c r="AF154" s="34"/>
      <c r="AG154" s="34"/>
      <c r="AH154" s="34"/>
      <c r="AI154" s="34"/>
      <c r="AJ154" s="34"/>
      <c r="AK154" s="34"/>
      <c r="AL154" s="141"/>
    </row>
    <row r="155" spans="1:38" ht="12.75" customHeight="1">
      <c r="A155" s="80"/>
      <c r="B155" s="43">
        <v>98</v>
      </c>
      <c r="C155" s="708"/>
      <c r="D155" s="588"/>
      <c r="E155" s="379"/>
      <c r="F155" s="34"/>
      <c r="G155" s="34"/>
      <c r="H155" s="34"/>
      <c r="I155" s="34"/>
      <c r="J155" s="34"/>
      <c r="K155" s="34"/>
      <c r="L155" s="34"/>
      <c r="M155" s="34"/>
      <c r="N155" s="34"/>
      <c r="O155" s="34"/>
      <c r="P155" s="34"/>
      <c r="Q155" s="34"/>
      <c r="R155" s="34"/>
      <c r="S155" s="141"/>
      <c r="T155" s="80"/>
      <c r="U155" s="43">
        <v>98</v>
      </c>
      <c r="V155" s="708"/>
      <c r="W155" s="588"/>
      <c r="X155" s="379"/>
      <c r="Y155" s="34"/>
      <c r="Z155" s="34"/>
      <c r="AA155" s="34"/>
      <c r="AB155" s="34"/>
      <c r="AC155" s="34"/>
      <c r="AD155" s="34"/>
      <c r="AE155" s="34"/>
      <c r="AF155" s="34"/>
      <c r="AG155" s="34"/>
      <c r="AH155" s="34"/>
      <c r="AI155" s="34"/>
      <c r="AJ155" s="34"/>
      <c r="AK155" s="34"/>
      <c r="AL155" s="141"/>
    </row>
    <row r="156" spans="1:38" ht="12.75" customHeight="1">
      <c r="A156" s="80"/>
      <c r="B156" s="43">
        <v>99</v>
      </c>
      <c r="C156" s="708"/>
      <c r="D156" s="588"/>
      <c r="E156" s="379"/>
      <c r="F156" s="34"/>
      <c r="G156" s="34"/>
      <c r="H156" s="34"/>
      <c r="I156" s="34"/>
      <c r="J156" s="34"/>
      <c r="K156" s="34"/>
      <c r="L156" s="34"/>
      <c r="M156" s="34"/>
      <c r="N156" s="34"/>
      <c r="O156" s="34"/>
      <c r="P156" s="34"/>
      <c r="Q156" s="34"/>
      <c r="R156" s="34"/>
      <c r="S156" s="141"/>
      <c r="T156" s="80"/>
      <c r="U156" s="43">
        <v>99</v>
      </c>
      <c r="V156" s="708"/>
      <c r="W156" s="588"/>
      <c r="X156" s="379"/>
      <c r="Y156" s="34"/>
      <c r="Z156" s="34"/>
      <c r="AA156" s="34"/>
      <c r="AB156" s="34"/>
      <c r="AC156" s="34"/>
      <c r="AD156" s="34"/>
      <c r="AE156" s="34"/>
      <c r="AF156" s="34"/>
      <c r="AG156" s="34"/>
      <c r="AH156" s="34"/>
      <c r="AI156" s="34"/>
      <c r="AJ156" s="34"/>
      <c r="AK156" s="34"/>
      <c r="AL156" s="141"/>
    </row>
    <row r="157" spans="1:38" ht="12.75" customHeight="1">
      <c r="A157" s="80"/>
      <c r="B157" s="43">
        <v>100</v>
      </c>
      <c r="C157" s="708"/>
      <c r="D157" s="588"/>
      <c r="E157" s="379"/>
      <c r="F157" s="34"/>
      <c r="G157" s="34"/>
      <c r="H157" s="34"/>
      <c r="I157" s="34"/>
      <c r="J157" s="34"/>
      <c r="K157" s="34"/>
      <c r="L157" s="34"/>
      <c r="M157" s="34"/>
      <c r="N157" s="34"/>
      <c r="O157" s="34"/>
      <c r="P157" s="34"/>
      <c r="Q157" s="34"/>
      <c r="R157" s="34"/>
      <c r="S157" s="141"/>
      <c r="T157" s="80"/>
      <c r="U157" s="43">
        <v>100</v>
      </c>
      <c r="V157" s="708"/>
      <c r="W157" s="588"/>
      <c r="X157" s="379"/>
      <c r="Y157" s="34"/>
      <c r="Z157" s="34"/>
      <c r="AA157" s="34"/>
      <c r="AB157" s="34"/>
      <c r="AC157" s="34"/>
      <c r="AD157" s="34"/>
      <c r="AE157" s="34"/>
      <c r="AF157" s="34"/>
      <c r="AG157" s="34"/>
      <c r="AH157" s="34"/>
      <c r="AI157" s="34"/>
      <c r="AJ157" s="34"/>
      <c r="AK157" s="34"/>
      <c r="AL157" s="141"/>
    </row>
    <row r="158" spans="1:38" ht="12.75" customHeight="1">
      <c r="A158" s="80"/>
      <c r="B158" s="43">
        <v>101</v>
      </c>
      <c r="C158" s="708"/>
      <c r="D158" s="588"/>
      <c r="E158" s="379"/>
      <c r="F158" s="34"/>
      <c r="G158" s="34"/>
      <c r="H158" s="34"/>
      <c r="I158" s="34"/>
      <c r="J158" s="34"/>
      <c r="K158" s="34"/>
      <c r="L158" s="34"/>
      <c r="M158" s="34"/>
      <c r="N158" s="34"/>
      <c r="O158" s="34"/>
      <c r="P158" s="34"/>
      <c r="Q158" s="34"/>
      <c r="R158" s="34"/>
      <c r="S158" s="141"/>
      <c r="T158" s="80"/>
      <c r="U158" s="43">
        <v>101</v>
      </c>
      <c r="V158" s="708"/>
      <c r="W158" s="588"/>
      <c r="X158" s="379"/>
      <c r="Y158" s="34"/>
      <c r="Z158" s="34"/>
      <c r="AA158" s="34"/>
      <c r="AB158" s="34"/>
      <c r="AC158" s="34"/>
      <c r="AD158" s="34"/>
      <c r="AE158" s="34"/>
      <c r="AF158" s="34"/>
      <c r="AG158" s="34"/>
      <c r="AH158" s="34"/>
      <c r="AI158" s="34"/>
      <c r="AJ158" s="34"/>
      <c r="AK158" s="34"/>
      <c r="AL158" s="141"/>
    </row>
    <row r="159" spans="1:38" ht="12.75" customHeight="1">
      <c r="A159" s="80"/>
      <c r="B159" s="43">
        <v>102</v>
      </c>
      <c r="C159" s="708"/>
      <c r="D159" s="588"/>
      <c r="E159" s="379"/>
      <c r="F159" s="34"/>
      <c r="G159" s="34"/>
      <c r="H159" s="34"/>
      <c r="I159" s="34"/>
      <c r="J159" s="34"/>
      <c r="K159" s="34"/>
      <c r="L159" s="34"/>
      <c r="M159" s="34"/>
      <c r="N159" s="34"/>
      <c r="O159" s="34"/>
      <c r="P159" s="34"/>
      <c r="Q159" s="34"/>
      <c r="R159" s="34"/>
      <c r="S159" s="141"/>
      <c r="T159" s="80"/>
      <c r="U159" s="43">
        <v>102</v>
      </c>
      <c r="V159" s="708"/>
      <c r="W159" s="588"/>
      <c r="X159" s="379"/>
      <c r="Y159" s="34"/>
      <c r="Z159" s="34"/>
      <c r="AA159" s="34"/>
      <c r="AB159" s="34"/>
      <c r="AC159" s="34"/>
      <c r="AD159" s="34"/>
      <c r="AE159" s="34"/>
      <c r="AF159" s="34"/>
      <c r="AG159" s="34"/>
      <c r="AH159" s="34"/>
      <c r="AI159" s="34"/>
      <c r="AJ159" s="34"/>
      <c r="AK159" s="34"/>
      <c r="AL159" s="141"/>
    </row>
    <row r="160" spans="1:38" ht="12.75" customHeight="1">
      <c r="A160" s="80"/>
      <c r="B160" s="43">
        <v>103</v>
      </c>
      <c r="C160" s="708"/>
      <c r="D160" s="588"/>
      <c r="E160" s="379"/>
      <c r="F160" s="34"/>
      <c r="G160" s="34"/>
      <c r="H160" s="34"/>
      <c r="I160" s="34"/>
      <c r="J160" s="34"/>
      <c r="K160" s="34"/>
      <c r="L160" s="34"/>
      <c r="M160" s="34"/>
      <c r="N160" s="34"/>
      <c r="O160" s="34"/>
      <c r="P160" s="34"/>
      <c r="Q160" s="34"/>
      <c r="R160" s="34"/>
      <c r="S160" s="141"/>
      <c r="T160" s="80"/>
      <c r="U160" s="43">
        <v>103</v>
      </c>
      <c r="V160" s="708"/>
      <c r="W160" s="588"/>
      <c r="X160" s="379"/>
      <c r="Y160" s="34"/>
      <c r="Z160" s="34"/>
      <c r="AA160" s="34"/>
      <c r="AB160" s="34"/>
      <c r="AC160" s="34"/>
      <c r="AD160" s="34"/>
      <c r="AE160" s="34"/>
      <c r="AF160" s="34"/>
      <c r="AG160" s="34"/>
      <c r="AH160" s="34"/>
      <c r="AI160" s="34"/>
      <c r="AJ160" s="34"/>
      <c r="AK160" s="34"/>
      <c r="AL160" s="141"/>
    </row>
    <row r="161" spans="1:38" ht="12.75" customHeight="1">
      <c r="A161" s="80"/>
      <c r="B161" s="43">
        <v>104</v>
      </c>
      <c r="C161" s="708"/>
      <c r="D161" s="588"/>
      <c r="E161" s="379"/>
      <c r="F161" s="34"/>
      <c r="G161" s="34"/>
      <c r="H161" s="34"/>
      <c r="I161" s="34"/>
      <c r="J161" s="34"/>
      <c r="K161" s="34"/>
      <c r="L161" s="34"/>
      <c r="M161" s="34"/>
      <c r="N161" s="34"/>
      <c r="O161" s="34"/>
      <c r="P161" s="34"/>
      <c r="Q161" s="34"/>
      <c r="R161" s="34"/>
      <c r="S161" s="141"/>
      <c r="T161" s="80"/>
      <c r="U161" s="43">
        <v>104</v>
      </c>
      <c r="V161" s="708"/>
      <c r="W161" s="588"/>
      <c r="X161" s="379"/>
      <c r="Y161" s="34"/>
      <c r="Z161" s="34"/>
      <c r="AA161" s="34"/>
      <c r="AB161" s="34"/>
      <c r="AC161" s="34"/>
      <c r="AD161" s="34"/>
      <c r="AE161" s="34"/>
      <c r="AF161" s="34"/>
      <c r="AG161" s="34"/>
      <c r="AH161" s="34"/>
      <c r="AI161" s="34"/>
      <c r="AJ161" s="34"/>
      <c r="AK161" s="34"/>
      <c r="AL161" s="141"/>
    </row>
    <row r="162" spans="1:38" ht="12.75" customHeight="1">
      <c r="A162" s="80"/>
      <c r="B162" s="43">
        <v>105</v>
      </c>
      <c r="C162" s="708"/>
      <c r="D162" s="588"/>
      <c r="E162" s="379"/>
      <c r="F162" s="34"/>
      <c r="G162" s="34"/>
      <c r="H162" s="34"/>
      <c r="I162" s="34"/>
      <c r="J162" s="34"/>
      <c r="K162" s="34"/>
      <c r="L162" s="34"/>
      <c r="M162" s="34"/>
      <c r="N162" s="34"/>
      <c r="O162" s="34"/>
      <c r="P162" s="34"/>
      <c r="Q162" s="34"/>
      <c r="R162" s="34"/>
      <c r="S162" s="141"/>
      <c r="T162" s="80"/>
      <c r="U162" s="43">
        <v>105</v>
      </c>
      <c r="V162" s="708"/>
      <c r="W162" s="588"/>
      <c r="X162" s="379"/>
      <c r="Y162" s="34"/>
      <c r="Z162" s="34"/>
      <c r="AA162" s="34"/>
      <c r="AB162" s="34"/>
      <c r="AC162" s="34"/>
      <c r="AD162" s="34"/>
      <c r="AE162" s="34"/>
      <c r="AF162" s="34"/>
      <c r="AG162" s="34"/>
      <c r="AH162" s="34"/>
      <c r="AI162" s="34"/>
      <c r="AJ162" s="34"/>
      <c r="AK162" s="34"/>
      <c r="AL162" s="141"/>
    </row>
    <row r="163" spans="1:38" ht="12.75" customHeight="1">
      <c r="A163" s="80"/>
      <c r="B163" s="43">
        <v>106</v>
      </c>
      <c r="C163" s="708"/>
      <c r="D163" s="588"/>
      <c r="E163" s="379"/>
      <c r="F163" s="34"/>
      <c r="G163" s="34"/>
      <c r="H163" s="34"/>
      <c r="I163" s="34"/>
      <c r="J163" s="34"/>
      <c r="K163" s="34"/>
      <c r="L163" s="34"/>
      <c r="M163" s="34"/>
      <c r="N163" s="34"/>
      <c r="O163" s="34"/>
      <c r="P163" s="34"/>
      <c r="Q163" s="34"/>
      <c r="R163" s="34"/>
      <c r="S163" s="141"/>
      <c r="T163" s="80"/>
      <c r="U163" s="43">
        <v>106</v>
      </c>
      <c r="V163" s="708"/>
      <c r="W163" s="588"/>
      <c r="X163" s="379"/>
      <c r="Y163" s="34"/>
      <c r="Z163" s="34"/>
      <c r="AA163" s="34"/>
      <c r="AB163" s="34"/>
      <c r="AC163" s="34"/>
      <c r="AD163" s="34"/>
      <c r="AE163" s="34"/>
      <c r="AF163" s="34"/>
      <c r="AG163" s="34"/>
      <c r="AH163" s="34"/>
      <c r="AI163" s="34"/>
      <c r="AJ163" s="34"/>
      <c r="AK163" s="34"/>
      <c r="AL163" s="141"/>
    </row>
    <row r="164" spans="1:38" ht="12.75" customHeight="1">
      <c r="A164" s="80"/>
      <c r="B164" s="43">
        <v>107</v>
      </c>
      <c r="C164" s="708"/>
      <c r="D164" s="588"/>
      <c r="E164" s="379"/>
      <c r="F164" s="34"/>
      <c r="G164" s="34"/>
      <c r="H164" s="34"/>
      <c r="I164" s="34"/>
      <c r="J164" s="34"/>
      <c r="K164" s="34"/>
      <c r="L164" s="34"/>
      <c r="M164" s="34"/>
      <c r="N164" s="34"/>
      <c r="O164" s="34"/>
      <c r="P164" s="34"/>
      <c r="Q164" s="34"/>
      <c r="R164" s="34"/>
      <c r="S164" s="141"/>
      <c r="T164" s="80"/>
      <c r="U164" s="43">
        <v>107</v>
      </c>
      <c r="V164" s="708"/>
      <c r="W164" s="588"/>
      <c r="X164" s="379"/>
      <c r="Y164" s="34"/>
      <c r="Z164" s="34"/>
      <c r="AA164" s="34"/>
      <c r="AB164" s="34"/>
      <c r="AC164" s="34"/>
      <c r="AD164" s="34"/>
      <c r="AE164" s="34"/>
      <c r="AF164" s="34"/>
      <c r="AG164" s="34"/>
      <c r="AH164" s="34"/>
      <c r="AI164" s="34"/>
      <c r="AJ164" s="34"/>
      <c r="AK164" s="34"/>
      <c r="AL164" s="141"/>
    </row>
    <row r="165" spans="1:38" ht="12.75" customHeight="1">
      <c r="A165" s="80"/>
      <c r="B165" s="43">
        <v>108</v>
      </c>
      <c r="C165" s="708"/>
      <c r="D165" s="588"/>
      <c r="E165" s="379"/>
      <c r="F165" s="34"/>
      <c r="G165" s="34"/>
      <c r="H165" s="34"/>
      <c r="I165" s="34"/>
      <c r="J165" s="34"/>
      <c r="K165" s="34"/>
      <c r="L165" s="34"/>
      <c r="M165" s="34"/>
      <c r="N165" s="34"/>
      <c r="O165" s="34"/>
      <c r="P165" s="34"/>
      <c r="Q165" s="34"/>
      <c r="R165" s="34"/>
      <c r="S165" s="141"/>
      <c r="T165" s="80"/>
      <c r="U165" s="43">
        <v>108</v>
      </c>
      <c r="V165" s="708"/>
      <c r="W165" s="588"/>
      <c r="X165" s="379"/>
      <c r="Y165" s="34"/>
      <c r="Z165" s="34"/>
      <c r="AA165" s="34"/>
      <c r="AB165" s="34"/>
      <c r="AC165" s="34"/>
      <c r="AD165" s="34"/>
      <c r="AE165" s="34"/>
      <c r="AF165" s="34"/>
      <c r="AG165" s="34"/>
      <c r="AH165" s="34"/>
      <c r="AI165" s="34"/>
      <c r="AJ165" s="34"/>
      <c r="AK165" s="34"/>
      <c r="AL165" s="141"/>
    </row>
    <row r="166" spans="1:38" ht="12.75" customHeight="1">
      <c r="A166" s="80"/>
      <c r="B166" s="43">
        <v>109</v>
      </c>
      <c r="C166" s="708"/>
      <c r="D166" s="588"/>
      <c r="E166" s="379"/>
      <c r="F166" s="34"/>
      <c r="G166" s="34"/>
      <c r="H166" s="34"/>
      <c r="I166" s="34"/>
      <c r="J166" s="34"/>
      <c r="K166" s="34"/>
      <c r="L166" s="34"/>
      <c r="M166" s="34"/>
      <c r="N166" s="34"/>
      <c r="O166" s="34"/>
      <c r="P166" s="34"/>
      <c r="Q166" s="34"/>
      <c r="R166" s="34"/>
      <c r="S166" s="141"/>
      <c r="T166" s="80"/>
      <c r="U166" s="43">
        <v>109</v>
      </c>
      <c r="V166" s="708"/>
      <c r="W166" s="588"/>
      <c r="X166" s="379"/>
      <c r="Y166" s="34"/>
      <c r="Z166" s="34"/>
      <c r="AA166" s="34"/>
      <c r="AB166" s="34"/>
      <c r="AC166" s="34"/>
      <c r="AD166" s="34"/>
      <c r="AE166" s="34"/>
      <c r="AF166" s="34"/>
      <c r="AG166" s="34"/>
      <c r="AH166" s="34"/>
      <c r="AI166" s="34"/>
      <c r="AJ166" s="34"/>
      <c r="AK166" s="34"/>
      <c r="AL166" s="141"/>
    </row>
    <row r="167" spans="1:38" ht="12.75" customHeight="1">
      <c r="A167" s="80"/>
      <c r="B167" s="43">
        <v>110</v>
      </c>
      <c r="C167" s="708"/>
      <c r="D167" s="588"/>
      <c r="E167" s="379"/>
      <c r="F167" s="34"/>
      <c r="G167" s="34"/>
      <c r="H167" s="34"/>
      <c r="I167" s="34"/>
      <c r="J167" s="34"/>
      <c r="K167" s="34"/>
      <c r="L167" s="34"/>
      <c r="M167" s="34"/>
      <c r="N167" s="34"/>
      <c r="O167" s="34"/>
      <c r="P167" s="34"/>
      <c r="Q167" s="34"/>
      <c r="R167" s="34"/>
      <c r="S167" s="141"/>
      <c r="T167" s="80"/>
      <c r="U167" s="43">
        <v>110</v>
      </c>
      <c r="V167" s="708"/>
      <c r="W167" s="588"/>
      <c r="X167" s="379"/>
      <c r="Y167" s="34"/>
      <c r="Z167" s="34"/>
      <c r="AA167" s="34"/>
      <c r="AB167" s="34"/>
      <c r="AC167" s="34"/>
      <c r="AD167" s="34"/>
      <c r="AE167" s="34"/>
      <c r="AF167" s="34"/>
      <c r="AG167" s="34"/>
      <c r="AH167" s="34"/>
      <c r="AI167" s="34"/>
      <c r="AJ167" s="34"/>
      <c r="AK167" s="34"/>
      <c r="AL167" s="141"/>
    </row>
    <row r="168" spans="1:38" ht="12.75" customHeight="1">
      <c r="A168" s="80"/>
      <c r="B168" s="43">
        <v>111</v>
      </c>
      <c r="C168" s="708"/>
      <c r="D168" s="588"/>
      <c r="E168" s="379"/>
      <c r="F168" s="34"/>
      <c r="G168" s="34"/>
      <c r="H168" s="34"/>
      <c r="I168" s="34"/>
      <c r="J168" s="34"/>
      <c r="K168" s="34"/>
      <c r="L168" s="34"/>
      <c r="M168" s="34"/>
      <c r="N168" s="34"/>
      <c r="O168" s="34"/>
      <c r="P168" s="34"/>
      <c r="Q168" s="34"/>
      <c r="R168" s="34"/>
      <c r="S168" s="141"/>
      <c r="T168" s="80"/>
      <c r="U168" s="43">
        <v>111</v>
      </c>
      <c r="V168" s="708"/>
      <c r="W168" s="588"/>
      <c r="X168" s="379"/>
      <c r="Y168" s="34"/>
      <c r="Z168" s="34"/>
      <c r="AA168" s="34"/>
      <c r="AB168" s="34"/>
      <c r="AC168" s="34"/>
      <c r="AD168" s="34"/>
      <c r="AE168" s="34"/>
      <c r="AF168" s="34"/>
      <c r="AG168" s="34"/>
      <c r="AH168" s="34"/>
      <c r="AI168" s="34"/>
      <c r="AJ168" s="34"/>
      <c r="AK168" s="34"/>
      <c r="AL168" s="141"/>
    </row>
    <row r="169" spans="1:38" ht="12.75" customHeight="1">
      <c r="A169" s="80"/>
      <c r="B169" s="43">
        <v>112</v>
      </c>
      <c r="C169" s="708"/>
      <c r="D169" s="588"/>
      <c r="E169" s="379"/>
      <c r="F169" s="34"/>
      <c r="G169" s="34"/>
      <c r="H169" s="34"/>
      <c r="I169" s="34"/>
      <c r="J169" s="34"/>
      <c r="K169" s="34"/>
      <c r="L169" s="34"/>
      <c r="M169" s="34"/>
      <c r="N169" s="34"/>
      <c r="O169" s="34"/>
      <c r="P169" s="34"/>
      <c r="Q169" s="34"/>
      <c r="R169" s="34"/>
      <c r="S169" s="141"/>
      <c r="T169" s="80"/>
      <c r="U169" s="43">
        <v>112</v>
      </c>
      <c r="V169" s="708"/>
      <c r="W169" s="588"/>
      <c r="X169" s="379"/>
      <c r="Y169" s="34"/>
      <c r="Z169" s="34"/>
      <c r="AA169" s="34"/>
      <c r="AB169" s="34"/>
      <c r="AC169" s="34"/>
      <c r="AD169" s="34"/>
      <c r="AE169" s="34"/>
      <c r="AF169" s="34"/>
      <c r="AG169" s="34"/>
      <c r="AH169" s="34"/>
      <c r="AI169" s="34"/>
      <c r="AJ169" s="34"/>
      <c r="AK169" s="34"/>
      <c r="AL169" s="141"/>
    </row>
    <row r="170" spans="1:38" ht="12.75" customHeight="1">
      <c r="A170" s="80"/>
      <c r="B170" s="43">
        <v>113</v>
      </c>
      <c r="C170" s="708"/>
      <c r="D170" s="588"/>
      <c r="E170" s="379"/>
      <c r="F170" s="34"/>
      <c r="G170" s="34"/>
      <c r="H170" s="34"/>
      <c r="I170" s="34"/>
      <c r="J170" s="34"/>
      <c r="K170" s="34"/>
      <c r="L170" s="34"/>
      <c r="M170" s="34"/>
      <c r="N170" s="34"/>
      <c r="O170" s="34"/>
      <c r="P170" s="34"/>
      <c r="Q170" s="34"/>
      <c r="R170" s="34"/>
      <c r="S170" s="141"/>
      <c r="T170" s="80"/>
      <c r="U170" s="43">
        <v>113</v>
      </c>
      <c r="V170" s="708"/>
      <c r="W170" s="588"/>
      <c r="X170" s="379"/>
      <c r="Y170" s="34"/>
      <c r="Z170" s="34"/>
      <c r="AA170" s="34"/>
      <c r="AB170" s="34"/>
      <c r="AC170" s="34"/>
      <c r="AD170" s="34"/>
      <c r="AE170" s="34"/>
      <c r="AF170" s="34"/>
      <c r="AG170" s="34"/>
      <c r="AH170" s="34"/>
      <c r="AI170" s="34"/>
      <c r="AJ170" s="34"/>
      <c r="AK170" s="34"/>
      <c r="AL170" s="141"/>
    </row>
    <row r="171" spans="1:38" ht="12.75" customHeight="1">
      <c r="A171" s="80"/>
      <c r="B171" s="43">
        <v>114</v>
      </c>
      <c r="C171" s="708"/>
      <c r="D171" s="588"/>
      <c r="E171" s="379"/>
      <c r="F171" s="34"/>
      <c r="G171" s="34"/>
      <c r="H171" s="34"/>
      <c r="I171" s="34"/>
      <c r="J171" s="34"/>
      <c r="K171" s="34"/>
      <c r="L171" s="34"/>
      <c r="M171" s="34"/>
      <c r="N171" s="34"/>
      <c r="O171" s="34"/>
      <c r="P171" s="34"/>
      <c r="Q171" s="34"/>
      <c r="R171" s="34"/>
      <c r="S171" s="141"/>
      <c r="T171" s="80"/>
      <c r="U171" s="43">
        <v>114</v>
      </c>
      <c r="V171" s="708"/>
      <c r="W171" s="588"/>
      <c r="X171" s="379"/>
      <c r="Y171" s="34"/>
      <c r="Z171" s="34"/>
      <c r="AA171" s="34"/>
      <c r="AB171" s="34"/>
      <c r="AC171" s="34"/>
      <c r="AD171" s="34"/>
      <c r="AE171" s="34"/>
      <c r="AF171" s="34"/>
      <c r="AG171" s="34"/>
      <c r="AH171" s="34"/>
      <c r="AI171" s="34"/>
      <c r="AJ171" s="34"/>
      <c r="AK171" s="34"/>
      <c r="AL171" s="141"/>
    </row>
    <row r="172" spans="1:38" ht="12.75" customHeight="1">
      <c r="A172" s="80"/>
      <c r="B172" s="43">
        <v>115</v>
      </c>
      <c r="C172" s="708"/>
      <c r="D172" s="588"/>
      <c r="E172" s="379"/>
      <c r="F172" s="34"/>
      <c r="G172" s="34"/>
      <c r="H172" s="34"/>
      <c r="I172" s="34"/>
      <c r="J172" s="34"/>
      <c r="K172" s="34"/>
      <c r="L172" s="34"/>
      <c r="M172" s="34"/>
      <c r="N172" s="34"/>
      <c r="O172" s="34"/>
      <c r="P172" s="34"/>
      <c r="Q172" s="34"/>
      <c r="R172" s="34"/>
      <c r="S172" s="141"/>
      <c r="T172" s="80"/>
      <c r="U172" s="43">
        <v>115</v>
      </c>
      <c r="V172" s="708"/>
      <c r="W172" s="588"/>
      <c r="X172" s="379"/>
      <c r="Y172" s="34"/>
      <c r="Z172" s="34"/>
      <c r="AA172" s="34"/>
      <c r="AB172" s="34"/>
      <c r="AC172" s="34"/>
      <c r="AD172" s="34"/>
      <c r="AE172" s="34"/>
      <c r="AF172" s="34"/>
      <c r="AG172" s="34"/>
      <c r="AH172" s="34"/>
      <c r="AI172" s="34"/>
      <c r="AJ172" s="34"/>
      <c r="AK172" s="34"/>
      <c r="AL172" s="141"/>
    </row>
    <row r="173" spans="1:38" ht="12.75" customHeight="1">
      <c r="A173" s="80"/>
      <c r="B173" s="43">
        <v>116</v>
      </c>
      <c r="C173" s="708"/>
      <c r="D173" s="588"/>
      <c r="E173" s="379"/>
      <c r="F173" s="34"/>
      <c r="G173" s="34"/>
      <c r="H173" s="34"/>
      <c r="I173" s="34"/>
      <c r="J173" s="34"/>
      <c r="K173" s="34"/>
      <c r="L173" s="34"/>
      <c r="M173" s="34"/>
      <c r="N173" s="34"/>
      <c r="O173" s="34"/>
      <c r="P173" s="34"/>
      <c r="Q173" s="34"/>
      <c r="R173" s="34"/>
      <c r="S173" s="141"/>
      <c r="T173" s="80"/>
      <c r="U173" s="43">
        <v>116</v>
      </c>
      <c r="V173" s="708"/>
      <c r="W173" s="588"/>
      <c r="X173" s="379"/>
      <c r="Y173" s="34"/>
      <c r="Z173" s="34"/>
      <c r="AA173" s="34"/>
      <c r="AB173" s="34"/>
      <c r="AC173" s="34"/>
      <c r="AD173" s="34"/>
      <c r="AE173" s="34"/>
      <c r="AF173" s="34"/>
      <c r="AG173" s="34"/>
      <c r="AH173" s="34"/>
      <c r="AI173" s="34"/>
      <c r="AJ173" s="34"/>
      <c r="AK173" s="34"/>
      <c r="AL173" s="141"/>
    </row>
    <row r="174" spans="1:38" ht="12.75" customHeight="1">
      <c r="A174" s="80"/>
      <c r="B174" s="43">
        <v>117</v>
      </c>
      <c r="C174" s="708"/>
      <c r="D174" s="588"/>
      <c r="E174" s="379"/>
      <c r="F174" s="34"/>
      <c r="G174" s="34"/>
      <c r="H174" s="34"/>
      <c r="I174" s="34"/>
      <c r="J174" s="34"/>
      <c r="K174" s="34"/>
      <c r="L174" s="34"/>
      <c r="M174" s="34"/>
      <c r="N174" s="34"/>
      <c r="O174" s="34"/>
      <c r="P174" s="34"/>
      <c r="Q174" s="34"/>
      <c r="R174" s="34"/>
      <c r="S174" s="141"/>
      <c r="T174" s="80"/>
      <c r="U174" s="43">
        <v>117</v>
      </c>
      <c r="V174" s="708"/>
      <c r="W174" s="588"/>
      <c r="X174" s="379"/>
      <c r="Y174" s="34"/>
      <c r="Z174" s="34"/>
      <c r="AA174" s="34"/>
      <c r="AB174" s="34"/>
      <c r="AC174" s="34"/>
      <c r="AD174" s="34"/>
      <c r="AE174" s="34"/>
      <c r="AF174" s="34"/>
      <c r="AG174" s="34"/>
      <c r="AH174" s="34"/>
      <c r="AI174" s="34"/>
      <c r="AJ174" s="34"/>
      <c r="AK174" s="34"/>
      <c r="AL174" s="141"/>
    </row>
    <row r="175" spans="1:38" ht="12.75" customHeight="1">
      <c r="A175" s="80"/>
      <c r="B175" s="43">
        <v>118</v>
      </c>
      <c r="C175" s="708"/>
      <c r="D175" s="588"/>
      <c r="E175" s="379"/>
      <c r="F175" s="34"/>
      <c r="G175" s="34"/>
      <c r="H175" s="34"/>
      <c r="I175" s="34"/>
      <c r="J175" s="34"/>
      <c r="K175" s="34"/>
      <c r="L175" s="34"/>
      <c r="M175" s="34"/>
      <c r="N175" s="34"/>
      <c r="O175" s="34"/>
      <c r="P175" s="34"/>
      <c r="Q175" s="34"/>
      <c r="R175" s="34"/>
      <c r="S175" s="141"/>
      <c r="T175" s="80"/>
      <c r="U175" s="43">
        <v>118</v>
      </c>
      <c r="V175" s="708"/>
      <c r="W175" s="588"/>
      <c r="X175" s="379"/>
      <c r="Y175" s="34"/>
      <c r="Z175" s="34"/>
      <c r="AA175" s="34"/>
      <c r="AB175" s="34"/>
      <c r="AC175" s="34"/>
      <c r="AD175" s="34"/>
      <c r="AE175" s="34"/>
      <c r="AF175" s="34"/>
      <c r="AG175" s="34"/>
      <c r="AH175" s="34"/>
      <c r="AI175" s="34"/>
      <c r="AJ175" s="34"/>
      <c r="AK175" s="34"/>
      <c r="AL175" s="141"/>
    </row>
    <row r="176" spans="1:38" ht="12.75" customHeight="1">
      <c r="A176" s="80"/>
      <c r="B176" s="43">
        <v>119</v>
      </c>
      <c r="C176" s="708"/>
      <c r="D176" s="588"/>
      <c r="E176" s="379"/>
      <c r="F176" s="34"/>
      <c r="G176" s="34"/>
      <c r="H176" s="34"/>
      <c r="I176" s="34"/>
      <c r="J176" s="34"/>
      <c r="K176" s="34"/>
      <c r="L176" s="34"/>
      <c r="M176" s="34"/>
      <c r="N176" s="34"/>
      <c r="O176" s="34"/>
      <c r="P176" s="34"/>
      <c r="Q176" s="34"/>
      <c r="R176" s="34"/>
      <c r="S176" s="141"/>
      <c r="T176" s="80"/>
      <c r="U176" s="43">
        <v>119</v>
      </c>
      <c r="V176" s="708"/>
      <c r="W176" s="588"/>
      <c r="X176" s="379"/>
      <c r="Y176" s="34"/>
      <c r="Z176" s="34"/>
      <c r="AA176" s="34"/>
      <c r="AB176" s="34"/>
      <c r="AC176" s="34"/>
      <c r="AD176" s="34"/>
      <c r="AE176" s="34"/>
      <c r="AF176" s="34"/>
      <c r="AG176" s="34"/>
      <c r="AH176" s="34"/>
      <c r="AI176" s="34"/>
      <c r="AJ176" s="34"/>
      <c r="AK176" s="34"/>
      <c r="AL176" s="141"/>
    </row>
    <row r="177" spans="1:38" ht="12.75" customHeight="1">
      <c r="A177" s="80"/>
      <c r="B177" s="43">
        <v>120</v>
      </c>
      <c r="C177" s="708"/>
      <c r="D177" s="588"/>
      <c r="E177" s="379"/>
      <c r="F177" s="34"/>
      <c r="G177" s="34"/>
      <c r="H177" s="34"/>
      <c r="I177" s="34"/>
      <c r="J177" s="34"/>
      <c r="K177" s="34"/>
      <c r="L177" s="34"/>
      <c r="M177" s="34"/>
      <c r="N177" s="34"/>
      <c r="O177" s="34"/>
      <c r="P177" s="34"/>
      <c r="Q177" s="34"/>
      <c r="R177" s="34"/>
      <c r="S177" s="141"/>
      <c r="T177" s="80"/>
      <c r="U177" s="43">
        <v>120</v>
      </c>
      <c r="V177" s="708"/>
      <c r="W177" s="588"/>
      <c r="X177" s="379"/>
      <c r="Y177" s="34"/>
      <c r="Z177" s="34"/>
      <c r="AA177" s="34"/>
      <c r="AB177" s="34"/>
      <c r="AC177" s="34"/>
      <c r="AD177" s="34"/>
      <c r="AE177" s="34"/>
      <c r="AF177" s="34"/>
      <c r="AG177" s="34"/>
      <c r="AH177" s="34"/>
      <c r="AI177" s="34"/>
      <c r="AJ177" s="34"/>
      <c r="AK177" s="34"/>
      <c r="AL177" s="141"/>
    </row>
    <row r="178" spans="1:38" ht="12.75" customHeight="1">
      <c r="A178" s="34"/>
      <c r="B178" s="43">
        <v>121</v>
      </c>
      <c r="C178" s="708"/>
      <c r="D178" s="588"/>
      <c r="E178" s="379"/>
      <c r="F178" s="34"/>
      <c r="G178" s="34"/>
      <c r="H178" s="34"/>
      <c r="I178" s="34"/>
      <c r="J178" s="34"/>
      <c r="K178" s="34"/>
      <c r="L178" s="34"/>
      <c r="M178" s="34"/>
      <c r="N178" s="34"/>
      <c r="O178" s="34"/>
      <c r="P178" s="34"/>
      <c r="Q178" s="34"/>
      <c r="R178" s="34"/>
      <c r="S178" s="141"/>
      <c r="T178" s="34"/>
      <c r="U178" s="43">
        <v>121</v>
      </c>
      <c r="V178" s="708"/>
      <c r="W178" s="588"/>
      <c r="X178" s="379"/>
      <c r="Y178" s="34"/>
      <c r="Z178" s="34"/>
      <c r="AA178" s="34"/>
      <c r="AB178" s="34"/>
      <c r="AC178" s="34"/>
      <c r="AD178" s="34"/>
      <c r="AE178" s="34"/>
      <c r="AF178" s="34"/>
      <c r="AG178" s="34"/>
      <c r="AH178" s="34"/>
      <c r="AI178" s="34"/>
      <c r="AJ178" s="34"/>
      <c r="AK178" s="34"/>
      <c r="AL178" s="141"/>
    </row>
    <row r="179" spans="1:38" ht="12.75" customHeight="1">
      <c r="B179" s="43">
        <v>122</v>
      </c>
      <c r="C179" s="708"/>
      <c r="D179" s="588"/>
      <c r="E179" s="379"/>
      <c r="S179" s="141"/>
      <c r="U179" s="43">
        <v>122</v>
      </c>
      <c r="V179" s="708"/>
      <c r="W179" s="588"/>
      <c r="X179" s="379"/>
      <c r="AL179" s="141"/>
    </row>
    <row r="180" spans="1:38" ht="12.75" customHeight="1">
      <c r="B180" s="43">
        <v>123</v>
      </c>
      <c r="C180" s="708"/>
      <c r="D180" s="588"/>
      <c r="E180" s="379"/>
      <c r="S180" s="141"/>
      <c r="U180" s="43">
        <v>123</v>
      </c>
      <c r="V180" s="708"/>
      <c r="W180" s="588"/>
      <c r="X180" s="379"/>
      <c r="AL180" s="141"/>
    </row>
    <row r="181" spans="1:38" ht="12.75" customHeight="1">
      <c r="B181" s="43">
        <v>124</v>
      </c>
      <c r="C181" s="708"/>
      <c r="D181" s="588"/>
      <c r="E181" s="379"/>
      <c r="S181" s="141"/>
      <c r="U181" s="43">
        <v>124</v>
      </c>
      <c r="V181" s="708"/>
      <c r="W181" s="588"/>
      <c r="X181" s="379"/>
      <c r="AL181" s="141"/>
    </row>
    <row r="182" spans="1:38" ht="12.75" customHeight="1">
      <c r="B182" s="43">
        <v>125</v>
      </c>
      <c r="C182" s="708"/>
      <c r="D182" s="588"/>
      <c r="E182" s="379"/>
      <c r="S182" s="141"/>
      <c r="U182" s="43">
        <v>125</v>
      </c>
      <c r="V182" s="708"/>
      <c r="W182" s="588"/>
      <c r="X182" s="379"/>
      <c r="AL182" s="141"/>
    </row>
    <row r="183" spans="1:38" ht="12.75" customHeight="1">
      <c r="B183" s="43">
        <v>126</v>
      </c>
      <c r="C183" s="708"/>
      <c r="D183" s="588"/>
      <c r="E183" s="379"/>
      <c r="S183" s="141"/>
      <c r="U183" s="43">
        <v>126</v>
      </c>
      <c r="V183" s="708"/>
      <c r="W183" s="588"/>
      <c r="X183" s="379"/>
      <c r="AL183" s="141"/>
    </row>
    <row r="184" spans="1:38" ht="12.75" customHeight="1">
      <c r="B184" s="43">
        <v>127</v>
      </c>
      <c r="C184" s="708"/>
      <c r="D184" s="588"/>
      <c r="E184" s="379"/>
      <c r="S184" s="141"/>
      <c r="U184" s="43">
        <v>127</v>
      </c>
      <c r="V184" s="708"/>
      <c r="W184" s="588"/>
      <c r="X184" s="379"/>
      <c r="AL184" s="141"/>
    </row>
    <row r="185" spans="1:38" ht="12.75" customHeight="1">
      <c r="B185" s="43">
        <v>128</v>
      </c>
      <c r="C185" s="708"/>
      <c r="D185" s="588"/>
      <c r="E185" s="379"/>
      <c r="S185" s="141"/>
      <c r="U185" s="43">
        <v>128</v>
      </c>
      <c r="V185" s="708"/>
      <c r="W185" s="588"/>
      <c r="X185" s="379"/>
      <c r="AL185" s="141"/>
    </row>
    <row r="186" spans="1:38" ht="12.75" customHeight="1">
      <c r="B186" s="43">
        <v>129</v>
      </c>
      <c r="C186" s="708"/>
      <c r="D186" s="588"/>
      <c r="E186" s="379"/>
      <c r="S186" s="141"/>
      <c r="U186" s="43">
        <v>129</v>
      </c>
      <c r="V186" s="708"/>
      <c r="W186" s="588"/>
      <c r="X186" s="379"/>
      <c r="AL186" s="141"/>
    </row>
    <row r="187" spans="1:38" ht="12.75" customHeight="1">
      <c r="B187" s="43">
        <v>130</v>
      </c>
      <c r="C187" s="708"/>
      <c r="D187" s="588"/>
      <c r="E187" s="379"/>
      <c r="S187" s="141"/>
      <c r="U187" s="43">
        <v>130</v>
      </c>
      <c r="V187" s="708"/>
      <c r="W187" s="588"/>
      <c r="X187" s="379"/>
      <c r="AL187" s="141"/>
    </row>
    <row r="188" spans="1:38" ht="12.75" customHeight="1">
      <c r="B188" s="43">
        <v>131</v>
      </c>
      <c r="C188" s="708"/>
      <c r="D188" s="588"/>
      <c r="E188" s="379"/>
      <c r="S188" s="141"/>
      <c r="U188" s="43">
        <v>131</v>
      </c>
      <c r="V188" s="708"/>
      <c r="W188" s="588"/>
      <c r="X188" s="379"/>
      <c r="AL188" s="141"/>
    </row>
    <row r="189" spans="1:38" ht="12.75" customHeight="1">
      <c r="B189" s="43">
        <v>132</v>
      </c>
      <c r="C189" s="708"/>
      <c r="D189" s="588"/>
      <c r="E189" s="379"/>
      <c r="S189" s="141"/>
      <c r="U189" s="43">
        <v>132</v>
      </c>
      <c r="V189" s="708"/>
      <c r="W189" s="588"/>
      <c r="X189" s="379"/>
      <c r="AL189" s="141"/>
    </row>
    <row r="190" spans="1:38" ht="12.75" customHeight="1">
      <c r="B190" s="43">
        <v>133</v>
      </c>
      <c r="C190" s="708"/>
      <c r="D190" s="588"/>
      <c r="E190" s="379"/>
      <c r="S190" s="141"/>
      <c r="U190" s="43">
        <v>133</v>
      </c>
      <c r="V190" s="708"/>
      <c r="W190" s="588"/>
      <c r="X190" s="379"/>
      <c r="AL190" s="141"/>
    </row>
    <row r="191" spans="1:38" ht="12.75" customHeight="1">
      <c r="B191" s="43">
        <v>134</v>
      </c>
      <c r="C191" s="708"/>
      <c r="D191" s="588"/>
      <c r="E191" s="379"/>
      <c r="S191" s="141"/>
      <c r="U191" s="43">
        <v>134</v>
      </c>
      <c r="V191" s="708"/>
      <c r="W191" s="588"/>
      <c r="X191" s="379"/>
      <c r="AL191" s="141"/>
    </row>
    <row r="192" spans="1:38" ht="12.75" customHeight="1">
      <c r="B192" s="43">
        <v>135</v>
      </c>
      <c r="C192" s="708"/>
      <c r="D192" s="588"/>
      <c r="E192" s="379"/>
      <c r="S192" s="141"/>
      <c r="U192" s="43">
        <v>135</v>
      </c>
      <c r="V192" s="708"/>
      <c r="W192" s="588"/>
      <c r="X192" s="379"/>
      <c r="AL192" s="141"/>
    </row>
    <row r="193" spans="2:38" ht="12.75" customHeight="1">
      <c r="B193" s="43">
        <v>136</v>
      </c>
      <c r="C193" s="708"/>
      <c r="D193" s="588"/>
      <c r="E193" s="379"/>
      <c r="S193" s="141"/>
      <c r="U193" s="43">
        <v>136</v>
      </c>
      <c r="V193" s="708"/>
      <c r="W193" s="588"/>
      <c r="X193" s="379"/>
      <c r="AL193" s="141"/>
    </row>
    <row r="194" spans="2:38" ht="12.75" customHeight="1">
      <c r="B194" s="43">
        <v>137</v>
      </c>
      <c r="C194" s="708"/>
      <c r="D194" s="588"/>
      <c r="E194" s="379"/>
      <c r="S194" s="141"/>
      <c r="U194" s="43">
        <v>137</v>
      </c>
      <c r="V194" s="708"/>
      <c r="W194" s="588"/>
      <c r="X194" s="379"/>
      <c r="AL194" s="141"/>
    </row>
    <row r="195" spans="2:38" ht="12.75" customHeight="1">
      <c r="B195" s="43">
        <v>138</v>
      </c>
      <c r="C195" s="708"/>
      <c r="D195" s="588"/>
      <c r="E195" s="379"/>
      <c r="S195" s="141"/>
      <c r="U195" s="43">
        <v>138</v>
      </c>
      <c r="V195" s="708"/>
      <c r="W195" s="588"/>
      <c r="X195" s="379"/>
      <c r="AL195" s="141"/>
    </row>
    <row r="196" spans="2:38" ht="12.75" customHeight="1">
      <c r="B196" s="43">
        <v>139</v>
      </c>
      <c r="C196" s="708"/>
      <c r="D196" s="588"/>
      <c r="E196" s="379"/>
      <c r="S196" s="141"/>
      <c r="U196" s="43">
        <v>139</v>
      </c>
      <c r="V196" s="708"/>
      <c r="W196" s="588"/>
      <c r="X196" s="379"/>
      <c r="AL196" s="141"/>
    </row>
    <row r="197" spans="2:38" ht="12.75" customHeight="1">
      <c r="B197" s="43">
        <v>140</v>
      </c>
      <c r="C197" s="708"/>
      <c r="D197" s="588"/>
      <c r="E197" s="379"/>
      <c r="S197" s="141"/>
      <c r="U197" s="43">
        <v>140</v>
      </c>
      <c r="V197" s="708"/>
      <c r="W197" s="588"/>
      <c r="X197" s="379"/>
      <c r="AL197" s="141"/>
    </row>
    <row r="198" spans="2:38" ht="12.75" customHeight="1">
      <c r="B198" s="43">
        <v>141</v>
      </c>
      <c r="C198" s="708"/>
      <c r="D198" s="588"/>
      <c r="E198" s="379"/>
      <c r="S198" s="141"/>
      <c r="U198" s="43">
        <v>141</v>
      </c>
      <c r="V198" s="708"/>
      <c r="W198" s="588"/>
      <c r="X198" s="379"/>
      <c r="AL198" s="141"/>
    </row>
    <row r="199" spans="2:38" ht="12.75" customHeight="1">
      <c r="B199" s="43">
        <v>142</v>
      </c>
      <c r="C199" s="708"/>
      <c r="D199" s="588"/>
      <c r="E199" s="379"/>
      <c r="S199" s="141"/>
      <c r="U199" s="43">
        <v>142</v>
      </c>
      <c r="V199" s="708"/>
      <c r="W199" s="588"/>
      <c r="X199" s="379"/>
      <c r="AL199" s="141"/>
    </row>
    <row r="200" spans="2:38" ht="12.75" customHeight="1">
      <c r="B200" s="43">
        <v>143</v>
      </c>
      <c r="C200" s="708"/>
      <c r="D200" s="588"/>
      <c r="E200" s="379"/>
      <c r="S200" s="141"/>
      <c r="U200" s="43">
        <v>143</v>
      </c>
      <c r="V200" s="708"/>
      <c r="W200" s="588"/>
      <c r="X200" s="379"/>
      <c r="AL200" s="141"/>
    </row>
    <row r="201" spans="2:38" ht="12.75" customHeight="1">
      <c r="B201" s="43">
        <v>144</v>
      </c>
      <c r="C201" s="708"/>
      <c r="D201" s="588"/>
      <c r="E201" s="379"/>
      <c r="S201" s="141"/>
      <c r="U201" s="43">
        <v>144</v>
      </c>
      <c r="V201" s="708"/>
      <c r="W201" s="588"/>
      <c r="X201" s="379"/>
      <c r="AL201" s="141"/>
    </row>
    <row r="202" spans="2:38" ht="12.75" customHeight="1">
      <c r="B202" s="43">
        <v>145</v>
      </c>
      <c r="C202" s="708"/>
      <c r="D202" s="588"/>
      <c r="E202" s="379"/>
      <c r="S202" s="141"/>
      <c r="U202" s="43">
        <v>145</v>
      </c>
      <c r="V202" s="708"/>
      <c r="W202" s="588"/>
      <c r="X202" s="379"/>
      <c r="AL202" s="141"/>
    </row>
    <row r="203" spans="2:38" ht="12.75" customHeight="1">
      <c r="B203" s="43">
        <v>146</v>
      </c>
      <c r="C203" s="708"/>
      <c r="D203" s="588"/>
      <c r="E203" s="379"/>
      <c r="S203" s="141"/>
      <c r="U203" s="43">
        <v>146</v>
      </c>
      <c r="V203" s="708"/>
      <c r="W203" s="588"/>
      <c r="X203" s="379"/>
      <c r="AL203" s="141"/>
    </row>
    <row r="204" spans="2:38" ht="12.75" customHeight="1">
      <c r="B204" s="43">
        <v>147</v>
      </c>
      <c r="C204" s="708"/>
      <c r="D204" s="588"/>
      <c r="E204" s="379"/>
      <c r="S204" s="141"/>
      <c r="U204" s="43">
        <v>147</v>
      </c>
      <c r="V204" s="708"/>
      <c r="W204" s="588"/>
      <c r="X204" s="379"/>
      <c r="AL204" s="141"/>
    </row>
    <row r="205" spans="2:38" ht="12.75" customHeight="1">
      <c r="B205" s="43">
        <v>148</v>
      </c>
      <c r="C205" s="708"/>
      <c r="D205" s="588"/>
      <c r="E205" s="379"/>
      <c r="S205" s="141"/>
      <c r="U205" s="43">
        <v>148</v>
      </c>
      <c r="V205" s="708"/>
      <c r="W205" s="588"/>
      <c r="X205" s="379"/>
      <c r="AL205" s="141"/>
    </row>
    <row r="206" spans="2:38" ht="12.75" customHeight="1">
      <c r="B206" s="43">
        <v>149</v>
      </c>
      <c r="C206" s="708"/>
      <c r="D206" s="588"/>
      <c r="E206" s="379"/>
      <c r="S206" s="141"/>
      <c r="U206" s="43">
        <v>149</v>
      </c>
      <c r="V206" s="708"/>
      <c r="W206" s="588"/>
      <c r="X206" s="379"/>
      <c r="AL206" s="141"/>
    </row>
    <row r="207" spans="2:38" ht="12.75" customHeight="1">
      <c r="B207" s="43">
        <v>150</v>
      </c>
      <c r="C207" s="708"/>
      <c r="D207" s="588"/>
      <c r="E207" s="379"/>
      <c r="S207" s="141"/>
      <c r="U207" s="43">
        <v>150</v>
      </c>
      <c r="V207" s="708"/>
      <c r="W207" s="588"/>
      <c r="X207" s="379"/>
      <c r="AL207" s="141"/>
    </row>
    <row r="208" spans="2:38" ht="12.75" customHeight="1">
      <c r="B208" s="43">
        <v>151</v>
      </c>
      <c r="C208" s="708"/>
      <c r="D208" s="588"/>
      <c r="E208" s="379"/>
      <c r="S208" s="141"/>
      <c r="U208" s="43">
        <v>151</v>
      </c>
      <c r="V208" s="708"/>
      <c r="W208" s="588"/>
      <c r="X208" s="379"/>
      <c r="AL208" s="141"/>
    </row>
    <row r="209" spans="2:38" ht="12.75" customHeight="1">
      <c r="B209" s="43">
        <v>152</v>
      </c>
      <c r="C209" s="708"/>
      <c r="D209" s="588"/>
      <c r="E209" s="379"/>
      <c r="S209" s="141"/>
      <c r="U209" s="43">
        <v>152</v>
      </c>
      <c r="V209" s="708"/>
      <c r="W209" s="588"/>
      <c r="X209" s="379"/>
      <c r="AL209" s="141"/>
    </row>
    <row r="210" spans="2:38" ht="12.75" customHeight="1">
      <c r="B210" s="43">
        <v>153</v>
      </c>
      <c r="C210" s="708"/>
      <c r="D210" s="588"/>
      <c r="E210" s="379"/>
      <c r="S210" s="141"/>
      <c r="U210" s="43">
        <v>153</v>
      </c>
      <c r="V210" s="708"/>
      <c r="W210" s="588"/>
      <c r="X210" s="379"/>
      <c r="AL210" s="141"/>
    </row>
    <row r="211" spans="2:38" ht="12.75" customHeight="1">
      <c r="B211" s="43">
        <v>154</v>
      </c>
      <c r="C211" s="708"/>
      <c r="D211" s="588"/>
      <c r="E211" s="379"/>
      <c r="S211" s="141"/>
      <c r="U211" s="43">
        <v>154</v>
      </c>
      <c r="V211" s="708"/>
      <c r="W211" s="588"/>
      <c r="X211" s="379"/>
      <c r="AL211" s="141"/>
    </row>
    <row r="212" spans="2:38" ht="12.75" customHeight="1">
      <c r="B212" s="43">
        <v>155</v>
      </c>
      <c r="C212" s="708"/>
      <c r="D212" s="588"/>
      <c r="E212" s="379"/>
      <c r="S212" s="141"/>
      <c r="U212" s="43">
        <v>155</v>
      </c>
      <c r="V212" s="708"/>
      <c r="W212" s="588"/>
      <c r="X212" s="379"/>
      <c r="AL212" s="141"/>
    </row>
    <row r="213" spans="2:38" ht="12.75" customHeight="1">
      <c r="B213" s="43">
        <v>156</v>
      </c>
      <c r="C213" s="708"/>
      <c r="D213" s="588"/>
      <c r="E213" s="379"/>
      <c r="S213" s="141"/>
      <c r="U213" s="43">
        <v>156</v>
      </c>
      <c r="V213" s="708"/>
      <c r="W213" s="588"/>
      <c r="X213" s="379"/>
      <c r="AL213" s="141"/>
    </row>
    <row r="214" spans="2:38" ht="12.75" customHeight="1">
      <c r="B214" s="43">
        <v>157</v>
      </c>
      <c r="C214" s="708"/>
      <c r="D214" s="588"/>
      <c r="E214" s="379"/>
      <c r="S214" s="141"/>
      <c r="U214" s="43">
        <v>157</v>
      </c>
      <c r="V214" s="708"/>
      <c r="W214" s="588"/>
      <c r="X214" s="379"/>
      <c r="AL214" s="141"/>
    </row>
    <row r="215" spans="2:38" ht="12.75" customHeight="1">
      <c r="B215" s="43">
        <v>158</v>
      </c>
      <c r="C215" s="708"/>
      <c r="D215" s="588"/>
      <c r="E215" s="379"/>
      <c r="S215" s="141"/>
      <c r="U215" s="43">
        <v>158</v>
      </c>
      <c r="V215" s="708"/>
      <c r="W215" s="588"/>
      <c r="X215" s="379"/>
      <c r="AL215" s="141"/>
    </row>
    <row r="216" spans="2:38" ht="12.75" customHeight="1">
      <c r="B216" s="43">
        <v>159</v>
      </c>
      <c r="C216" s="708"/>
      <c r="D216" s="588"/>
      <c r="E216" s="379"/>
      <c r="S216" s="141"/>
      <c r="U216" s="43">
        <v>159</v>
      </c>
      <c r="V216" s="708"/>
      <c r="W216" s="588"/>
      <c r="X216" s="379"/>
      <c r="AL216" s="141"/>
    </row>
    <row r="217" spans="2:38" ht="12.75" customHeight="1">
      <c r="B217" s="43">
        <v>160</v>
      </c>
      <c r="C217" s="708"/>
      <c r="D217" s="588"/>
      <c r="E217" s="379"/>
      <c r="S217" s="141"/>
      <c r="U217" s="43">
        <v>160</v>
      </c>
      <c r="V217" s="708"/>
      <c r="W217" s="588"/>
      <c r="X217" s="379"/>
      <c r="AL217" s="141"/>
    </row>
    <row r="218" spans="2:38" ht="12.75" customHeight="1">
      <c r="B218" s="43">
        <v>161</v>
      </c>
      <c r="C218" s="708"/>
      <c r="D218" s="588"/>
      <c r="E218" s="379"/>
      <c r="S218" s="141"/>
      <c r="U218" s="43">
        <v>161</v>
      </c>
      <c r="V218" s="708"/>
      <c r="W218" s="588"/>
      <c r="X218" s="379"/>
      <c r="AL218" s="141"/>
    </row>
    <row r="219" spans="2:38" ht="12.75" customHeight="1">
      <c r="B219" s="43">
        <v>162</v>
      </c>
      <c r="C219" s="708"/>
      <c r="D219" s="588"/>
      <c r="E219" s="379"/>
      <c r="S219" s="141"/>
      <c r="U219" s="43">
        <v>162</v>
      </c>
      <c r="V219" s="708"/>
      <c r="W219" s="588"/>
      <c r="X219" s="379"/>
      <c r="AL219" s="141"/>
    </row>
    <row r="220" spans="2:38" ht="12.75" customHeight="1">
      <c r="B220" s="43">
        <v>163</v>
      </c>
      <c r="C220" s="708"/>
      <c r="D220" s="588"/>
      <c r="E220" s="379"/>
      <c r="S220" s="141"/>
      <c r="U220" s="43">
        <v>163</v>
      </c>
      <c r="V220" s="708"/>
      <c r="W220" s="588"/>
      <c r="X220" s="379"/>
      <c r="AL220" s="141"/>
    </row>
    <row r="221" spans="2:38" ht="12.75" customHeight="1">
      <c r="B221" s="43">
        <v>164</v>
      </c>
      <c r="C221" s="708"/>
      <c r="D221" s="588"/>
      <c r="E221" s="379"/>
      <c r="S221" s="141"/>
      <c r="U221" s="43">
        <v>164</v>
      </c>
      <c r="V221" s="708"/>
      <c r="W221" s="588"/>
      <c r="X221" s="379"/>
      <c r="AL221" s="141"/>
    </row>
    <row r="222" spans="2:38" ht="12.75" customHeight="1">
      <c r="B222" s="43">
        <v>165</v>
      </c>
      <c r="C222" s="708"/>
      <c r="D222" s="588"/>
      <c r="E222" s="379"/>
      <c r="S222" s="141"/>
      <c r="U222" s="43">
        <v>165</v>
      </c>
      <c r="V222" s="708"/>
      <c r="W222" s="588"/>
      <c r="X222" s="379"/>
      <c r="AL222" s="141"/>
    </row>
    <row r="223" spans="2:38" ht="12.75" customHeight="1">
      <c r="B223" s="43">
        <v>166</v>
      </c>
      <c r="C223" s="708"/>
      <c r="D223" s="588"/>
      <c r="E223" s="379"/>
      <c r="S223" s="141"/>
      <c r="U223" s="43">
        <v>166</v>
      </c>
      <c r="V223" s="708"/>
      <c r="W223" s="588"/>
      <c r="X223" s="379"/>
      <c r="AL223" s="141"/>
    </row>
    <row r="224" spans="2:38" ht="12.75" customHeight="1">
      <c r="B224" s="43">
        <v>167</v>
      </c>
      <c r="C224" s="708"/>
      <c r="D224" s="588"/>
      <c r="E224" s="379"/>
      <c r="S224" s="141"/>
      <c r="U224" s="43">
        <v>167</v>
      </c>
      <c r="V224" s="708"/>
      <c r="W224" s="588"/>
      <c r="X224" s="379"/>
      <c r="AL224" s="141"/>
    </row>
    <row r="225" spans="2:38" ht="12.75" customHeight="1">
      <c r="B225" s="43">
        <v>168</v>
      </c>
      <c r="C225" s="708"/>
      <c r="D225" s="588"/>
      <c r="E225" s="379"/>
      <c r="S225" s="141"/>
      <c r="U225" s="43">
        <v>168</v>
      </c>
      <c r="V225" s="708"/>
      <c r="W225" s="588"/>
      <c r="X225" s="379"/>
      <c r="AL225" s="141"/>
    </row>
    <row r="226" spans="2:38" ht="12.75" customHeight="1">
      <c r="B226" s="43">
        <v>169</v>
      </c>
      <c r="C226" s="708"/>
      <c r="D226" s="588"/>
      <c r="E226" s="379"/>
      <c r="S226" s="141"/>
      <c r="U226" s="43">
        <v>169</v>
      </c>
      <c r="V226" s="708"/>
      <c r="W226" s="588"/>
      <c r="X226" s="379"/>
      <c r="AL226" s="141"/>
    </row>
    <row r="227" spans="2:38" ht="12.75" customHeight="1">
      <c r="B227" s="43">
        <v>170</v>
      </c>
      <c r="C227" s="708"/>
      <c r="D227" s="588"/>
      <c r="E227" s="379"/>
      <c r="S227" s="141"/>
      <c r="U227" s="43">
        <v>170</v>
      </c>
      <c r="V227" s="708"/>
      <c r="W227" s="588"/>
      <c r="X227" s="379"/>
      <c r="AL227" s="141"/>
    </row>
    <row r="228" spans="2:38" ht="12.75" customHeight="1">
      <c r="B228" s="43">
        <v>171</v>
      </c>
      <c r="C228" s="708"/>
      <c r="D228" s="588"/>
      <c r="E228" s="379"/>
      <c r="S228" s="141"/>
      <c r="U228" s="43">
        <v>171</v>
      </c>
      <c r="V228" s="708"/>
      <c r="W228" s="588"/>
      <c r="X228" s="379"/>
      <c r="AL228" s="141"/>
    </row>
    <row r="229" spans="2:38" ht="12.75" customHeight="1">
      <c r="B229" s="43">
        <v>172</v>
      </c>
      <c r="C229" s="708"/>
      <c r="D229" s="588"/>
      <c r="E229" s="379"/>
      <c r="S229" s="141"/>
      <c r="U229" s="43">
        <v>172</v>
      </c>
      <c r="V229" s="708"/>
      <c r="W229" s="588"/>
      <c r="X229" s="379"/>
      <c r="AL229" s="141"/>
    </row>
    <row r="230" spans="2:38" ht="12.75" customHeight="1">
      <c r="B230" s="43">
        <v>173</v>
      </c>
      <c r="C230" s="708"/>
      <c r="D230" s="588"/>
      <c r="E230" s="379"/>
      <c r="S230" s="141"/>
      <c r="U230" s="43">
        <v>173</v>
      </c>
      <c r="V230" s="708"/>
      <c r="W230" s="588"/>
      <c r="X230" s="379"/>
      <c r="AL230" s="141"/>
    </row>
    <row r="231" spans="2:38" ht="12.75" customHeight="1">
      <c r="B231" s="43">
        <v>174</v>
      </c>
      <c r="C231" s="708"/>
      <c r="D231" s="588"/>
      <c r="E231" s="379"/>
      <c r="S231" s="141"/>
      <c r="U231" s="43">
        <v>174</v>
      </c>
      <c r="V231" s="708"/>
      <c r="W231" s="588"/>
      <c r="X231" s="379"/>
      <c r="AL231" s="141"/>
    </row>
    <row r="232" spans="2:38" ht="12.75" customHeight="1">
      <c r="B232" s="43">
        <v>175</v>
      </c>
      <c r="C232" s="708"/>
      <c r="D232" s="588"/>
      <c r="E232" s="379"/>
      <c r="S232" s="141"/>
      <c r="U232" s="43">
        <v>175</v>
      </c>
      <c r="V232" s="708"/>
      <c r="W232" s="588"/>
      <c r="X232" s="379"/>
      <c r="AL232" s="141"/>
    </row>
    <row r="233" spans="2:38" ht="12.75" customHeight="1">
      <c r="B233" s="43">
        <v>176</v>
      </c>
      <c r="C233" s="708"/>
      <c r="D233" s="588"/>
      <c r="E233" s="379"/>
      <c r="S233" s="141"/>
      <c r="U233" s="43">
        <v>176</v>
      </c>
      <c r="V233" s="708"/>
      <c r="W233" s="588"/>
      <c r="X233" s="379"/>
      <c r="AL233" s="141"/>
    </row>
    <row r="234" spans="2:38" ht="12.75" customHeight="1">
      <c r="B234" s="43">
        <v>177</v>
      </c>
      <c r="C234" s="708"/>
      <c r="D234" s="588"/>
      <c r="E234" s="379"/>
      <c r="S234" s="141"/>
      <c r="U234" s="43">
        <v>177</v>
      </c>
      <c r="V234" s="708"/>
      <c r="W234" s="588"/>
      <c r="X234" s="379"/>
      <c r="AL234" s="141"/>
    </row>
    <row r="235" spans="2:38" ht="12.75" customHeight="1">
      <c r="B235" s="43">
        <v>178</v>
      </c>
      <c r="C235" s="708"/>
      <c r="D235" s="588"/>
      <c r="E235" s="379"/>
      <c r="S235" s="141"/>
      <c r="U235" s="43">
        <v>178</v>
      </c>
      <c r="V235" s="708"/>
      <c r="W235" s="588"/>
      <c r="X235" s="379"/>
      <c r="AL235" s="141"/>
    </row>
    <row r="236" spans="2:38" ht="12.75" customHeight="1">
      <c r="B236" s="43">
        <v>179</v>
      </c>
      <c r="C236" s="708"/>
      <c r="D236" s="588"/>
      <c r="E236" s="379"/>
      <c r="S236" s="141"/>
      <c r="U236" s="43">
        <v>179</v>
      </c>
      <c r="V236" s="708"/>
      <c r="W236" s="588"/>
      <c r="X236" s="379"/>
      <c r="AL236" s="141"/>
    </row>
    <row r="237" spans="2:38" ht="12.75" customHeight="1">
      <c r="B237" s="43">
        <v>180</v>
      </c>
      <c r="C237" s="708"/>
      <c r="D237" s="588"/>
      <c r="E237" s="379"/>
      <c r="S237" s="141"/>
      <c r="U237" s="43">
        <v>180</v>
      </c>
      <c r="V237" s="708"/>
      <c r="W237" s="588"/>
      <c r="X237" s="379"/>
      <c r="AL237" s="141"/>
    </row>
    <row r="238" spans="2:38" ht="12.75" customHeight="1">
      <c r="B238" s="43">
        <v>181</v>
      </c>
      <c r="C238" s="708"/>
      <c r="D238" s="588"/>
      <c r="E238" s="379"/>
      <c r="S238" s="141"/>
      <c r="U238" s="43">
        <v>181</v>
      </c>
      <c r="V238" s="708"/>
      <c r="W238" s="588"/>
      <c r="X238" s="379"/>
      <c r="AL238" s="141"/>
    </row>
    <row r="239" spans="2:38" ht="12.75" customHeight="1">
      <c r="B239" s="43">
        <v>182</v>
      </c>
      <c r="C239" s="708"/>
      <c r="D239" s="588"/>
      <c r="E239" s="379"/>
      <c r="S239" s="141"/>
      <c r="U239" s="43">
        <v>182</v>
      </c>
      <c r="V239" s="708"/>
      <c r="W239" s="588"/>
      <c r="X239" s="379"/>
      <c r="AL239" s="141"/>
    </row>
    <row r="240" spans="2:38" ht="12.75" customHeight="1">
      <c r="B240" s="43">
        <v>183</v>
      </c>
      <c r="C240" s="708"/>
      <c r="D240" s="588"/>
      <c r="E240" s="379"/>
      <c r="S240" s="141"/>
      <c r="U240" s="43">
        <v>183</v>
      </c>
      <c r="V240" s="708"/>
      <c r="W240" s="588"/>
      <c r="X240" s="379"/>
      <c r="AL240" s="141"/>
    </row>
    <row r="241" spans="2:38" ht="12.75" customHeight="1">
      <c r="B241" s="43">
        <v>184</v>
      </c>
      <c r="C241" s="708"/>
      <c r="D241" s="588"/>
      <c r="E241" s="379"/>
      <c r="S241" s="141"/>
      <c r="U241" s="43">
        <v>184</v>
      </c>
      <c r="V241" s="708"/>
      <c r="W241" s="588"/>
      <c r="X241" s="379"/>
      <c r="AL241" s="141"/>
    </row>
    <row r="242" spans="2:38" ht="12.75" customHeight="1">
      <c r="B242" s="43">
        <v>185</v>
      </c>
      <c r="C242" s="708"/>
      <c r="D242" s="588"/>
      <c r="E242" s="379"/>
      <c r="S242" s="141"/>
      <c r="U242" s="43">
        <v>185</v>
      </c>
      <c r="V242" s="708"/>
      <c r="W242" s="588"/>
      <c r="X242" s="379"/>
      <c r="AL242" s="141"/>
    </row>
    <row r="243" spans="2:38" ht="12.75" customHeight="1">
      <c r="B243" s="43">
        <v>186</v>
      </c>
      <c r="C243" s="708"/>
      <c r="D243" s="588"/>
      <c r="E243" s="379"/>
      <c r="S243" s="141"/>
      <c r="U243" s="43">
        <v>186</v>
      </c>
      <c r="V243" s="708"/>
      <c r="W243" s="588"/>
      <c r="X243" s="379"/>
      <c r="AL243" s="141"/>
    </row>
    <row r="244" spans="2:38" ht="12.75" customHeight="1">
      <c r="B244" s="43">
        <v>187</v>
      </c>
      <c r="C244" s="708"/>
      <c r="D244" s="588"/>
      <c r="E244" s="379"/>
      <c r="S244" s="141"/>
      <c r="U244" s="43">
        <v>187</v>
      </c>
      <c r="V244" s="708"/>
      <c r="W244" s="588"/>
      <c r="X244" s="379"/>
      <c r="AL244" s="141"/>
    </row>
    <row r="245" spans="2:38" ht="12.75" customHeight="1">
      <c r="B245" s="43">
        <v>188</v>
      </c>
      <c r="C245" s="708"/>
      <c r="D245" s="588"/>
      <c r="E245" s="379"/>
      <c r="S245" s="141"/>
      <c r="U245" s="43">
        <v>188</v>
      </c>
      <c r="V245" s="708"/>
      <c r="W245" s="588"/>
      <c r="X245" s="379"/>
      <c r="AL245" s="141"/>
    </row>
    <row r="246" spans="2:38" ht="12.75" customHeight="1">
      <c r="B246" s="43">
        <v>189</v>
      </c>
      <c r="C246" s="708"/>
      <c r="D246" s="588"/>
      <c r="E246" s="379"/>
      <c r="S246" s="141"/>
      <c r="U246" s="43">
        <v>189</v>
      </c>
      <c r="V246" s="708"/>
      <c r="W246" s="588"/>
      <c r="X246" s="379"/>
      <c r="AL246" s="141"/>
    </row>
    <row r="247" spans="2:38" ht="12.75" customHeight="1">
      <c r="B247" s="43">
        <v>190</v>
      </c>
      <c r="C247" s="708"/>
      <c r="D247" s="588"/>
      <c r="E247" s="379"/>
      <c r="S247" s="141"/>
      <c r="U247" s="43">
        <v>190</v>
      </c>
      <c r="V247" s="708"/>
      <c r="W247" s="588"/>
      <c r="X247" s="379"/>
      <c r="AL247" s="141"/>
    </row>
    <row r="248" spans="2:38" ht="12.75" customHeight="1">
      <c r="B248" s="43">
        <v>191</v>
      </c>
      <c r="C248" s="708"/>
      <c r="D248" s="588"/>
      <c r="E248" s="379"/>
      <c r="S248" s="141"/>
      <c r="U248" s="43">
        <v>191</v>
      </c>
      <c r="V248" s="708"/>
      <c r="W248" s="588"/>
      <c r="X248" s="379"/>
      <c r="AL248" s="141"/>
    </row>
    <row r="249" spans="2:38" ht="12.75" customHeight="1">
      <c r="B249" s="43">
        <v>192</v>
      </c>
      <c r="C249" s="708"/>
      <c r="D249" s="588"/>
      <c r="E249" s="379"/>
      <c r="S249" s="141"/>
      <c r="U249" s="43">
        <v>192</v>
      </c>
      <c r="V249" s="708"/>
      <c r="W249" s="588"/>
      <c r="X249" s="379"/>
      <c r="AL249" s="141"/>
    </row>
    <row r="250" spans="2:38" ht="12.75" customHeight="1">
      <c r="B250" s="43">
        <v>193</v>
      </c>
      <c r="C250" s="708"/>
      <c r="D250" s="588"/>
      <c r="E250" s="379"/>
      <c r="S250" s="141"/>
      <c r="U250" s="43">
        <v>193</v>
      </c>
      <c r="V250" s="708"/>
      <c r="W250" s="588"/>
      <c r="X250" s="379"/>
      <c r="AL250" s="141"/>
    </row>
    <row r="251" spans="2:38" ht="12.75" customHeight="1">
      <c r="B251" s="43">
        <v>194</v>
      </c>
      <c r="C251" s="708"/>
      <c r="D251" s="588"/>
      <c r="E251" s="379"/>
      <c r="S251" s="141"/>
      <c r="U251" s="43">
        <v>194</v>
      </c>
      <c r="V251" s="708"/>
      <c r="W251" s="588"/>
      <c r="X251" s="379"/>
      <c r="AL251" s="141"/>
    </row>
    <row r="252" spans="2:38" ht="12.75" customHeight="1">
      <c r="B252" s="43">
        <v>195</v>
      </c>
      <c r="C252" s="708"/>
      <c r="D252" s="588"/>
      <c r="E252" s="379"/>
      <c r="S252" s="141"/>
      <c r="U252" s="43">
        <v>195</v>
      </c>
      <c r="V252" s="708"/>
      <c r="W252" s="588"/>
      <c r="X252" s="379"/>
      <c r="AL252" s="141"/>
    </row>
    <row r="253" spans="2:38" ht="12.75" customHeight="1">
      <c r="B253" s="43">
        <v>196</v>
      </c>
      <c r="C253" s="708"/>
      <c r="D253" s="588"/>
      <c r="E253" s="379"/>
      <c r="S253" s="141"/>
      <c r="U253" s="43">
        <v>196</v>
      </c>
      <c r="V253" s="708"/>
      <c r="W253" s="588"/>
      <c r="X253" s="379"/>
      <c r="AL253" s="141"/>
    </row>
    <row r="254" spans="2:38" ht="12.75" customHeight="1">
      <c r="B254" s="43">
        <v>197</v>
      </c>
      <c r="C254" s="708"/>
      <c r="D254" s="588"/>
      <c r="E254" s="379"/>
      <c r="S254" s="141"/>
      <c r="U254" s="43">
        <v>197</v>
      </c>
      <c r="V254" s="708"/>
      <c r="W254" s="588"/>
      <c r="X254" s="379"/>
      <c r="AL254" s="141"/>
    </row>
    <row r="255" spans="2:38" ht="12.75" customHeight="1">
      <c r="B255" s="43">
        <v>198</v>
      </c>
      <c r="C255" s="708"/>
      <c r="D255" s="588"/>
      <c r="E255" s="379"/>
      <c r="S255" s="141"/>
      <c r="U255" s="43">
        <v>198</v>
      </c>
      <c r="V255" s="708"/>
      <c r="W255" s="588"/>
      <c r="X255" s="379"/>
      <c r="AL255" s="141"/>
    </row>
    <row r="256" spans="2:38" ht="12.75" customHeight="1">
      <c r="B256" s="43">
        <v>199</v>
      </c>
      <c r="C256" s="708"/>
      <c r="D256" s="588"/>
      <c r="E256" s="379"/>
      <c r="S256" s="141"/>
      <c r="U256" s="43">
        <v>199</v>
      </c>
      <c r="V256" s="708"/>
      <c r="W256" s="588"/>
      <c r="X256" s="379"/>
      <c r="AL256" s="141"/>
    </row>
    <row r="257" spans="2:38" ht="12.75" customHeight="1">
      <c r="B257" s="43">
        <v>200</v>
      </c>
      <c r="C257" s="708"/>
      <c r="D257" s="588"/>
      <c r="E257" s="379"/>
      <c r="S257" s="141"/>
      <c r="U257" s="43">
        <v>200</v>
      </c>
      <c r="V257" s="708"/>
      <c r="W257" s="588"/>
      <c r="X257" s="379"/>
      <c r="AL257" s="141"/>
    </row>
    <row r="258" spans="2:38" ht="12.75" customHeight="1">
      <c r="B258" s="43">
        <v>201</v>
      </c>
      <c r="C258" s="708"/>
      <c r="D258" s="588"/>
      <c r="E258" s="379"/>
      <c r="S258" s="141"/>
      <c r="U258" s="43">
        <v>201</v>
      </c>
      <c r="V258" s="708"/>
      <c r="W258" s="588"/>
      <c r="X258" s="379"/>
      <c r="AL258" s="141"/>
    </row>
    <row r="259" spans="2:38" ht="12.75" customHeight="1">
      <c r="B259" s="43">
        <v>202</v>
      </c>
      <c r="C259" s="708"/>
      <c r="D259" s="588"/>
      <c r="E259" s="379"/>
      <c r="S259" s="141"/>
      <c r="U259" s="43">
        <v>202</v>
      </c>
      <c r="V259" s="708"/>
      <c r="W259" s="588"/>
      <c r="X259" s="379"/>
      <c r="AL259" s="141"/>
    </row>
    <row r="260" spans="2:38" ht="12.75" customHeight="1">
      <c r="B260" s="43">
        <v>203</v>
      </c>
      <c r="C260" s="708"/>
      <c r="D260" s="588"/>
      <c r="E260" s="379"/>
      <c r="S260" s="141"/>
      <c r="U260" s="43">
        <v>203</v>
      </c>
      <c r="V260" s="708"/>
      <c r="W260" s="588"/>
      <c r="X260" s="379"/>
      <c r="AL260" s="141"/>
    </row>
    <row r="261" spans="2:38" ht="12.75" customHeight="1">
      <c r="B261" s="43">
        <v>204</v>
      </c>
      <c r="C261" s="708"/>
      <c r="D261" s="588"/>
      <c r="E261" s="379"/>
      <c r="S261" s="141"/>
      <c r="U261" s="43">
        <v>204</v>
      </c>
      <c r="V261" s="708"/>
      <c r="W261" s="588"/>
      <c r="X261" s="379"/>
      <c r="AL261" s="141"/>
    </row>
    <row r="262" spans="2:38" ht="12.75" customHeight="1">
      <c r="B262" s="43">
        <v>205</v>
      </c>
      <c r="C262" s="708"/>
      <c r="D262" s="588"/>
      <c r="E262" s="379"/>
      <c r="S262" s="141"/>
      <c r="U262" s="43">
        <v>205</v>
      </c>
      <c r="V262" s="708"/>
      <c r="W262" s="588"/>
      <c r="X262" s="379"/>
      <c r="AL262" s="141"/>
    </row>
    <row r="263" spans="2:38" ht="12.75" customHeight="1">
      <c r="B263" s="43">
        <v>206</v>
      </c>
      <c r="C263" s="708"/>
      <c r="D263" s="588"/>
      <c r="E263" s="379"/>
      <c r="S263" s="141"/>
      <c r="U263" s="43">
        <v>206</v>
      </c>
      <c r="V263" s="708"/>
      <c r="W263" s="588"/>
      <c r="X263" s="379"/>
      <c r="AL263" s="141"/>
    </row>
    <row r="264" spans="2:38" ht="12.75" customHeight="1">
      <c r="B264" s="43">
        <v>207</v>
      </c>
      <c r="C264" s="708"/>
      <c r="D264" s="588"/>
      <c r="E264" s="379"/>
      <c r="S264" s="141"/>
      <c r="U264" s="43">
        <v>207</v>
      </c>
      <c r="V264" s="708"/>
      <c r="W264" s="588"/>
      <c r="X264" s="379"/>
      <c r="AL264" s="141"/>
    </row>
    <row r="265" spans="2:38" ht="12.75" customHeight="1">
      <c r="B265" s="43">
        <v>208</v>
      </c>
      <c r="C265" s="708"/>
      <c r="D265" s="588"/>
      <c r="E265" s="379"/>
      <c r="S265" s="141"/>
      <c r="U265" s="43">
        <v>208</v>
      </c>
      <c r="V265" s="708"/>
      <c r="W265" s="588"/>
      <c r="X265" s="379"/>
      <c r="AL265" s="141"/>
    </row>
    <row r="266" spans="2:38" ht="12.75" customHeight="1">
      <c r="B266" s="43">
        <v>209</v>
      </c>
      <c r="C266" s="708"/>
      <c r="D266" s="588"/>
      <c r="E266" s="379"/>
      <c r="S266" s="141"/>
      <c r="U266" s="43">
        <v>209</v>
      </c>
      <c r="V266" s="708"/>
      <c r="W266" s="588"/>
      <c r="X266" s="379"/>
      <c r="AL266" s="141"/>
    </row>
    <row r="267" spans="2:38" ht="12.75" customHeight="1">
      <c r="B267" s="43">
        <v>210</v>
      </c>
      <c r="C267" s="708"/>
      <c r="D267" s="588"/>
      <c r="E267" s="379"/>
      <c r="S267" s="141"/>
      <c r="U267" s="43">
        <v>210</v>
      </c>
      <c r="V267" s="708"/>
      <c r="W267" s="588"/>
      <c r="X267" s="379"/>
      <c r="AL267" s="141"/>
    </row>
    <row r="268" spans="2:38" ht="12.75" customHeight="1">
      <c r="B268" s="43">
        <v>211</v>
      </c>
      <c r="C268" s="708"/>
      <c r="D268" s="588"/>
      <c r="E268" s="379"/>
      <c r="S268" s="141"/>
      <c r="U268" s="43">
        <v>211</v>
      </c>
      <c r="V268" s="708"/>
      <c r="W268" s="588"/>
      <c r="X268" s="379"/>
      <c r="AL268" s="141"/>
    </row>
    <row r="269" spans="2:38" ht="12.75" customHeight="1">
      <c r="B269" s="43">
        <v>212</v>
      </c>
      <c r="C269" s="708"/>
      <c r="D269" s="588"/>
      <c r="E269" s="379"/>
      <c r="S269" s="141"/>
      <c r="U269" s="43">
        <v>212</v>
      </c>
      <c r="V269" s="708"/>
      <c r="W269" s="588"/>
      <c r="X269" s="379"/>
      <c r="AL269" s="141"/>
    </row>
    <row r="270" spans="2:38" ht="12.75" customHeight="1">
      <c r="B270" s="43">
        <v>213</v>
      </c>
      <c r="C270" s="708"/>
      <c r="D270" s="588"/>
      <c r="E270" s="379"/>
      <c r="S270" s="141"/>
      <c r="U270" s="43">
        <v>213</v>
      </c>
      <c r="V270" s="708"/>
      <c r="W270" s="588"/>
      <c r="X270" s="379"/>
      <c r="AL270" s="141"/>
    </row>
    <row r="271" spans="2:38" ht="12.75" customHeight="1">
      <c r="B271" s="43">
        <v>214</v>
      </c>
      <c r="C271" s="708"/>
      <c r="D271" s="588"/>
      <c r="E271" s="379"/>
      <c r="S271" s="141"/>
      <c r="U271" s="43">
        <v>214</v>
      </c>
      <c r="V271" s="708"/>
      <c r="W271" s="588"/>
      <c r="X271" s="379"/>
      <c r="AL271" s="141"/>
    </row>
    <row r="272" spans="2:38" ht="12.75" customHeight="1">
      <c r="B272" s="43">
        <v>215</v>
      </c>
      <c r="C272" s="708"/>
      <c r="D272" s="588"/>
      <c r="E272" s="379"/>
      <c r="S272" s="141"/>
      <c r="U272" s="43">
        <v>215</v>
      </c>
      <c r="V272" s="708"/>
      <c r="W272" s="588"/>
      <c r="X272" s="379"/>
      <c r="AL272" s="141"/>
    </row>
    <row r="273" spans="2:38" ht="12.75" customHeight="1">
      <c r="B273" s="43">
        <v>216</v>
      </c>
      <c r="C273" s="708"/>
      <c r="D273" s="588"/>
      <c r="E273" s="379"/>
      <c r="S273" s="141"/>
      <c r="U273" s="43">
        <v>216</v>
      </c>
      <c r="V273" s="708"/>
      <c r="W273" s="588"/>
      <c r="X273" s="379"/>
      <c r="AL273" s="141"/>
    </row>
    <row r="274" spans="2:38" ht="12.75" customHeight="1">
      <c r="B274" s="43">
        <v>217</v>
      </c>
      <c r="C274" s="708"/>
      <c r="D274" s="588"/>
      <c r="E274" s="379"/>
      <c r="S274" s="141"/>
      <c r="U274" s="43">
        <v>217</v>
      </c>
      <c r="V274" s="708"/>
      <c r="W274" s="588"/>
      <c r="X274" s="379"/>
      <c r="AL274" s="141"/>
    </row>
    <row r="275" spans="2:38" ht="12.75" customHeight="1">
      <c r="B275" s="43">
        <v>218</v>
      </c>
      <c r="C275" s="708"/>
      <c r="D275" s="588"/>
      <c r="E275" s="379"/>
      <c r="S275" s="141"/>
      <c r="U275" s="43">
        <v>218</v>
      </c>
      <c r="V275" s="708"/>
      <c r="W275" s="588"/>
      <c r="X275" s="379"/>
      <c r="AL275" s="141"/>
    </row>
    <row r="276" spans="2:38" ht="12.75" customHeight="1">
      <c r="B276" s="43">
        <v>219</v>
      </c>
      <c r="C276" s="708"/>
      <c r="D276" s="588"/>
      <c r="E276" s="379"/>
      <c r="S276" s="141"/>
      <c r="U276" s="43">
        <v>219</v>
      </c>
      <c r="V276" s="708"/>
      <c r="W276" s="588"/>
      <c r="X276" s="379"/>
      <c r="AL276" s="141"/>
    </row>
    <row r="277" spans="2:38" ht="12.75" customHeight="1">
      <c r="B277" s="43">
        <v>220</v>
      </c>
      <c r="C277" s="708"/>
      <c r="D277" s="588"/>
      <c r="E277" s="379"/>
      <c r="S277" s="141"/>
      <c r="U277" s="43">
        <v>220</v>
      </c>
      <c r="V277" s="708"/>
      <c r="W277" s="588"/>
      <c r="X277" s="379"/>
      <c r="AL277" s="141"/>
    </row>
    <row r="278" spans="2:38" ht="12.75" customHeight="1">
      <c r="B278" s="43">
        <v>221</v>
      </c>
      <c r="C278" s="708"/>
      <c r="D278" s="588"/>
      <c r="E278" s="379"/>
      <c r="S278" s="141"/>
      <c r="U278" s="43">
        <v>221</v>
      </c>
      <c r="V278" s="708"/>
      <c r="W278" s="588"/>
      <c r="X278" s="379"/>
      <c r="AL278" s="141"/>
    </row>
    <row r="279" spans="2:38" ht="12.75" customHeight="1">
      <c r="B279" s="43">
        <v>222</v>
      </c>
      <c r="C279" s="708"/>
      <c r="D279" s="588"/>
      <c r="E279" s="379"/>
      <c r="S279" s="141"/>
      <c r="U279" s="43">
        <v>222</v>
      </c>
      <c r="V279" s="708"/>
      <c r="W279" s="588"/>
      <c r="X279" s="379"/>
      <c r="AL279" s="141"/>
    </row>
    <row r="280" spans="2:38" ht="12.75" customHeight="1">
      <c r="B280" s="43">
        <v>223</v>
      </c>
      <c r="C280" s="708"/>
      <c r="D280" s="588"/>
      <c r="E280" s="379"/>
      <c r="S280" s="141"/>
      <c r="U280" s="43">
        <v>223</v>
      </c>
      <c r="V280" s="708"/>
      <c r="W280" s="588"/>
      <c r="X280" s="379"/>
      <c r="AL280" s="141"/>
    </row>
    <row r="281" spans="2:38" ht="12.75" customHeight="1">
      <c r="B281" s="43">
        <v>224</v>
      </c>
      <c r="C281" s="708"/>
      <c r="D281" s="588"/>
      <c r="E281" s="379"/>
      <c r="S281" s="141"/>
      <c r="U281" s="43">
        <v>224</v>
      </c>
      <c r="V281" s="708"/>
      <c r="W281" s="588"/>
      <c r="X281" s="379"/>
      <c r="AL281" s="141"/>
    </row>
    <row r="282" spans="2:38" ht="12.75" customHeight="1">
      <c r="B282" s="43">
        <v>225</v>
      </c>
      <c r="C282" s="708"/>
      <c r="D282" s="588"/>
      <c r="E282" s="379"/>
      <c r="S282" s="141"/>
      <c r="U282" s="43">
        <v>225</v>
      </c>
      <c r="V282" s="708"/>
      <c r="W282" s="588"/>
      <c r="X282" s="379"/>
      <c r="AL282" s="141"/>
    </row>
    <row r="283" spans="2:38" ht="12.75" customHeight="1">
      <c r="B283" s="43">
        <v>226</v>
      </c>
      <c r="C283" s="708"/>
      <c r="D283" s="588"/>
      <c r="E283" s="379"/>
      <c r="S283" s="141"/>
      <c r="U283" s="43">
        <v>226</v>
      </c>
      <c r="V283" s="708"/>
      <c r="W283" s="588"/>
      <c r="X283" s="379"/>
      <c r="AL283" s="141"/>
    </row>
    <row r="284" spans="2:38" ht="12.75" customHeight="1">
      <c r="B284" s="43">
        <v>227</v>
      </c>
      <c r="C284" s="708"/>
      <c r="D284" s="588"/>
      <c r="E284" s="379"/>
      <c r="S284" s="141"/>
      <c r="U284" s="43">
        <v>227</v>
      </c>
      <c r="V284" s="708"/>
      <c r="W284" s="588"/>
      <c r="X284" s="379"/>
      <c r="AL284" s="141"/>
    </row>
    <row r="285" spans="2:38" ht="12.75" customHeight="1">
      <c r="B285" s="43">
        <v>228</v>
      </c>
      <c r="C285" s="708"/>
      <c r="D285" s="588"/>
      <c r="E285" s="379"/>
      <c r="S285" s="141"/>
      <c r="U285" s="43">
        <v>228</v>
      </c>
      <c r="V285" s="708"/>
      <c r="W285" s="588"/>
      <c r="X285" s="379"/>
      <c r="AL285" s="141"/>
    </row>
    <row r="286" spans="2:38" ht="12.75" customHeight="1">
      <c r="B286" s="43">
        <v>229</v>
      </c>
      <c r="C286" s="708"/>
      <c r="D286" s="588"/>
      <c r="E286" s="379"/>
      <c r="S286" s="141"/>
      <c r="U286" s="43">
        <v>229</v>
      </c>
      <c r="V286" s="708"/>
      <c r="W286" s="588"/>
      <c r="X286" s="379"/>
      <c r="AL286" s="141"/>
    </row>
    <row r="287" spans="2:38" ht="12.75" customHeight="1">
      <c r="B287" s="43">
        <v>230</v>
      </c>
      <c r="C287" s="708"/>
      <c r="D287" s="588"/>
      <c r="E287" s="379"/>
      <c r="S287" s="141"/>
      <c r="U287" s="43">
        <v>230</v>
      </c>
      <c r="V287" s="708"/>
      <c r="W287" s="588"/>
      <c r="X287" s="379"/>
      <c r="AL287" s="141"/>
    </row>
    <row r="288" spans="2:38" ht="12.75" customHeight="1">
      <c r="B288" s="43">
        <v>231</v>
      </c>
      <c r="C288" s="708"/>
      <c r="D288" s="588"/>
      <c r="E288" s="379"/>
      <c r="S288" s="141"/>
      <c r="U288" s="43">
        <v>231</v>
      </c>
      <c r="V288" s="708"/>
      <c r="W288" s="588"/>
      <c r="X288" s="379"/>
      <c r="AL288" s="141"/>
    </row>
    <row r="289" spans="2:38" ht="12.75" customHeight="1">
      <c r="B289" s="43">
        <v>232</v>
      </c>
      <c r="C289" s="708"/>
      <c r="D289" s="588"/>
      <c r="E289" s="379"/>
      <c r="S289" s="141"/>
      <c r="U289" s="43">
        <v>232</v>
      </c>
      <c r="V289" s="708"/>
      <c r="W289" s="588"/>
      <c r="X289" s="379"/>
      <c r="AL289" s="141"/>
    </row>
    <row r="290" spans="2:38" ht="12.75" customHeight="1">
      <c r="B290" s="43">
        <v>233</v>
      </c>
      <c r="C290" s="708"/>
      <c r="D290" s="588"/>
      <c r="E290" s="379"/>
      <c r="S290" s="141"/>
      <c r="U290" s="43">
        <v>233</v>
      </c>
      <c r="V290" s="708"/>
      <c r="W290" s="588"/>
      <c r="X290" s="379"/>
      <c r="AL290" s="141"/>
    </row>
    <row r="291" spans="2:38" ht="12.75" customHeight="1">
      <c r="B291" s="43">
        <v>234</v>
      </c>
      <c r="C291" s="708"/>
      <c r="D291" s="588"/>
      <c r="E291" s="379"/>
      <c r="S291" s="141"/>
      <c r="U291" s="43">
        <v>234</v>
      </c>
      <c r="V291" s="708"/>
      <c r="W291" s="588"/>
      <c r="X291" s="379"/>
      <c r="AL291" s="141"/>
    </row>
    <row r="292" spans="2:38" ht="12.75" customHeight="1">
      <c r="B292" s="43">
        <v>235</v>
      </c>
      <c r="C292" s="708"/>
      <c r="D292" s="588"/>
      <c r="E292" s="379"/>
      <c r="S292" s="141"/>
      <c r="U292" s="43">
        <v>235</v>
      </c>
      <c r="V292" s="708"/>
      <c r="W292" s="588"/>
      <c r="X292" s="379"/>
      <c r="AL292" s="141"/>
    </row>
    <row r="293" spans="2:38" ht="12.75" customHeight="1">
      <c r="B293" s="43">
        <v>236</v>
      </c>
      <c r="C293" s="708"/>
      <c r="D293" s="588"/>
      <c r="E293" s="379"/>
      <c r="S293" s="141"/>
      <c r="U293" s="43">
        <v>236</v>
      </c>
      <c r="V293" s="708"/>
      <c r="W293" s="588"/>
      <c r="X293" s="379"/>
      <c r="AL293" s="141"/>
    </row>
    <row r="294" spans="2:38" ht="12.75" customHeight="1">
      <c r="B294" s="43">
        <v>237</v>
      </c>
      <c r="C294" s="708"/>
      <c r="D294" s="588"/>
      <c r="E294" s="379"/>
      <c r="S294" s="141"/>
      <c r="U294" s="43">
        <v>237</v>
      </c>
      <c r="V294" s="708"/>
      <c r="W294" s="588"/>
      <c r="X294" s="379"/>
      <c r="AL294" s="141"/>
    </row>
    <row r="295" spans="2:38" ht="12.75" customHeight="1">
      <c r="B295" s="43">
        <v>238</v>
      </c>
      <c r="C295" s="708"/>
      <c r="D295" s="588"/>
      <c r="E295" s="379"/>
      <c r="S295" s="141"/>
      <c r="U295" s="43">
        <v>238</v>
      </c>
      <c r="V295" s="708"/>
      <c r="W295" s="588"/>
      <c r="X295" s="379"/>
      <c r="AL295" s="141"/>
    </row>
    <row r="296" spans="2:38" ht="12.75" customHeight="1">
      <c r="B296" s="43">
        <v>239</v>
      </c>
      <c r="C296" s="708"/>
      <c r="D296" s="588"/>
      <c r="E296" s="379"/>
      <c r="S296" s="141"/>
      <c r="U296" s="43">
        <v>239</v>
      </c>
      <c r="V296" s="708"/>
      <c r="W296" s="588"/>
      <c r="X296" s="379"/>
      <c r="AL296" s="141"/>
    </row>
    <row r="297" spans="2:38" ht="12.75" customHeight="1">
      <c r="B297" s="43">
        <v>240</v>
      </c>
      <c r="C297" s="708"/>
      <c r="D297" s="588"/>
      <c r="E297" s="379"/>
      <c r="S297" s="141"/>
      <c r="U297" s="43">
        <v>240</v>
      </c>
      <c r="V297" s="708"/>
      <c r="W297" s="588"/>
      <c r="X297" s="379"/>
      <c r="AL297" s="141"/>
    </row>
    <row r="298" spans="2:38" ht="12.75" customHeight="1">
      <c r="B298" s="43">
        <v>241</v>
      </c>
      <c r="C298" s="708"/>
      <c r="D298" s="588"/>
      <c r="E298" s="379"/>
      <c r="S298" s="141"/>
      <c r="U298" s="43">
        <v>241</v>
      </c>
      <c r="V298" s="708"/>
      <c r="W298" s="588"/>
      <c r="X298" s="379"/>
      <c r="AL298" s="141"/>
    </row>
    <row r="299" spans="2:38" ht="12.75" customHeight="1">
      <c r="B299" s="43">
        <v>242</v>
      </c>
      <c r="C299" s="708"/>
      <c r="D299" s="588"/>
      <c r="E299" s="379"/>
      <c r="S299" s="141"/>
      <c r="U299" s="43">
        <v>242</v>
      </c>
      <c r="V299" s="708"/>
      <c r="W299" s="588"/>
      <c r="X299" s="379"/>
      <c r="AL299" s="141"/>
    </row>
    <row r="300" spans="2:38" ht="12.75" customHeight="1">
      <c r="B300" s="43">
        <v>243</v>
      </c>
      <c r="C300" s="708"/>
      <c r="D300" s="588"/>
      <c r="E300" s="379"/>
      <c r="S300" s="141"/>
      <c r="U300" s="43">
        <v>243</v>
      </c>
      <c r="V300" s="708"/>
      <c r="W300" s="588"/>
      <c r="X300" s="379"/>
      <c r="AL300" s="141"/>
    </row>
    <row r="301" spans="2:38" ht="12.75" customHeight="1">
      <c r="B301" s="43">
        <v>244</v>
      </c>
      <c r="C301" s="708"/>
      <c r="D301" s="588"/>
      <c r="E301" s="379"/>
      <c r="S301" s="141"/>
      <c r="U301" s="43">
        <v>244</v>
      </c>
      <c r="V301" s="708"/>
      <c r="W301" s="588"/>
      <c r="X301" s="379"/>
      <c r="AL301" s="141"/>
    </row>
    <row r="302" spans="2:38" ht="12.75" customHeight="1">
      <c r="B302" s="43">
        <v>245</v>
      </c>
      <c r="C302" s="708"/>
      <c r="D302" s="588"/>
      <c r="E302" s="379"/>
      <c r="S302" s="141"/>
      <c r="U302" s="43">
        <v>245</v>
      </c>
      <c r="V302" s="708"/>
      <c r="W302" s="588"/>
      <c r="X302" s="379"/>
      <c r="AL302" s="141"/>
    </row>
    <row r="303" spans="2:38" ht="12.75" customHeight="1">
      <c r="B303" s="43">
        <v>246</v>
      </c>
      <c r="C303" s="708"/>
      <c r="D303" s="588"/>
      <c r="E303" s="379"/>
      <c r="S303" s="141"/>
      <c r="U303" s="43">
        <v>246</v>
      </c>
      <c r="V303" s="708"/>
      <c r="W303" s="588"/>
      <c r="X303" s="379"/>
      <c r="AL303" s="141"/>
    </row>
    <row r="304" spans="2:38" ht="12.75" customHeight="1">
      <c r="B304" s="43">
        <v>247</v>
      </c>
      <c r="C304" s="708"/>
      <c r="D304" s="588"/>
      <c r="E304" s="379"/>
      <c r="S304" s="141"/>
      <c r="U304" s="43">
        <v>247</v>
      </c>
      <c r="V304" s="708"/>
      <c r="W304" s="588"/>
      <c r="X304" s="379"/>
      <c r="AL304" s="141"/>
    </row>
    <row r="305" spans="2:38" ht="12.75" customHeight="1">
      <c r="B305" s="43">
        <v>248</v>
      </c>
      <c r="C305" s="708"/>
      <c r="D305" s="588"/>
      <c r="E305" s="379"/>
      <c r="S305" s="141"/>
      <c r="U305" s="43">
        <v>248</v>
      </c>
      <c r="V305" s="708"/>
      <c r="W305" s="588"/>
      <c r="X305" s="379"/>
      <c r="AL305" s="141"/>
    </row>
    <row r="306" spans="2:38" ht="12.75" customHeight="1">
      <c r="B306" s="43">
        <v>249</v>
      </c>
      <c r="C306" s="708"/>
      <c r="D306" s="588"/>
      <c r="E306" s="379"/>
      <c r="S306" s="141"/>
      <c r="U306" s="43">
        <v>249</v>
      </c>
      <c r="V306" s="708"/>
      <c r="W306" s="588"/>
      <c r="X306" s="379"/>
      <c r="AL306" s="141"/>
    </row>
    <row r="307" spans="2:38" ht="12.75" customHeight="1">
      <c r="B307" s="43">
        <v>250</v>
      </c>
      <c r="C307" s="708"/>
      <c r="D307" s="588"/>
      <c r="E307" s="379"/>
      <c r="S307" s="141"/>
      <c r="U307" s="43">
        <v>250</v>
      </c>
      <c r="V307" s="708"/>
      <c r="W307" s="588"/>
      <c r="X307" s="379"/>
      <c r="AL307" s="141"/>
    </row>
    <row r="308" spans="2:38" ht="12.75" customHeight="1">
      <c r="B308" s="43">
        <v>251</v>
      </c>
      <c r="C308" s="708"/>
      <c r="D308" s="588"/>
      <c r="E308" s="379"/>
      <c r="S308" s="141"/>
      <c r="U308" s="43">
        <v>251</v>
      </c>
      <c r="V308" s="708"/>
      <c r="W308" s="588"/>
      <c r="X308" s="379"/>
      <c r="AL308" s="141"/>
    </row>
    <row r="309" spans="2:38" ht="12.75" customHeight="1">
      <c r="B309" s="43">
        <v>252</v>
      </c>
      <c r="C309" s="708"/>
      <c r="D309" s="588"/>
      <c r="E309" s="379"/>
      <c r="S309" s="141"/>
      <c r="U309" s="43">
        <v>252</v>
      </c>
      <c r="V309" s="708"/>
      <c r="W309" s="588"/>
      <c r="X309" s="379"/>
      <c r="AL309" s="141"/>
    </row>
    <row r="310" spans="2:38" ht="12.75" customHeight="1">
      <c r="B310" s="43">
        <v>253</v>
      </c>
      <c r="C310" s="708"/>
      <c r="D310" s="588"/>
      <c r="E310" s="379"/>
      <c r="S310" s="141"/>
      <c r="U310" s="43">
        <v>253</v>
      </c>
      <c r="V310" s="708"/>
      <c r="W310" s="588"/>
      <c r="X310" s="379"/>
      <c r="AL310" s="141"/>
    </row>
    <row r="311" spans="2:38" ht="12.75" customHeight="1">
      <c r="B311" s="43">
        <v>254</v>
      </c>
      <c r="C311" s="708"/>
      <c r="D311" s="588"/>
      <c r="E311" s="379"/>
      <c r="S311" s="141"/>
      <c r="U311" s="43">
        <v>254</v>
      </c>
      <c r="V311" s="708"/>
      <c r="W311" s="588"/>
      <c r="X311" s="379"/>
      <c r="AL311" s="141"/>
    </row>
    <row r="312" spans="2:38" ht="12.75" customHeight="1">
      <c r="B312" s="43">
        <v>255</v>
      </c>
      <c r="C312" s="708"/>
      <c r="D312" s="588"/>
      <c r="E312" s="379"/>
      <c r="S312" s="141"/>
      <c r="U312" s="43">
        <v>255</v>
      </c>
      <c r="V312" s="708"/>
      <c r="W312" s="588"/>
      <c r="X312" s="379"/>
      <c r="AL312" s="141"/>
    </row>
    <row r="313" spans="2:38" ht="12.75" customHeight="1">
      <c r="B313" s="43">
        <v>256</v>
      </c>
      <c r="C313" s="708"/>
      <c r="D313" s="588"/>
      <c r="E313" s="379"/>
      <c r="S313" s="141"/>
      <c r="U313" s="43">
        <v>256</v>
      </c>
      <c r="V313" s="708"/>
      <c r="W313" s="588"/>
      <c r="X313" s="379"/>
      <c r="AL313" s="141"/>
    </row>
    <row r="314" spans="2:38" ht="12.75" customHeight="1">
      <c r="B314" s="43">
        <v>257</v>
      </c>
      <c r="C314" s="708"/>
      <c r="D314" s="588"/>
      <c r="E314" s="379"/>
      <c r="S314" s="141"/>
      <c r="U314" s="43">
        <v>257</v>
      </c>
      <c r="V314" s="708"/>
      <c r="W314" s="588"/>
      <c r="X314" s="379"/>
      <c r="AL314" s="141"/>
    </row>
    <row r="315" spans="2:38" ht="12.75" customHeight="1">
      <c r="B315" s="43">
        <v>258</v>
      </c>
      <c r="C315" s="708"/>
      <c r="D315" s="588"/>
      <c r="E315" s="379"/>
      <c r="S315" s="141"/>
      <c r="U315" s="43">
        <v>258</v>
      </c>
      <c r="V315" s="708"/>
      <c r="W315" s="588"/>
      <c r="X315" s="379"/>
      <c r="AL315" s="141"/>
    </row>
    <row r="316" spans="2:38" ht="12.75" customHeight="1">
      <c r="B316" s="43">
        <v>259</v>
      </c>
      <c r="C316" s="708"/>
      <c r="D316" s="588"/>
      <c r="E316" s="379"/>
      <c r="S316" s="141"/>
      <c r="U316" s="43">
        <v>259</v>
      </c>
      <c r="V316" s="708"/>
      <c r="W316" s="588"/>
      <c r="X316" s="379"/>
      <c r="AL316" s="141"/>
    </row>
    <row r="317" spans="2:38" ht="12.75" customHeight="1">
      <c r="B317" s="43">
        <v>260</v>
      </c>
      <c r="C317" s="708"/>
      <c r="D317" s="588"/>
      <c r="E317" s="379"/>
      <c r="S317" s="141"/>
      <c r="U317" s="43">
        <v>260</v>
      </c>
      <c r="V317" s="708"/>
      <c r="W317" s="588"/>
      <c r="X317" s="379"/>
      <c r="AL317" s="141"/>
    </row>
    <row r="318" spans="2:38" ht="12.75" customHeight="1">
      <c r="B318" s="43">
        <v>261</v>
      </c>
      <c r="C318" s="708"/>
      <c r="D318" s="588"/>
      <c r="E318" s="379"/>
      <c r="S318" s="141"/>
      <c r="U318" s="43">
        <v>261</v>
      </c>
      <c r="V318" s="708"/>
      <c r="W318" s="588"/>
      <c r="X318" s="379"/>
      <c r="AL318" s="141"/>
    </row>
    <row r="319" spans="2:38" ht="12.75" customHeight="1">
      <c r="B319" s="43">
        <v>262</v>
      </c>
      <c r="C319" s="708"/>
      <c r="D319" s="588"/>
      <c r="E319" s="379"/>
      <c r="S319" s="141"/>
      <c r="U319" s="43">
        <v>262</v>
      </c>
      <c r="V319" s="708"/>
      <c r="W319" s="588"/>
      <c r="X319" s="379"/>
      <c r="AL319" s="141"/>
    </row>
    <row r="320" spans="2:38" ht="12.75" customHeight="1">
      <c r="B320" s="43">
        <v>263</v>
      </c>
      <c r="C320" s="708"/>
      <c r="D320" s="588"/>
      <c r="E320" s="379"/>
      <c r="S320" s="141"/>
      <c r="U320" s="43">
        <v>263</v>
      </c>
      <c r="V320" s="708"/>
      <c r="W320" s="588"/>
      <c r="X320" s="379"/>
      <c r="AL320" s="141"/>
    </row>
    <row r="321" spans="2:38" ht="12.75" customHeight="1">
      <c r="B321" s="43">
        <v>264</v>
      </c>
      <c r="C321" s="708"/>
      <c r="D321" s="588"/>
      <c r="E321" s="379"/>
      <c r="S321" s="141"/>
      <c r="U321" s="43">
        <v>264</v>
      </c>
      <c r="V321" s="708"/>
      <c r="W321" s="588"/>
      <c r="X321" s="379"/>
      <c r="AL321" s="141"/>
    </row>
    <row r="322" spans="2:38" ht="12.75" customHeight="1">
      <c r="B322" s="43">
        <v>265</v>
      </c>
      <c r="C322" s="708"/>
      <c r="D322" s="588"/>
      <c r="E322" s="379"/>
      <c r="S322" s="141"/>
      <c r="U322" s="43">
        <v>265</v>
      </c>
      <c r="V322" s="708"/>
      <c r="W322" s="588"/>
      <c r="X322" s="379"/>
      <c r="AL322" s="141"/>
    </row>
    <row r="323" spans="2:38" ht="12.75" customHeight="1">
      <c r="B323" s="43">
        <v>266</v>
      </c>
      <c r="C323" s="708"/>
      <c r="D323" s="588"/>
      <c r="E323" s="379"/>
      <c r="S323" s="141"/>
      <c r="U323" s="43">
        <v>266</v>
      </c>
      <c r="V323" s="708"/>
      <c r="W323" s="588"/>
      <c r="X323" s="379"/>
      <c r="AL323" s="141"/>
    </row>
    <row r="324" spans="2:38" ht="12.75" customHeight="1">
      <c r="B324" s="43">
        <v>267</v>
      </c>
      <c r="C324" s="708"/>
      <c r="D324" s="588"/>
      <c r="E324" s="379"/>
      <c r="S324" s="141"/>
      <c r="U324" s="43">
        <v>267</v>
      </c>
      <c r="V324" s="708"/>
      <c r="W324" s="588"/>
      <c r="X324" s="379"/>
      <c r="AL324" s="141"/>
    </row>
    <row r="325" spans="2:38" ht="12.75" customHeight="1">
      <c r="B325" s="43">
        <v>268</v>
      </c>
      <c r="C325" s="708"/>
      <c r="D325" s="588"/>
      <c r="E325" s="379"/>
      <c r="S325" s="141"/>
      <c r="U325" s="43">
        <v>268</v>
      </c>
      <c r="V325" s="708"/>
      <c r="W325" s="588"/>
      <c r="X325" s="379"/>
      <c r="AL325" s="141"/>
    </row>
    <row r="326" spans="2:38" ht="12.75" customHeight="1">
      <c r="B326" s="43">
        <v>269</v>
      </c>
      <c r="C326" s="708"/>
      <c r="D326" s="588"/>
      <c r="E326" s="379"/>
      <c r="S326" s="141"/>
      <c r="U326" s="43">
        <v>269</v>
      </c>
      <c r="V326" s="708"/>
      <c r="W326" s="588"/>
      <c r="X326" s="379"/>
      <c r="AL326" s="141"/>
    </row>
    <row r="327" spans="2:38" ht="12.75" customHeight="1">
      <c r="B327" s="43">
        <v>270</v>
      </c>
      <c r="C327" s="708"/>
      <c r="D327" s="588"/>
      <c r="E327" s="379"/>
      <c r="S327" s="141"/>
      <c r="U327" s="43">
        <v>270</v>
      </c>
      <c r="V327" s="708"/>
      <c r="W327" s="588"/>
      <c r="X327" s="379"/>
      <c r="AL327" s="141"/>
    </row>
    <row r="328" spans="2:38" ht="12.75" customHeight="1">
      <c r="B328" s="43">
        <v>271</v>
      </c>
      <c r="C328" s="708"/>
      <c r="D328" s="588"/>
      <c r="E328" s="379"/>
      <c r="S328" s="141"/>
      <c r="U328" s="43">
        <v>271</v>
      </c>
      <c r="V328" s="708"/>
      <c r="W328" s="588"/>
      <c r="X328" s="379"/>
      <c r="AL328" s="141"/>
    </row>
    <row r="329" spans="2:38" ht="12.75" customHeight="1">
      <c r="B329" s="43">
        <v>272</v>
      </c>
      <c r="C329" s="708"/>
      <c r="D329" s="588"/>
      <c r="E329" s="379"/>
      <c r="S329" s="141"/>
      <c r="U329" s="43">
        <v>272</v>
      </c>
      <c r="V329" s="708"/>
      <c r="W329" s="588"/>
      <c r="X329" s="379"/>
      <c r="AL329" s="141"/>
    </row>
    <row r="330" spans="2:38" ht="12.75" customHeight="1">
      <c r="B330" s="43">
        <v>273</v>
      </c>
      <c r="C330" s="708"/>
      <c r="D330" s="588"/>
      <c r="E330" s="379"/>
      <c r="S330" s="141"/>
      <c r="U330" s="43">
        <v>273</v>
      </c>
      <c r="V330" s="708"/>
      <c r="W330" s="588"/>
      <c r="X330" s="379"/>
      <c r="AL330" s="141"/>
    </row>
    <row r="331" spans="2:38" ht="12.75" customHeight="1">
      <c r="B331" s="43">
        <v>274</v>
      </c>
      <c r="C331" s="708"/>
      <c r="D331" s="588"/>
      <c r="E331" s="379"/>
      <c r="S331" s="141"/>
      <c r="U331" s="43">
        <v>274</v>
      </c>
      <c r="V331" s="708"/>
      <c r="W331" s="588"/>
      <c r="X331" s="379"/>
      <c r="AL331" s="141"/>
    </row>
    <row r="332" spans="2:38" ht="12.75" customHeight="1">
      <c r="B332" s="43">
        <v>275</v>
      </c>
      <c r="C332" s="708"/>
      <c r="D332" s="588"/>
      <c r="E332" s="379"/>
      <c r="S332" s="141"/>
      <c r="U332" s="43">
        <v>275</v>
      </c>
      <c r="V332" s="708"/>
      <c r="W332" s="588"/>
      <c r="X332" s="379"/>
      <c r="AL332" s="141"/>
    </row>
    <row r="333" spans="2:38" ht="12.75" customHeight="1">
      <c r="B333" s="43">
        <v>276</v>
      </c>
      <c r="C333" s="708"/>
      <c r="D333" s="588"/>
      <c r="E333" s="379"/>
      <c r="S333" s="141"/>
      <c r="U333" s="43">
        <v>276</v>
      </c>
      <c r="V333" s="708"/>
      <c r="W333" s="588"/>
      <c r="X333" s="379"/>
      <c r="AL333" s="141"/>
    </row>
    <row r="334" spans="2:38" ht="12.75" customHeight="1">
      <c r="B334" s="43">
        <v>277</v>
      </c>
      <c r="C334" s="708"/>
      <c r="D334" s="588"/>
      <c r="E334" s="379"/>
      <c r="S334" s="141"/>
      <c r="U334" s="43">
        <v>277</v>
      </c>
      <c r="V334" s="708"/>
      <c r="W334" s="588"/>
      <c r="X334" s="379"/>
      <c r="AL334" s="141"/>
    </row>
    <row r="335" spans="2:38" ht="12.75" customHeight="1">
      <c r="B335" s="43">
        <v>278</v>
      </c>
      <c r="C335" s="708"/>
      <c r="D335" s="588"/>
      <c r="E335" s="379"/>
      <c r="S335" s="141"/>
      <c r="U335" s="43">
        <v>278</v>
      </c>
      <c r="V335" s="708"/>
      <c r="W335" s="588"/>
      <c r="X335" s="379"/>
      <c r="AL335" s="141"/>
    </row>
    <row r="336" spans="2:38" ht="12.75" customHeight="1">
      <c r="B336" s="43">
        <v>279</v>
      </c>
      <c r="C336" s="708"/>
      <c r="D336" s="588"/>
      <c r="E336" s="379"/>
      <c r="S336" s="141"/>
      <c r="U336" s="43">
        <v>279</v>
      </c>
      <c r="V336" s="708"/>
      <c r="W336" s="588"/>
      <c r="X336" s="379"/>
      <c r="AL336" s="141"/>
    </row>
    <row r="337" spans="2:38" ht="12.75" customHeight="1">
      <c r="B337" s="43">
        <v>280</v>
      </c>
      <c r="C337" s="708"/>
      <c r="D337" s="588"/>
      <c r="E337" s="379"/>
      <c r="S337" s="141"/>
      <c r="U337" s="43">
        <v>280</v>
      </c>
      <c r="V337" s="708"/>
      <c r="W337" s="588"/>
      <c r="X337" s="379"/>
      <c r="AL337" s="141"/>
    </row>
    <row r="338" spans="2:38" ht="12.75" customHeight="1">
      <c r="B338" s="43">
        <v>281</v>
      </c>
      <c r="C338" s="708"/>
      <c r="D338" s="588"/>
      <c r="E338" s="379"/>
      <c r="S338" s="141"/>
      <c r="U338" s="43">
        <v>281</v>
      </c>
      <c r="V338" s="708"/>
      <c r="W338" s="588"/>
      <c r="X338" s="379"/>
      <c r="AL338" s="141"/>
    </row>
    <row r="339" spans="2:38" ht="12.75" customHeight="1">
      <c r="B339" s="43">
        <v>282</v>
      </c>
      <c r="C339" s="708"/>
      <c r="D339" s="588"/>
      <c r="E339" s="379"/>
      <c r="S339" s="141"/>
      <c r="U339" s="43">
        <v>282</v>
      </c>
      <c r="V339" s="708"/>
      <c r="W339" s="588"/>
      <c r="X339" s="379"/>
      <c r="AL339" s="141"/>
    </row>
    <row r="340" spans="2:38" ht="12.75" customHeight="1">
      <c r="B340" s="43">
        <v>283</v>
      </c>
      <c r="C340" s="708"/>
      <c r="D340" s="588"/>
      <c r="E340" s="379"/>
      <c r="S340" s="141"/>
      <c r="U340" s="43">
        <v>283</v>
      </c>
      <c r="V340" s="708"/>
      <c r="W340" s="588"/>
      <c r="X340" s="379"/>
      <c r="AL340" s="141"/>
    </row>
    <row r="341" spans="2:38" ht="12.75" customHeight="1">
      <c r="B341" s="43">
        <v>284</v>
      </c>
      <c r="C341" s="708"/>
      <c r="D341" s="588"/>
      <c r="E341" s="379"/>
      <c r="S341" s="141"/>
      <c r="U341" s="43">
        <v>284</v>
      </c>
      <c r="V341" s="708"/>
      <c r="W341" s="588"/>
      <c r="X341" s="379"/>
      <c r="AL341" s="141"/>
    </row>
    <row r="342" spans="2:38" ht="12.75" customHeight="1">
      <c r="B342" s="43">
        <v>285</v>
      </c>
      <c r="C342" s="708"/>
      <c r="D342" s="588"/>
      <c r="E342" s="379"/>
      <c r="S342" s="141"/>
      <c r="U342" s="43">
        <v>285</v>
      </c>
      <c r="V342" s="708"/>
      <c r="W342" s="588"/>
      <c r="X342" s="379"/>
      <c r="AL342" s="141"/>
    </row>
    <row r="343" spans="2:38" ht="12.75" customHeight="1">
      <c r="B343" s="43">
        <v>286</v>
      </c>
      <c r="C343" s="708"/>
      <c r="D343" s="588"/>
      <c r="E343" s="379"/>
      <c r="S343" s="141"/>
      <c r="U343" s="43">
        <v>286</v>
      </c>
      <c r="V343" s="708"/>
      <c r="W343" s="588"/>
      <c r="X343" s="379"/>
      <c r="AL343" s="141"/>
    </row>
    <row r="344" spans="2:38" ht="12.75" customHeight="1">
      <c r="B344" s="43">
        <v>287</v>
      </c>
      <c r="C344" s="708"/>
      <c r="D344" s="588"/>
      <c r="E344" s="379"/>
      <c r="S344" s="141"/>
      <c r="U344" s="43">
        <v>287</v>
      </c>
      <c r="V344" s="708"/>
      <c r="W344" s="588"/>
      <c r="X344" s="379"/>
      <c r="AL344" s="141"/>
    </row>
    <row r="345" spans="2:38" ht="12.75" customHeight="1">
      <c r="B345" s="43">
        <v>288</v>
      </c>
      <c r="C345" s="708"/>
      <c r="D345" s="588"/>
      <c r="E345" s="379"/>
      <c r="S345" s="141"/>
      <c r="U345" s="43">
        <v>288</v>
      </c>
      <c r="V345" s="708"/>
      <c r="W345" s="588"/>
      <c r="X345" s="379"/>
      <c r="AL345" s="141"/>
    </row>
    <row r="346" spans="2:38" ht="12.75" customHeight="1">
      <c r="B346" s="43">
        <v>289</v>
      </c>
      <c r="C346" s="708"/>
      <c r="D346" s="588"/>
      <c r="E346" s="379"/>
      <c r="S346" s="141"/>
      <c r="U346" s="43">
        <v>289</v>
      </c>
      <c r="V346" s="708"/>
      <c r="W346" s="588"/>
      <c r="X346" s="379"/>
      <c r="AL346" s="141"/>
    </row>
    <row r="347" spans="2:38" ht="12.75" customHeight="1">
      <c r="B347" s="43">
        <v>290</v>
      </c>
      <c r="C347" s="708"/>
      <c r="D347" s="588"/>
      <c r="E347" s="379"/>
      <c r="S347" s="141"/>
      <c r="U347" s="43">
        <v>290</v>
      </c>
      <c r="V347" s="708"/>
      <c r="W347" s="588"/>
      <c r="X347" s="379"/>
      <c r="AL347" s="141"/>
    </row>
    <row r="348" spans="2:38" ht="12.75" customHeight="1">
      <c r="B348" s="43">
        <v>291</v>
      </c>
      <c r="C348" s="708"/>
      <c r="D348" s="588"/>
      <c r="E348" s="379"/>
      <c r="S348" s="141"/>
      <c r="U348" s="43">
        <v>291</v>
      </c>
      <c r="V348" s="708"/>
      <c r="W348" s="588"/>
      <c r="X348" s="379"/>
      <c r="AL348" s="141"/>
    </row>
    <row r="349" spans="2:38" ht="12.75" customHeight="1">
      <c r="B349" s="43">
        <v>292</v>
      </c>
      <c r="C349" s="708"/>
      <c r="D349" s="588"/>
      <c r="E349" s="379"/>
      <c r="S349" s="141"/>
      <c r="U349" s="43">
        <v>292</v>
      </c>
      <c r="V349" s="708"/>
      <c r="W349" s="588"/>
      <c r="X349" s="379"/>
      <c r="AL349" s="141"/>
    </row>
    <row r="350" spans="2:38" ht="12.75" customHeight="1">
      <c r="B350" s="43">
        <v>293</v>
      </c>
      <c r="C350" s="708"/>
      <c r="D350" s="588"/>
      <c r="E350" s="379"/>
      <c r="S350" s="141"/>
      <c r="U350" s="43">
        <v>293</v>
      </c>
      <c r="V350" s="708"/>
      <c r="W350" s="588"/>
      <c r="X350" s="379"/>
      <c r="AL350" s="141"/>
    </row>
    <row r="351" spans="2:38" ht="12.75" customHeight="1">
      <c r="B351" s="43">
        <v>294</v>
      </c>
      <c r="C351" s="708"/>
      <c r="D351" s="588"/>
      <c r="E351" s="379"/>
      <c r="S351" s="141"/>
      <c r="U351" s="43">
        <v>294</v>
      </c>
      <c r="V351" s="708"/>
      <c r="W351" s="588"/>
      <c r="X351" s="379"/>
      <c r="AL351" s="141"/>
    </row>
    <row r="352" spans="2:38" ht="12.75" customHeight="1">
      <c r="B352" s="43">
        <v>295</v>
      </c>
      <c r="C352" s="708"/>
      <c r="D352" s="588"/>
      <c r="E352" s="379"/>
      <c r="S352" s="141"/>
      <c r="U352" s="43">
        <v>295</v>
      </c>
      <c r="V352" s="708"/>
      <c r="W352" s="588"/>
      <c r="X352" s="379"/>
      <c r="AL352" s="141"/>
    </row>
    <row r="353" spans="1:38" ht="12.75" customHeight="1">
      <c r="B353" s="43">
        <v>296</v>
      </c>
      <c r="C353" s="708"/>
      <c r="D353" s="588"/>
      <c r="E353" s="379"/>
      <c r="S353" s="141"/>
      <c r="U353" s="43">
        <v>296</v>
      </c>
      <c r="V353" s="708"/>
      <c r="W353" s="588"/>
      <c r="X353" s="379"/>
      <c r="AL353" s="141"/>
    </row>
    <row r="354" spans="1:38" ht="12.75" customHeight="1">
      <c r="B354" s="43">
        <v>297</v>
      </c>
      <c r="C354" s="708"/>
      <c r="D354" s="588"/>
      <c r="E354" s="379"/>
      <c r="S354" s="141"/>
      <c r="U354" s="43">
        <v>297</v>
      </c>
      <c r="V354" s="708"/>
      <c r="W354" s="588"/>
      <c r="X354" s="379"/>
      <c r="AL354" s="141"/>
    </row>
    <row r="355" spans="1:38" ht="12.75" customHeight="1">
      <c r="B355" s="43">
        <v>298</v>
      </c>
      <c r="C355" s="708"/>
      <c r="D355" s="588"/>
      <c r="E355" s="379"/>
      <c r="S355" s="141"/>
      <c r="U355" s="43">
        <v>298</v>
      </c>
      <c r="V355" s="708"/>
      <c r="W355" s="588"/>
      <c r="X355" s="379"/>
      <c r="AL355" s="141"/>
    </row>
    <row r="356" spans="1:38" ht="12.75" customHeight="1">
      <c r="B356" s="43">
        <v>299</v>
      </c>
      <c r="C356" s="708"/>
      <c r="D356" s="588"/>
      <c r="E356" s="379"/>
      <c r="S356" s="141"/>
      <c r="U356" s="43">
        <v>299</v>
      </c>
      <c r="V356" s="708"/>
      <c r="W356" s="588"/>
      <c r="X356" s="379"/>
      <c r="AL356" s="141"/>
    </row>
    <row r="357" spans="1:38" ht="12.75" customHeight="1">
      <c r="B357" s="43">
        <v>300</v>
      </c>
      <c r="C357" s="708"/>
      <c r="D357" s="588"/>
      <c r="E357" s="379"/>
      <c r="S357" s="141"/>
      <c r="U357" s="43">
        <v>300</v>
      </c>
      <c r="V357" s="708"/>
      <c r="W357" s="588"/>
      <c r="X357" s="379"/>
      <c r="AL357" s="141"/>
    </row>
    <row r="358" spans="1:38" ht="12.75" customHeight="1">
      <c r="A358" s="25"/>
      <c r="B358" s="25"/>
      <c r="C358" s="25"/>
      <c r="D358" s="25"/>
      <c r="E358" s="25"/>
      <c r="F358" s="25"/>
      <c r="G358" s="25"/>
      <c r="H358" s="25"/>
      <c r="I358" s="25"/>
      <c r="J358" s="25"/>
      <c r="K358" s="25"/>
      <c r="L358" s="25"/>
      <c r="M358" s="25"/>
      <c r="N358" s="25"/>
      <c r="O358" s="25"/>
      <c r="P358" s="25"/>
      <c r="Q358" s="25"/>
      <c r="R358" s="25"/>
      <c r="S358" s="197"/>
      <c r="T358" s="25"/>
      <c r="U358" s="25"/>
      <c r="V358" s="25"/>
      <c r="W358" s="25"/>
      <c r="X358" s="25"/>
      <c r="Y358" s="25"/>
      <c r="Z358" s="25"/>
      <c r="AA358" s="25"/>
      <c r="AB358" s="25"/>
      <c r="AC358" s="25"/>
      <c r="AD358" s="25"/>
      <c r="AE358" s="25"/>
      <c r="AF358" s="25"/>
      <c r="AG358" s="25"/>
      <c r="AH358" s="25"/>
      <c r="AI358" s="25"/>
      <c r="AJ358" s="25"/>
      <c r="AK358" s="25"/>
      <c r="AL358" s="197"/>
    </row>
    <row r="359" spans="1:38" ht="12.75" customHeight="1"/>
    <row r="360" spans="1:38" ht="12.75" customHeight="1"/>
    <row r="361" spans="1:38" ht="12.75" customHeight="1"/>
    <row r="362" spans="1:38" ht="12.75" customHeight="1"/>
    <row r="363" spans="1:38" ht="12.75" customHeight="1"/>
    <row r="364" spans="1:38" ht="12.75" customHeight="1"/>
    <row r="365" spans="1:38" ht="12.75" customHeight="1"/>
    <row r="366" spans="1:38" ht="12.75" customHeight="1"/>
    <row r="367" spans="1:38" ht="12.75" customHeight="1"/>
    <row r="368" spans="1:3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31">
    <mergeCell ref="V266:W266"/>
    <mergeCell ref="V267:W267"/>
    <mergeCell ref="V268:W268"/>
    <mergeCell ref="V269:W269"/>
    <mergeCell ref="V270:W270"/>
    <mergeCell ref="V257:W257"/>
    <mergeCell ref="V258:W258"/>
    <mergeCell ref="V259:W259"/>
    <mergeCell ref="V260:W260"/>
    <mergeCell ref="V261:W261"/>
    <mergeCell ref="V262:W262"/>
    <mergeCell ref="V263:W263"/>
    <mergeCell ref="V264:W264"/>
    <mergeCell ref="V265:W265"/>
    <mergeCell ref="V248:W248"/>
    <mergeCell ref="V249:W249"/>
    <mergeCell ref="V250:W250"/>
    <mergeCell ref="V251:W251"/>
    <mergeCell ref="V252:W252"/>
    <mergeCell ref="V253:W253"/>
    <mergeCell ref="V254:W254"/>
    <mergeCell ref="V255:W255"/>
    <mergeCell ref="V256:W256"/>
    <mergeCell ref="V239:W239"/>
    <mergeCell ref="V240:W240"/>
    <mergeCell ref="V241:W241"/>
    <mergeCell ref="V242:W242"/>
    <mergeCell ref="V243:W243"/>
    <mergeCell ref="V244:W244"/>
    <mergeCell ref="V245:W245"/>
    <mergeCell ref="V246:W246"/>
    <mergeCell ref="V247:W247"/>
    <mergeCell ref="V230:W230"/>
    <mergeCell ref="V231:W231"/>
    <mergeCell ref="V232:W232"/>
    <mergeCell ref="V233:W233"/>
    <mergeCell ref="V234:W234"/>
    <mergeCell ref="V235:W235"/>
    <mergeCell ref="V236:W236"/>
    <mergeCell ref="V237:W237"/>
    <mergeCell ref="V238:W238"/>
    <mergeCell ref="V227:W227"/>
    <mergeCell ref="V228:W228"/>
    <mergeCell ref="V229:W229"/>
    <mergeCell ref="V209:W209"/>
    <mergeCell ref="V210:W210"/>
    <mergeCell ref="V211:W211"/>
    <mergeCell ref="V212:W212"/>
    <mergeCell ref="V191:W191"/>
    <mergeCell ref="V192:W192"/>
    <mergeCell ref="V193:W193"/>
    <mergeCell ref="V194:W194"/>
    <mergeCell ref="V195:W195"/>
    <mergeCell ref="V196:W196"/>
    <mergeCell ref="V197:W197"/>
    <mergeCell ref="V198:W198"/>
    <mergeCell ref="V199:W199"/>
    <mergeCell ref="V220:W220"/>
    <mergeCell ref="V221:W221"/>
    <mergeCell ref="V213:W213"/>
    <mergeCell ref="V214:W214"/>
    <mergeCell ref="V215:W215"/>
    <mergeCell ref="V216:W216"/>
    <mergeCell ref="V217:W217"/>
    <mergeCell ref="V218:W218"/>
    <mergeCell ref="V160:W160"/>
    <mergeCell ref="V161:W161"/>
    <mergeCell ref="V162:W162"/>
    <mergeCell ref="V163:W163"/>
    <mergeCell ref="V222:W222"/>
    <mergeCell ref="V223:W223"/>
    <mergeCell ref="V224:W224"/>
    <mergeCell ref="V225:W225"/>
    <mergeCell ref="V226:W226"/>
    <mergeCell ref="V182:W182"/>
    <mergeCell ref="V183:W183"/>
    <mergeCell ref="V184:W184"/>
    <mergeCell ref="V185:W185"/>
    <mergeCell ref="V186:W186"/>
    <mergeCell ref="V187:W187"/>
    <mergeCell ref="V188:W188"/>
    <mergeCell ref="V189:W189"/>
    <mergeCell ref="V190:W190"/>
    <mergeCell ref="V173:W173"/>
    <mergeCell ref="V174:W174"/>
    <mergeCell ref="V175:W175"/>
    <mergeCell ref="V176:W176"/>
    <mergeCell ref="V177:W177"/>
    <mergeCell ref="V178:W178"/>
    <mergeCell ref="V151:W151"/>
    <mergeCell ref="V152:W152"/>
    <mergeCell ref="V153:W153"/>
    <mergeCell ref="V154:W154"/>
    <mergeCell ref="V155:W155"/>
    <mergeCell ref="V156:W156"/>
    <mergeCell ref="V157:W157"/>
    <mergeCell ref="V158:W158"/>
    <mergeCell ref="V159:W159"/>
    <mergeCell ref="V142:W142"/>
    <mergeCell ref="V143:W143"/>
    <mergeCell ref="V144:W144"/>
    <mergeCell ref="V145:W145"/>
    <mergeCell ref="V146:W146"/>
    <mergeCell ref="V147:W147"/>
    <mergeCell ref="V148:W148"/>
    <mergeCell ref="V149:W149"/>
    <mergeCell ref="V150:W150"/>
    <mergeCell ref="V133:W133"/>
    <mergeCell ref="V134:W134"/>
    <mergeCell ref="V135:W135"/>
    <mergeCell ref="V136:W136"/>
    <mergeCell ref="V137:W137"/>
    <mergeCell ref="V138:W138"/>
    <mergeCell ref="V139:W139"/>
    <mergeCell ref="V140:W140"/>
    <mergeCell ref="V141:W141"/>
    <mergeCell ref="V124:W124"/>
    <mergeCell ref="V125:W125"/>
    <mergeCell ref="V126:W126"/>
    <mergeCell ref="V127:W127"/>
    <mergeCell ref="V128:W128"/>
    <mergeCell ref="V129:W129"/>
    <mergeCell ref="V130:W130"/>
    <mergeCell ref="V131:W131"/>
    <mergeCell ref="V132:W132"/>
    <mergeCell ref="V115:W115"/>
    <mergeCell ref="V116:W116"/>
    <mergeCell ref="V117:W117"/>
    <mergeCell ref="V118:W118"/>
    <mergeCell ref="V119:W119"/>
    <mergeCell ref="V120:W120"/>
    <mergeCell ref="V121:W121"/>
    <mergeCell ref="V122:W122"/>
    <mergeCell ref="V123:W123"/>
    <mergeCell ref="C196:D196"/>
    <mergeCell ref="C197:D197"/>
    <mergeCell ref="C198:D198"/>
    <mergeCell ref="C199:D199"/>
    <mergeCell ref="C200:D200"/>
    <mergeCell ref="C201:D201"/>
    <mergeCell ref="C202:D202"/>
    <mergeCell ref="C203:D203"/>
    <mergeCell ref="C204:D204"/>
    <mergeCell ref="C187:D187"/>
    <mergeCell ref="C188:D188"/>
    <mergeCell ref="C189:D189"/>
    <mergeCell ref="C190:D190"/>
    <mergeCell ref="C191:D191"/>
    <mergeCell ref="C192:D192"/>
    <mergeCell ref="C193:D193"/>
    <mergeCell ref="C194:D194"/>
    <mergeCell ref="C195:D195"/>
    <mergeCell ref="C178:D178"/>
    <mergeCell ref="C179:D179"/>
    <mergeCell ref="C180:D180"/>
    <mergeCell ref="C181:D181"/>
    <mergeCell ref="C182:D182"/>
    <mergeCell ref="C183:D183"/>
    <mergeCell ref="C184:D184"/>
    <mergeCell ref="C185:D185"/>
    <mergeCell ref="C186:D186"/>
    <mergeCell ref="C169:D169"/>
    <mergeCell ref="C170:D170"/>
    <mergeCell ref="C171:D171"/>
    <mergeCell ref="C172:D172"/>
    <mergeCell ref="C173:D173"/>
    <mergeCell ref="C174:D174"/>
    <mergeCell ref="C175:D175"/>
    <mergeCell ref="C176:D176"/>
    <mergeCell ref="C177:D177"/>
    <mergeCell ref="C160:D160"/>
    <mergeCell ref="C161:D161"/>
    <mergeCell ref="C162:D162"/>
    <mergeCell ref="C163:D163"/>
    <mergeCell ref="C164:D164"/>
    <mergeCell ref="C165:D165"/>
    <mergeCell ref="C166:D166"/>
    <mergeCell ref="C167:D167"/>
    <mergeCell ref="C168:D168"/>
    <mergeCell ref="C151:D151"/>
    <mergeCell ref="C152:D152"/>
    <mergeCell ref="C153:D153"/>
    <mergeCell ref="C154:D154"/>
    <mergeCell ref="C155:D155"/>
    <mergeCell ref="C156:D156"/>
    <mergeCell ref="C157:D157"/>
    <mergeCell ref="C158:D158"/>
    <mergeCell ref="C159:D159"/>
    <mergeCell ref="C142:D142"/>
    <mergeCell ref="C143:D143"/>
    <mergeCell ref="C144:D144"/>
    <mergeCell ref="C145:D145"/>
    <mergeCell ref="C146:D146"/>
    <mergeCell ref="C147:D147"/>
    <mergeCell ref="C148:D148"/>
    <mergeCell ref="C149:D149"/>
    <mergeCell ref="C150:D150"/>
    <mergeCell ref="C133:D133"/>
    <mergeCell ref="C134:D134"/>
    <mergeCell ref="C135:D135"/>
    <mergeCell ref="C136:D136"/>
    <mergeCell ref="C137:D137"/>
    <mergeCell ref="C138:D138"/>
    <mergeCell ref="C139:D139"/>
    <mergeCell ref="C140:D140"/>
    <mergeCell ref="C141:D141"/>
    <mergeCell ref="C124:D124"/>
    <mergeCell ref="C125:D125"/>
    <mergeCell ref="C126:D126"/>
    <mergeCell ref="C127:D127"/>
    <mergeCell ref="C128:D128"/>
    <mergeCell ref="C129:D129"/>
    <mergeCell ref="C130:D130"/>
    <mergeCell ref="C131:D131"/>
    <mergeCell ref="C132:D132"/>
    <mergeCell ref="C115:D115"/>
    <mergeCell ref="C116:D116"/>
    <mergeCell ref="C117:D117"/>
    <mergeCell ref="C118:D118"/>
    <mergeCell ref="C119:D119"/>
    <mergeCell ref="C120:D120"/>
    <mergeCell ref="C121:D121"/>
    <mergeCell ref="C122:D122"/>
    <mergeCell ref="C123:D123"/>
    <mergeCell ref="V109:W109"/>
    <mergeCell ref="V110:W110"/>
    <mergeCell ref="V111:W111"/>
    <mergeCell ref="V112:W112"/>
    <mergeCell ref="V113:W113"/>
    <mergeCell ref="V114:W114"/>
    <mergeCell ref="C110:D110"/>
    <mergeCell ref="C111:D111"/>
    <mergeCell ref="C112:D112"/>
    <mergeCell ref="C113:D113"/>
    <mergeCell ref="C114:D114"/>
    <mergeCell ref="V100:W100"/>
    <mergeCell ref="V101:W101"/>
    <mergeCell ref="V102:W102"/>
    <mergeCell ref="V103:W103"/>
    <mergeCell ref="V104:W104"/>
    <mergeCell ref="V105:W105"/>
    <mergeCell ref="V106:W106"/>
    <mergeCell ref="V107:W107"/>
    <mergeCell ref="V108:W108"/>
    <mergeCell ref="V91:W91"/>
    <mergeCell ref="V92:W92"/>
    <mergeCell ref="V93:W93"/>
    <mergeCell ref="V94:W94"/>
    <mergeCell ref="V95:W95"/>
    <mergeCell ref="V96:W96"/>
    <mergeCell ref="V97:W97"/>
    <mergeCell ref="V98:W98"/>
    <mergeCell ref="V99:W99"/>
    <mergeCell ref="V82:W82"/>
    <mergeCell ref="V83:W83"/>
    <mergeCell ref="V84:W84"/>
    <mergeCell ref="V85:W85"/>
    <mergeCell ref="V86:W86"/>
    <mergeCell ref="V87:W87"/>
    <mergeCell ref="V88:W88"/>
    <mergeCell ref="V89:W89"/>
    <mergeCell ref="V90:W90"/>
    <mergeCell ref="C102:D102"/>
    <mergeCell ref="C103:D103"/>
    <mergeCell ref="C104:D104"/>
    <mergeCell ref="C105:D105"/>
    <mergeCell ref="C106:D106"/>
    <mergeCell ref="C107:D107"/>
    <mergeCell ref="C108:D108"/>
    <mergeCell ref="C109:D109"/>
    <mergeCell ref="V63:W63"/>
    <mergeCell ref="V64:W64"/>
    <mergeCell ref="V65:W65"/>
    <mergeCell ref="V66:W66"/>
    <mergeCell ref="V67:W67"/>
    <mergeCell ref="V68:W68"/>
    <mergeCell ref="V69:W69"/>
    <mergeCell ref="V70:W70"/>
    <mergeCell ref="V71:W71"/>
    <mergeCell ref="V75:W75"/>
    <mergeCell ref="V76:W76"/>
    <mergeCell ref="V77:W77"/>
    <mergeCell ref="V78:W78"/>
    <mergeCell ref="V79:W79"/>
    <mergeCell ref="V80:W80"/>
    <mergeCell ref="V81:W81"/>
    <mergeCell ref="C93:D93"/>
    <mergeCell ref="C94:D94"/>
    <mergeCell ref="C95:D95"/>
    <mergeCell ref="C96:D96"/>
    <mergeCell ref="C97:D97"/>
    <mergeCell ref="C98:D98"/>
    <mergeCell ref="C99:D99"/>
    <mergeCell ref="C100:D100"/>
    <mergeCell ref="C101:D101"/>
    <mergeCell ref="C84:D84"/>
    <mergeCell ref="C85:D85"/>
    <mergeCell ref="C86:D86"/>
    <mergeCell ref="C87:D87"/>
    <mergeCell ref="C88:D88"/>
    <mergeCell ref="C89:D89"/>
    <mergeCell ref="C90:D90"/>
    <mergeCell ref="C91:D91"/>
    <mergeCell ref="C92:D92"/>
    <mergeCell ref="C75:D75"/>
    <mergeCell ref="C76:D76"/>
    <mergeCell ref="C77:D77"/>
    <mergeCell ref="C78:D78"/>
    <mergeCell ref="C79:D79"/>
    <mergeCell ref="C80:D80"/>
    <mergeCell ref="C81:D81"/>
    <mergeCell ref="C82:D82"/>
    <mergeCell ref="C83:D83"/>
    <mergeCell ref="V61:W61"/>
    <mergeCell ref="V62:W62"/>
    <mergeCell ref="C71:D71"/>
    <mergeCell ref="C72:D72"/>
    <mergeCell ref="V72:W72"/>
    <mergeCell ref="V73:W73"/>
    <mergeCell ref="V74:W74"/>
    <mergeCell ref="C73:D73"/>
    <mergeCell ref="C74:D74"/>
    <mergeCell ref="C61:D61"/>
    <mergeCell ref="C62:D62"/>
    <mergeCell ref="C63:D63"/>
    <mergeCell ref="C64:D64"/>
    <mergeCell ref="C65:D65"/>
    <mergeCell ref="C66:D66"/>
    <mergeCell ref="C67:D67"/>
    <mergeCell ref="C68:D68"/>
    <mergeCell ref="C69:D69"/>
    <mergeCell ref="C70:D70"/>
    <mergeCell ref="A52:C52"/>
    <mergeCell ref="D52:E52"/>
    <mergeCell ref="F52:G52"/>
    <mergeCell ref="H57:I57"/>
    <mergeCell ref="V57:W57"/>
    <mergeCell ref="AA57:AB57"/>
    <mergeCell ref="V58:W58"/>
    <mergeCell ref="V59:W59"/>
    <mergeCell ref="V60:W60"/>
    <mergeCell ref="C57:D57"/>
    <mergeCell ref="C58:D58"/>
    <mergeCell ref="C59:D59"/>
    <mergeCell ref="C60:D60"/>
    <mergeCell ref="A44:C44"/>
    <mergeCell ref="D44:E44"/>
    <mergeCell ref="F44:G44"/>
    <mergeCell ref="AA18:AB18"/>
    <mergeCell ref="AE18:AF18"/>
    <mergeCell ref="Q34:R34"/>
    <mergeCell ref="Q35:R35"/>
    <mergeCell ref="AD35:AD48"/>
    <mergeCell ref="Q36:R36"/>
    <mergeCell ref="AC37:AC49"/>
    <mergeCell ref="A48:C48"/>
    <mergeCell ref="D48:E48"/>
    <mergeCell ref="F48:G48"/>
    <mergeCell ref="A1:S1"/>
    <mergeCell ref="D3:J3"/>
    <mergeCell ref="O3:S3"/>
    <mergeCell ref="A5:S5"/>
    <mergeCell ref="U5:Y5"/>
    <mergeCell ref="AA14:AB14"/>
    <mergeCell ref="AE14:AF14"/>
    <mergeCell ref="Q37:R37"/>
    <mergeCell ref="A40:C40"/>
    <mergeCell ref="D40:E40"/>
    <mergeCell ref="F40:G40"/>
    <mergeCell ref="V298:W298"/>
    <mergeCell ref="V299:W299"/>
    <mergeCell ref="V300:W300"/>
    <mergeCell ref="V301:W301"/>
    <mergeCell ref="V302:W302"/>
    <mergeCell ref="V303:W303"/>
    <mergeCell ref="V304:W304"/>
    <mergeCell ref="V305:W305"/>
    <mergeCell ref="V306:W306"/>
    <mergeCell ref="V289:W289"/>
    <mergeCell ref="V290:W290"/>
    <mergeCell ref="V291:W291"/>
    <mergeCell ref="V292:W292"/>
    <mergeCell ref="V293:W293"/>
    <mergeCell ref="V294:W294"/>
    <mergeCell ref="V295:W295"/>
    <mergeCell ref="V296:W296"/>
    <mergeCell ref="V297:W297"/>
    <mergeCell ref="V280:W280"/>
    <mergeCell ref="V281:W281"/>
    <mergeCell ref="V282:W282"/>
    <mergeCell ref="V283:W283"/>
    <mergeCell ref="V284:W284"/>
    <mergeCell ref="V285:W285"/>
    <mergeCell ref="V286:W286"/>
    <mergeCell ref="V287:W287"/>
    <mergeCell ref="V288:W288"/>
    <mergeCell ref="V271:W271"/>
    <mergeCell ref="V272:W272"/>
    <mergeCell ref="V273:W273"/>
    <mergeCell ref="V274:W274"/>
    <mergeCell ref="V275:W275"/>
    <mergeCell ref="V276:W276"/>
    <mergeCell ref="V277:W277"/>
    <mergeCell ref="V278:W278"/>
    <mergeCell ref="V279:W279"/>
    <mergeCell ref="V356:W356"/>
    <mergeCell ref="V357:W357"/>
    <mergeCell ref="V348:W348"/>
    <mergeCell ref="V349:W349"/>
    <mergeCell ref="V350:W350"/>
    <mergeCell ref="V351:W351"/>
    <mergeCell ref="V352:W352"/>
    <mergeCell ref="V353:W353"/>
    <mergeCell ref="V354:W354"/>
    <mergeCell ref="V340:W340"/>
    <mergeCell ref="V341:W341"/>
    <mergeCell ref="V342:W342"/>
    <mergeCell ref="V343:W343"/>
    <mergeCell ref="V344:W344"/>
    <mergeCell ref="V345:W345"/>
    <mergeCell ref="V346:W346"/>
    <mergeCell ref="V347:W347"/>
    <mergeCell ref="V355:W355"/>
    <mergeCell ref="V331:W331"/>
    <mergeCell ref="V332:W332"/>
    <mergeCell ref="V333:W333"/>
    <mergeCell ref="V334:W334"/>
    <mergeCell ref="V335:W335"/>
    <mergeCell ref="V336:W336"/>
    <mergeCell ref="V337:W337"/>
    <mergeCell ref="V338:W338"/>
    <mergeCell ref="V339:W339"/>
    <mergeCell ref="V322:W322"/>
    <mergeCell ref="V323:W323"/>
    <mergeCell ref="V324:W324"/>
    <mergeCell ref="V325:W325"/>
    <mergeCell ref="V326:W326"/>
    <mergeCell ref="V327:W327"/>
    <mergeCell ref="V328:W328"/>
    <mergeCell ref="V329:W329"/>
    <mergeCell ref="V330:W330"/>
    <mergeCell ref="C299:D299"/>
    <mergeCell ref="C300:D300"/>
    <mergeCell ref="C301:D301"/>
    <mergeCell ref="C302:D302"/>
    <mergeCell ref="C303:D303"/>
    <mergeCell ref="C304:D304"/>
    <mergeCell ref="C305:D305"/>
    <mergeCell ref="V320:W320"/>
    <mergeCell ref="V321:W321"/>
    <mergeCell ref="V307:W307"/>
    <mergeCell ref="V308:W308"/>
    <mergeCell ref="V309:W309"/>
    <mergeCell ref="V310:W310"/>
    <mergeCell ref="V311:W311"/>
    <mergeCell ref="V312:W312"/>
    <mergeCell ref="V313:W313"/>
    <mergeCell ref="V314:W314"/>
    <mergeCell ref="V315:W315"/>
    <mergeCell ref="V316:W316"/>
    <mergeCell ref="V317:W317"/>
    <mergeCell ref="V318:W318"/>
    <mergeCell ref="V319:W319"/>
    <mergeCell ref="C316:D316"/>
    <mergeCell ref="C317:D317"/>
    <mergeCell ref="C290:D290"/>
    <mergeCell ref="C291:D291"/>
    <mergeCell ref="C292:D292"/>
    <mergeCell ref="C293:D293"/>
    <mergeCell ref="C294:D294"/>
    <mergeCell ref="C295:D295"/>
    <mergeCell ref="C296:D296"/>
    <mergeCell ref="C297:D297"/>
    <mergeCell ref="C298:D298"/>
    <mergeCell ref="C281:D281"/>
    <mergeCell ref="C282:D282"/>
    <mergeCell ref="C283:D283"/>
    <mergeCell ref="C284:D284"/>
    <mergeCell ref="C285:D285"/>
    <mergeCell ref="C286:D286"/>
    <mergeCell ref="C287:D287"/>
    <mergeCell ref="C288:D288"/>
    <mergeCell ref="C289:D289"/>
    <mergeCell ref="C272:D272"/>
    <mergeCell ref="C273:D273"/>
    <mergeCell ref="C274:D274"/>
    <mergeCell ref="C275:D275"/>
    <mergeCell ref="C276:D276"/>
    <mergeCell ref="C277:D277"/>
    <mergeCell ref="C278:D278"/>
    <mergeCell ref="C279:D279"/>
    <mergeCell ref="C280:D280"/>
    <mergeCell ref="C343:D343"/>
    <mergeCell ref="C344:D344"/>
    <mergeCell ref="C345:D345"/>
    <mergeCell ref="C346:D346"/>
    <mergeCell ref="C347:D347"/>
    <mergeCell ref="C355:D355"/>
    <mergeCell ref="C356:D356"/>
    <mergeCell ref="C357:D357"/>
    <mergeCell ref="C348:D348"/>
    <mergeCell ref="C349:D349"/>
    <mergeCell ref="C350:D350"/>
    <mergeCell ref="C351:D351"/>
    <mergeCell ref="C352:D352"/>
    <mergeCell ref="C353:D353"/>
    <mergeCell ref="C354:D354"/>
    <mergeCell ref="C334:D334"/>
    <mergeCell ref="C335:D335"/>
    <mergeCell ref="C336:D336"/>
    <mergeCell ref="C337:D337"/>
    <mergeCell ref="C338:D338"/>
    <mergeCell ref="C339:D339"/>
    <mergeCell ref="C340:D340"/>
    <mergeCell ref="C341:D341"/>
    <mergeCell ref="C342:D342"/>
    <mergeCell ref="C325:D325"/>
    <mergeCell ref="C326:D326"/>
    <mergeCell ref="C327:D327"/>
    <mergeCell ref="C328:D328"/>
    <mergeCell ref="C329:D329"/>
    <mergeCell ref="C330:D330"/>
    <mergeCell ref="C331:D331"/>
    <mergeCell ref="C332:D332"/>
    <mergeCell ref="C333:D333"/>
    <mergeCell ref="C318:D318"/>
    <mergeCell ref="C319:D319"/>
    <mergeCell ref="C320:D320"/>
    <mergeCell ref="C321:D321"/>
    <mergeCell ref="C322:D322"/>
    <mergeCell ref="C323:D323"/>
    <mergeCell ref="C324:D324"/>
    <mergeCell ref="C307:D307"/>
    <mergeCell ref="C308:D308"/>
    <mergeCell ref="C309:D309"/>
    <mergeCell ref="C310:D310"/>
    <mergeCell ref="C311:D311"/>
    <mergeCell ref="C312:D312"/>
    <mergeCell ref="C313:D313"/>
    <mergeCell ref="C314:D314"/>
    <mergeCell ref="C315:D315"/>
    <mergeCell ref="C249:D249"/>
    <mergeCell ref="C250:D250"/>
    <mergeCell ref="C251:D251"/>
    <mergeCell ref="C252:D252"/>
    <mergeCell ref="C253:D253"/>
    <mergeCell ref="C254:D254"/>
    <mergeCell ref="C255:D255"/>
    <mergeCell ref="C256:D256"/>
    <mergeCell ref="C306:D30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40:D240"/>
    <mergeCell ref="C241:D241"/>
    <mergeCell ref="C242:D242"/>
    <mergeCell ref="C243:D243"/>
    <mergeCell ref="C244:D244"/>
    <mergeCell ref="C245:D245"/>
    <mergeCell ref="C246:D246"/>
    <mergeCell ref="C247:D247"/>
    <mergeCell ref="C248:D248"/>
    <mergeCell ref="C231:D231"/>
    <mergeCell ref="C232:D232"/>
    <mergeCell ref="C233:D233"/>
    <mergeCell ref="C234:D234"/>
    <mergeCell ref="C235:D235"/>
    <mergeCell ref="C236:D236"/>
    <mergeCell ref="C237:D237"/>
    <mergeCell ref="C238:D238"/>
    <mergeCell ref="C239:D239"/>
    <mergeCell ref="C222:D222"/>
    <mergeCell ref="C223:D223"/>
    <mergeCell ref="C224:D224"/>
    <mergeCell ref="C225:D225"/>
    <mergeCell ref="C226:D226"/>
    <mergeCell ref="C227:D227"/>
    <mergeCell ref="C228:D228"/>
    <mergeCell ref="C229:D229"/>
    <mergeCell ref="C230:D230"/>
    <mergeCell ref="C213:D213"/>
    <mergeCell ref="C214:D214"/>
    <mergeCell ref="C215:D215"/>
    <mergeCell ref="C216:D216"/>
    <mergeCell ref="C217:D217"/>
    <mergeCell ref="C218:D218"/>
    <mergeCell ref="C219:D219"/>
    <mergeCell ref="C220:D220"/>
    <mergeCell ref="C221:D221"/>
    <mergeCell ref="C208:D208"/>
    <mergeCell ref="C209:D209"/>
    <mergeCell ref="C210:D210"/>
    <mergeCell ref="C211:D211"/>
    <mergeCell ref="C212:D212"/>
    <mergeCell ref="V200:W200"/>
    <mergeCell ref="V201:W201"/>
    <mergeCell ref="V202:W202"/>
    <mergeCell ref="V203:W203"/>
    <mergeCell ref="V204:W204"/>
    <mergeCell ref="V205:W205"/>
    <mergeCell ref="V206:W206"/>
    <mergeCell ref="V207:W207"/>
    <mergeCell ref="V208:W208"/>
    <mergeCell ref="C205:D205"/>
    <mergeCell ref="C206:D206"/>
    <mergeCell ref="C207:D207"/>
    <mergeCell ref="V219:W219"/>
    <mergeCell ref="V179:W179"/>
    <mergeCell ref="V180:W180"/>
    <mergeCell ref="V181:W181"/>
    <mergeCell ref="V164:W164"/>
    <mergeCell ref="V165:W165"/>
    <mergeCell ref="V166:W166"/>
    <mergeCell ref="V167:W167"/>
    <mergeCell ref="V168:W168"/>
    <mergeCell ref="V169:W169"/>
    <mergeCell ref="V170:W170"/>
    <mergeCell ref="V171:W171"/>
    <mergeCell ref="V172:W172"/>
  </mergeCells>
  <conditionalFormatting sqref="D40:E40">
    <cfRule type="expression" dxfId="139" priority="1" stopIfTrue="1">
      <formula>Q34="YES"</formula>
    </cfRule>
    <cfRule type="expression" dxfId="138" priority="2" stopIfTrue="1">
      <formula>Q34="NO"</formula>
    </cfRule>
  </conditionalFormatting>
  <conditionalFormatting sqref="D44:E44">
    <cfRule type="expression" dxfId="137" priority="3" stopIfTrue="1">
      <formula>Q35="YES"</formula>
    </cfRule>
    <cfRule type="expression" dxfId="136" priority="4" stopIfTrue="1">
      <formula>Q35="NO"</formula>
    </cfRule>
  </conditionalFormatting>
  <conditionalFormatting sqref="D48:E48">
    <cfRule type="expression" dxfId="135" priority="5" stopIfTrue="1">
      <formula>Q36="YES"</formula>
    </cfRule>
    <cfRule type="expression" dxfId="134" priority="6" stopIfTrue="1">
      <formula>Q36="NO"</formula>
    </cfRule>
  </conditionalFormatting>
  <conditionalFormatting sqref="D52:E52">
    <cfRule type="expression" dxfId="133" priority="7" stopIfTrue="1">
      <formula>Q37="YES"</formula>
    </cfRule>
    <cfRule type="expression" dxfId="132" priority="8" stopIfTrue="1">
      <formula>Q37="NO"</formula>
    </cfRule>
  </conditionalFormatting>
  <conditionalFormatting sqref="F40:G40 F44:G44 F48:G48 F52:G52">
    <cfRule type="expression" dxfId="131" priority="9" stopIfTrue="1">
      <formula>F40="PASS"</formula>
    </cfRule>
    <cfRule type="expression" dxfId="130" priority="10" stopIfTrue="1">
      <formula>F40="FAIL"</formula>
    </cfRule>
    <cfRule type="expression" dxfId="129" priority="11" stopIfTrue="1">
      <formula>F40="N/A"</formula>
    </cfRule>
  </conditionalFormatting>
  <conditionalFormatting sqref="AA14 AE14 AA18 AE18">
    <cfRule type="cellIs" dxfId="128" priority="12" operator="equal">
      <formula>"FAIL"</formula>
    </cfRule>
    <cfRule type="cellIs" dxfId="127" priority="13" operator="equal">
      <formula>"pass"</formula>
    </cfRule>
  </conditionalFormatting>
  <dataValidations count="4">
    <dataValidation type="list" allowBlank="1" showErrorMessage="1" sqref="Q34:Q37" xr:uid="{00000000-0002-0000-1B00-000000000000}">
      <formula1>"YES,NO"</formula1>
    </dataValidation>
    <dataValidation type="list" allowBlank="1" showErrorMessage="1" sqref="Z6 AD6" xr:uid="{00000000-0002-0000-1B00-000001000000}">
      <formula1>Tube_Type</formula1>
    </dataValidation>
    <dataValidation type="list" allowBlank="1" showErrorMessage="1" sqref="Z3" xr:uid="{00000000-0002-0000-1B00-000002000000}">
      <formula1>"Lap belt only,Combined belts"</formula1>
    </dataValidation>
    <dataValidation type="list" allowBlank="1" showErrorMessage="1" sqref="Z4 AD4" xr:uid="{00000000-0002-0000-1B00-000003000000}">
      <formula1>"Steel,Steel 2"</formula1>
    </dataValidation>
  </dataValidations>
  <hyperlinks>
    <hyperlink ref="V20" location="'T4.5 Guidance Notes'!A1" display="Link to GUIDANCE NOTES" xr:uid="{00000000-0004-0000-1B00-000000000000}"/>
    <hyperlink ref="O51" location="'Cover Sheet'!A1" display="BACK to COVER SHEET" xr:uid="{00000000-0004-0000-1B00-000001000000}"/>
  </hyperlinks>
  <pageMargins left="0.39370078740157483" right="0.39370078740157483" top="0.39370078740157483" bottom="0.39370078740157483" header="0" footer="0"/>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6D9F0"/>
  </sheetPr>
  <dimension ref="A1:AF1000"/>
  <sheetViews>
    <sheetView showGridLines="0" workbookViewId="0"/>
  </sheetViews>
  <sheetFormatPr baseColWidth="10" defaultColWidth="12.5703125" defaultRowHeight="15" customHeight="1"/>
  <cols>
    <col min="1" max="1" width="4.42578125" customWidth="1"/>
    <col min="2" max="2" width="29" customWidth="1"/>
    <col min="3" max="3" width="12.5703125" customWidth="1"/>
    <col min="4" max="4" width="14.5703125" customWidth="1"/>
    <col min="5" max="5" width="12.5703125" customWidth="1"/>
    <col min="6" max="6" width="14.5703125" customWidth="1"/>
    <col min="7" max="7" width="12.5703125" customWidth="1"/>
    <col min="8" max="8" width="14.5703125" customWidth="1"/>
    <col min="9" max="9" width="12.5703125" customWidth="1"/>
    <col min="10" max="10" width="14.5703125" customWidth="1"/>
    <col min="11" max="11" width="12.5703125" customWidth="1"/>
    <col min="12" max="12" width="14.5703125" customWidth="1"/>
    <col min="13" max="13" width="11.42578125" customWidth="1"/>
    <col min="14" max="14" width="29" customWidth="1"/>
    <col min="15" max="32" width="11.42578125" customWidth="1"/>
  </cols>
  <sheetData>
    <row r="1" spans="2:32" ht="12.75" customHeight="1">
      <c r="B1" s="213" t="s">
        <v>719</v>
      </c>
      <c r="N1" s="213"/>
    </row>
    <row r="2" spans="2:32" ht="12.75" customHeight="1">
      <c r="C2" s="131"/>
      <c r="D2" s="131"/>
    </row>
    <row r="3" spans="2:32" ht="12.75" customHeight="1">
      <c r="B3" s="67" t="s">
        <v>720</v>
      </c>
      <c r="C3" s="310">
        <v>2</v>
      </c>
      <c r="D3" s="31"/>
      <c r="E3" s="39"/>
      <c r="F3" s="225"/>
      <c r="M3" s="39" t="s">
        <v>252</v>
      </c>
      <c r="N3" s="225"/>
      <c r="O3" s="39"/>
      <c r="P3" s="39"/>
    </row>
    <row r="4" spans="2:32" ht="12.75" customHeight="1">
      <c r="B4" s="225" t="s">
        <v>721</v>
      </c>
      <c r="C4" s="310" t="s">
        <v>564</v>
      </c>
      <c r="D4" s="31"/>
    </row>
    <row r="5" spans="2:32" ht="12.75" customHeight="1">
      <c r="C5" s="81"/>
      <c r="D5" s="31"/>
    </row>
    <row r="6" spans="2:32" ht="12.75" customHeight="1">
      <c r="B6" s="141"/>
      <c r="C6" s="380"/>
      <c r="D6" s="381"/>
      <c r="E6" s="382"/>
      <c r="F6" s="37"/>
      <c r="G6" s="721" t="s">
        <v>722</v>
      </c>
      <c r="H6" s="596"/>
      <c r="I6" s="383" t="s">
        <v>723</v>
      </c>
      <c r="J6" s="366"/>
      <c r="K6" s="381" t="s">
        <v>723</v>
      </c>
      <c r="L6" s="38"/>
    </row>
    <row r="7" spans="2:32" ht="12.75" customHeight="1">
      <c r="B7" s="141"/>
      <c r="C7" s="384" t="s">
        <v>724</v>
      </c>
      <c r="D7" s="385"/>
      <c r="E7" s="386" t="s">
        <v>725</v>
      </c>
      <c r="F7" s="251"/>
      <c r="G7" s="600"/>
      <c r="H7" s="602"/>
      <c r="I7" s="387" t="s">
        <v>726</v>
      </c>
      <c r="J7" s="388"/>
      <c r="K7" s="389" t="s">
        <v>727</v>
      </c>
      <c r="L7" s="197"/>
    </row>
    <row r="8" spans="2:32" ht="12.75" customHeight="1">
      <c r="B8" s="27" t="s">
        <v>728</v>
      </c>
      <c r="C8" s="713" t="e">
        <f ca="1">IF(AND(D10="PASS",D11="PASS",D14="PASS",D15="PASS",D26="PASS",D18="PASS",D27="PASS", D28="pass"),"PASS","FAIL")</f>
        <v>#NAME?</v>
      </c>
      <c r="D8" s="588"/>
      <c r="E8" s="713" t="e">
        <f ca="1">IF(AND(F10="PASS",F11="PASS",F12="PASS",F14="PASS",F15="PASS",F26="PASS",F18="PASS",F27="PASS",F28="pass"),"PASS","FAIL")</f>
        <v>#NAME?</v>
      </c>
      <c r="F8" s="588"/>
      <c r="G8" s="722" t="str">
        <f>IF(C4="YES",IF(AND(H10="PASS",H11="PASS",H14="PASS",H15="PASS",H26="PASS",H18="PASS",H27="PASS"),"PASS","FAIL"),"N/A")</f>
        <v>FAIL</v>
      </c>
      <c r="H8" s="602"/>
      <c r="I8" s="713" t="str">
        <f>IF($C$3&lt;=2,"N/A",IF(AND(J10="PASS",J11="PASS",J14="PASS",J15="PASS",J26="PASS",J18="PASS",J27="PASS",J28="pass"),"PASS","FAIL"))</f>
        <v>N/A</v>
      </c>
      <c r="J8" s="588"/>
      <c r="K8" s="713" t="str">
        <f>IF($C$3&lt;=3,"N/A",IF(AND(L10="PASS",L11="PASS",L14="PASS",L15="PASS",L26="PASS",L18="PASS",L27="PASS",L28="pass"),"PASS","FAIL"))</f>
        <v>N/A</v>
      </c>
      <c r="L8" s="588"/>
      <c r="M8" s="143"/>
      <c r="N8" s="143"/>
      <c r="O8" s="143"/>
      <c r="P8" s="143"/>
      <c r="Q8" s="143"/>
      <c r="R8" s="143"/>
      <c r="S8" s="143"/>
      <c r="T8" s="143"/>
      <c r="U8" s="143"/>
      <c r="V8" s="143"/>
      <c r="W8" s="143"/>
      <c r="X8" s="143"/>
      <c r="Y8" s="143"/>
      <c r="Z8" s="143"/>
      <c r="AA8" s="143"/>
      <c r="AB8" s="143"/>
      <c r="AC8" s="143"/>
      <c r="AD8" s="143"/>
      <c r="AE8" s="143"/>
      <c r="AF8" s="144"/>
    </row>
    <row r="9" spans="2:32" ht="12.75" customHeight="1">
      <c r="B9" s="80"/>
      <c r="C9" s="390"/>
      <c r="D9" s="391"/>
      <c r="E9" s="390"/>
      <c r="F9" s="391"/>
      <c r="G9" s="390"/>
      <c r="H9" s="391"/>
      <c r="I9" s="390"/>
      <c r="J9" s="391"/>
      <c r="K9" s="35"/>
      <c r="L9" s="46"/>
      <c r="M9" s="64"/>
      <c r="N9" s="64"/>
      <c r="O9" s="64"/>
      <c r="P9" s="64"/>
      <c r="Q9" s="64"/>
      <c r="R9" s="64"/>
      <c r="S9" s="64"/>
      <c r="T9" s="64"/>
      <c r="U9" s="64"/>
      <c r="V9" s="64"/>
      <c r="W9" s="64"/>
      <c r="X9" s="64"/>
      <c r="Y9" s="64"/>
      <c r="Z9" s="64"/>
      <c r="AA9" s="64"/>
      <c r="AB9" s="64"/>
      <c r="AC9" s="64"/>
      <c r="AD9" s="64"/>
      <c r="AE9" s="64"/>
      <c r="AF9" s="96"/>
    </row>
    <row r="10" spans="2:32" ht="12.75" customHeight="1">
      <c r="B10" s="382" t="s">
        <v>729</v>
      </c>
      <c r="C10" s="392">
        <v>0</v>
      </c>
      <c r="D10" s="393" t="str">
        <f>IF(C10&gt;=8,"PASS","FAIL")</f>
        <v>FAIL</v>
      </c>
      <c r="E10" s="394">
        <v>0</v>
      </c>
      <c r="F10" s="395" t="str">
        <f>IF(E10&gt;=8,"PASS","FAIL")</f>
        <v>FAIL</v>
      </c>
      <c r="G10" s="396">
        <v>0</v>
      </c>
      <c r="H10" s="393" t="str">
        <f>IF(G10&gt;=8,"PASS","FAIL")</f>
        <v>FAIL</v>
      </c>
      <c r="I10" s="394">
        <v>0</v>
      </c>
      <c r="J10" s="395" t="str">
        <f>IF(I10&gt;=8,"PASS","FAIL")</f>
        <v>FAIL</v>
      </c>
      <c r="K10" s="394">
        <v>0</v>
      </c>
      <c r="L10" s="395" t="str">
        <f>IF(K10&gt;=8,"PASS","FAIL")</f>
        <v>FAIL</v>
      </c>
      <c r="M10" s="64"/>
      <c r="N10" s="64"/>
      <c r="O10" s="64"/>
      <c r="P10" s="64"/>
      <c r="Q10" s="64"/>
      <c r="R10" s="64"/>
      <c r="S10" s="64"/>
      <c r="T10" s="64"/>
      <c r="U10" s="64"/>
      <c r="V10" s="64"/>
      <c r="W10" s="64"/>
      <c r="X10" s="64"/>
      <c r="Y10" s="64"/>
      <c r="Z10" s="64"/>
      <c r="AA10" s="64"/>
      <c r="AB10" s="64"/>
      <c r="AC10" s="64"/>
      <c r="AD10" s="64"/>
      <c r="AE10" s="64"/>
      <c r="AF10" s="96"/>
    </row>
    <row r="11" spans="2:32" ht="12.75" customHeight="1">
      <c r="B11" s="243" t="s">
        <v>730</v>
      </c>
      <c r="C11" s="223">
        <v>0</v>
      </c>
      <c r="D11" s="397" t="str">
        <f>IF(C11&gt;=2,"PASS","FAIL")</f>
        <v>FAIL</v>
      </c>
      <c r="E11" s="214">
        <v>0</v>
      </c>
      <c r="F11" s="397" t="str">
        <f>IF(E11&gt;=2,"PASS","FAIL")</f>
        <v>FAIL</v>
      </c>
      <c r="G11" s="214">
        <v>0</v>
      </c>
      <c r="H11" s="397" t="str">
        <f>IF(OR(AND(G10&gt;=8,G10&lt;10,G11&gt;=2),AND(G10&gt;=10,G11&gt;=1)),"PASS","FAIL")</f>
        <v>FAIL</v>
      </c>
      <c r="I11" s="398">
        <v>0</v>
      </c>
      <c r="J11" s="391" t="str">
        <f>IF(I11&gt;=2,"PASS","FAIL")</f>
        <v>FAIL</v>
      </c>
      <c r="K11" s="214">
        <v>0</v>
      </c>
      <c r="L11" s="391" t="str">
        <f>IF(K11&gt;=2,"PASS","FAIL")</f>
        <v>FAIL</v>
      </c>
      <c r="M11" s="64"/>
      <c r="N11" s="64"/>
      <c r="O11" s="64"/>
      <c r="P11" s="64"/>
      <c r="Q11" s="64"/>
      <c r="R11" s="64"/>
      <c r="S11" s="64"/>
      <c r="T11" s="64"/>
      <c r="U11" s="64"/>
      <c r="V11" s="64"/>
      <c r="W11" s="64"/>
      <c r="X11" s="64"/>
      <c r="Y11" s="64"/>
      <c r="Z11" s="64"/>
      <c r="AA11" s="64"/>
      <c r="AB11" s="64"/>
      <c r="AC11" s="64"/>
      <c r="AD11" s="64"/>
      <c r="AE11" s="64"/>
      <c r="AF11" s="96"/>
    </row>
    <row r="12" spans="2:32" ht="12.75" customHeight="1">
      <c r="B12" s="80" t="s">
        <v>731</v>
      </c>
      <c r="C12" s="399"/>
      <c r="D12" s="400"/>
      <c r="E12" s="64"/>
      <c r="F12" s="397" t="str">
        <f>IF(OR(E12&gt;=50,E12=""),"FAIL","PASS")</f>
        <v>FAIL</v>
      </c>
      <c r="H12" s="141"/>
      <c r="I12" s="399"/>
      <c r="J12" s="400"/>
      <c r="K12" s="399"/>
      <c r="L12" s="400"/>
      <c r="M12" s="64"/>
      <c r="N12" s="64"/>
      <c r="O12" s="64"/>
      <c r="P12" s="64"/>
      <c r="Q12" s="64"/>
      <c r="R12" s="64"/>
      <c r="S12" s="64"/>
      <c r="T12" s="64"/>
      <c r="U12" s="64"/>
      <c r="V12" s="64"/>
      <c r="W12" s="64"/>
      <c r="X12" s="64"/>
      <c r="Y12" s="64"/>
      <c r="Z12" s="64"/>
      <c r="AA12" s="64"/>
      <c r="AB12" s="64"/>
      <c r="AC12" s="64"/>
      <c r="AD12" s="64"/>
      <c r="AE12" s="64"/>
      <c r="AF12" s="96"/>
    </row>
    <row r="13" spans="2:32" ht="12.75" customHeight="1">
      <c r="B13" s="243"/>
      <c r="C13" s="35"/>
      <c r="D13" s="46"/>
      <c r="E13" s="286"/>
      <c r="F13" s="46"/>
      <c r="G13" s="586"/>
      <c r="H13" s="588"/>
      <c r="I13" s="243"/>
      <c r="J13" s="46"/>
      <c r="K13" s="35"/>
      <c r="L13" s="46"/>
      <c r="M13" s="64"/>
      <c r="N13" s="64"/>
      <c r="O13" s="64"/>
      <c r="P13" s="64"/>
      <c r="Q13" s="64"/>
      <c r="R13" s="64"/>
      <c r="S13" s="64"/>
      <c r="T13" s="64"/>
      <c r="U13" s="64"/>
      <c r="V13" s="64"/>
      <c r="W13" s="64"/>
      <c r="X13" s="64"/>
      <c r="Y13" s="64"/>
      <c r="Z13" s="64"/>
      <c r="AA13" s="64"/>
      <c r="AB13" s="64"/>
      <c r="AC13" s="64"/>
      <c r="AD13" s="64"/>
      <c r="AE13" s="64"/>
      <c r="AF13" s="96"/>
    </row>
    <row r="14" spans="2:32" ht="12.75" customHeight="1">
      <c r="B14" s="243" t="s">
        <v>732</v>
      </c>
      <c r="C14" s="401">
        <v>0</v>
      </c>
      <c r="D14" s="397" t="str">
        <f>IF(C14&gt;(PI()*25.4),"PASS","FAIL")</f>
        <v>FAIL</v>
      </c>
      <c r="E14" s="401">
        <v>0</v>
      </c>
      <c r="F14" s="391" t="str">
        <f>IF(E14&gt;(PI()*25.4),"PASS","FAIL")</f>
        <v>FAIL</v>
      </c>
      <c r="G14" s="401">
        <v>0</v>
      </c>
      <c r="H14" s="397" t="str">
        <f>IF(G14&gt;(PI()*25),"PASS","FAIL")</f>
        <v>FAIL</v>
      </c>
      <c r="I14" s="401">
        <v>0</v>
      </c>
      <c r="J14" s="391" t="str">
        <f>IF(I14&gt;(PI()*25.4),"PASS","FAIL")</f>
        <v>FAIL</v>
      </c>
      <c r="K14" s="401">
        <v>0</v>
      </c>
      <c r="L14" s="391" t="str">
        <f>IF(K14&gt;(PI()*25.4),"PASS","FAIL")</f>
        <v>FAIL</v>
      </c>
      <c r="M14" s="64"/>
      <c r="N14" s="64"/>
      <c r="O14" s="64"/>
      <c r="P14" s="64"/>
      <c r="Q14" s="64"/>
      <c r="R14" s="64"/>
      <c r="S14" s="64"/>
      <c r="T14" s="64"/>
      <c r="U14" s="64"/>
      <c r="V14" s="64"/>
      <c r="W14" s="64"/>
      <c r="X14" s="64"/>
      <c r="Y14" s="64"/>
      <c r="Z14" s="64"/>
      <c r="AA14" s="64"/>
      <c r="AB14" s="64"/>
      <c r="AC14" s="64"/>
      <c r="AD14" s="64"/>
      <c r="AE14" s="64"/>
      <c r="AF14" s="96"/>
    </row>
    <row r="15" spans="2:32" ht="12.75" customHeight="1">
      <c r="B15" s="243" t="s">
        <v>733</v>
      </c>
      <c r="C15" s="401">
        <v>0</v>
      </c>
      <c r="D15" s="397" t="str">
        <f>IF(C15&gt;=2,"PASS","FAIL")</f>
        <v>FAIL</v>
      </c>
      <c r="E15" s="401">
        <v>0</v>
      </c>
      <c r="F15" s="391" t="str">
        <f>IF(E15&gt;=2,"PASS","FAIL")</f>
        <v>FAIL</v>
      </c>
      <c r="G15" s="401">
        <v>0</v>
      </c>
      <c r="H15" s="391" t="str">
        <f>IF(G15&gt;=2,"PASS","FAIL")</f>
        <v>FAIL</v>
      </c>
      <c r="I15" s="401">
        <v>0</v>
      </c>
      <c r="J15" s="391" t="str">
        <f>IF(I15&gt;=2,"PASS","FAIL")</f>
        <v>FAIL</v>
      </c>
      <c r="K15" s="401">
        <v>0</v>
      </c>
      <c r="L15" s="391" t="str">
        <f>IF(K15&gt;=2,"PASS","FAIL")</f>
        <v>FAIL</v>
      </c>
      <c r="M15" s="64"/>
      <c r="N15" s="64"/>
      <c r="O15" s="64"/>
      <c r="P15" s="64"/>
      <c r="Q15" s="64"/>
      <c r="R15" s="64"/>
      <c r="S15" s="64"/>
      <c r="T15" s="64"/>
      <c r="U15" s="64"/>
      <c r="V15" s="64"/>
      <c r="W15" s="64"/>
      <c r="X15" s="64"/>
      <c r="Y15" s="64"/>
      <c r="Z15" s="64"/>
      <c r="AA15" s="64"/>
      <c r="AB15" s="64"/>
      <c r="AC15" s="64"/>
      <c r="AD15" s="64"/>
      <c r="AE15" s="64"/>
      <c r="AF15" s="96"/>
    </row>
    <row r="16" spans="2:32" ht="12.75" customHeight="1">
      <c r="B16" s="243" t="s">
        <v>734</v>
      </c>
      <c r="C16" s="401">
        <v>0</v>
      </c>
      <c r="D16" s="397"/>
      <c r="E16" s="401">
        <v>0</v>
      </c>
      <c r="F16" s="391"/>
      <c r="G16" s="401">
        <v>0</v>
      </c>
      <c r="H16" s="391"/>
      <c r="I16" s="401">
        <v>0</v>
      </c>
      <c r="J16" s="391"/>
      <c r="K16" s="401">
        <v>0</v>
      </c>
      <c r="L16" s="391"/>
      <c r="M16" s="64"/>
      <c r="N16" s="64"/>
      <c r="O16" s="64"/>
      <c r="P16" s="64"/>
      <c r="Q16" s="64"/>
      <c r="R16" s="64"/>
      <c r="S16" s="64"/>
      <c r="T16" s="64"/>
      <c r="U16" s="64"/>
      <c r="V16" s="64"/>
      <c r="W16" s="64"/>
      <c r="X16" s="64"/>
      <c r="Y16" s="64"/>
      <c r="Z16" s="64"/>
      <c r="AA16" s="64"/>
      <c r="AB16" s="64"/>
      <c r="AC16" s="64"/>
      <c r="AD16" s="64"/>
      <c r="AE16" s="64"/>
      <c r="AF16" s="96"/>
    </row>
    <row r="17" spans="1:32" ht="12.75" customHeight="1">
      <c r="B17" s="243" t="s">
        <v>735</v>
      </c>
      <c r="C17" s="401">
        <v>0</v>
      </c>
      <c r="D17" s="397"/>
      <c r="E17" s="401">
        <v>0</v>
      </c>
      <c r="F17" s="391"/>
      <c r="G17" s="401">
        <v>0</v>
      </c>
      <c r="H17" s="391"/>
      <c r="I17" s="401">
        <v>0</v>
      </c>
      <c r="J17" s="391"/>
      <c r="K17" s="401">
        <v>0</v>
      </c>
      <c r="L17" s="391"/>
      <c r="M17" s="64"/>
      <c r="N17" s="64"/>
      <c r="O17" s="64"/>
      <c r="P17" s="64"/>
      <c r="Q17" s="64"/>
      <c r="R17" s="64"/>
      <c r="S17" s="64"/>
      <c r="T17" s="64"/>
      <c r="U17" s="64"/>
      <c r="V17" s="64"/>
      <c r="W17" s="64"/>
      <c r="X17" s="64"/>
      <c r="Y17" s="64"/>
      <c r="Z17" s="64"/>
      <c r="AA17" s="64"/>
      <c r="AB17" s="64"/>
      <c r="AC17" s="64"/>
      <c r="AD17" s="64"/>
      <c r="AE17" s="64"/>
      <c r="AF17" s="96"/>
    </row>
    <row r="18" spans="1:32" ht="12.75" customHeight="1">
      <c r="B18" s="243" t="s">
        <v>736</v>
      </c>
      <c r="C18" s="401">
        <v>0</v>
      </c>
      <c r="D18" s="397" t="str">
        <f>IF(C18&gt;=2,"PASS","FAIL")</f>
        <v>FAIL</v>
      </c>
      <c r="E18" s="401">
        <v>0</v>
      </c>
      <c r="F18" s="391" t="str">
        <f>IF(E18&gt;=2,"PASS","FAIL")</f>
        <v>FAIL</v>
      </c>
      <c r="G18" s="214">
        <v>0</v>
      </c>
      <c r="H18" s="391" t="str">
        <f>IF(G18&gt;=2,"PASS","FAIL")</f>
        <v>FAIL</v>
      </c>
      <c r="I18" s="401">
        <v>0</v>
      </c>
      <c r="J18" s="397" t="str">
        <f>IF(I18&gt;=2,"PASS","FAIL")</f>
        <v>FAIL</v>
      </c>
      <c r="K18" s="401">
        <v>0</v>
      </c>
      <c r="L18" s="397" t="str">
        <f>IF(K18&gt;=2,"PASS","FAIL")</f>
        <v>FAIL</v>
      </c>
      <c r="M18" s="64"/>
      <c r="N18" s="64"/>
      <c r="O18" s="64"/>
      <c r="P18" s="64"/>
      <c r="Q18" s="64"/>
      <c r="R18" s="64"/>
      <c r="S18" s="64"/>
      <c r="T18" s="64"/>
      <c r="U18" s="64"/>
      <c r="V18" s="64"/>
      <c r="W18" s="64"/>
      <c r="X18" s="64"/>
      <c r="Y18" s="64"/>
      <c r="Z18" s="64"/>
      <c r="AA18" s="64"/>
      <c r="AB18" s="64"/>
      <c r="AC18" s="64"/>
      <c r="AD18" s="64"/>
      <c r="AE18" s="64"/>
      <c r="AF18" s="96"/>
    </row>
    <row r="19" spans="1:32" ht="12.75" customHeight="1">
      <c r="B19" s="243" t="s">
        <v>737</v>
      </c>
      <c r="C19" s="401">
        <v>0</v>
      </c>
      <c r="D19" s="397"/>
      <c r="E19" s="401">
        <v>0</v>
      </c>
      <c r="F19" s="391"/>
      <c r="G19" s="214">
        <v>0</v>
      </c>
      <c r="H19" s="46"/>
      <c r="I19" s="401">
        <v>0</v>
      </c>
      <c r="J19" s="391"/>
      <c r="K19" s="401">
        <v>0</v>
      </c>
      <c r="L19" s="391"/>
      <c r="M19" s="64"/>
      <c r="N19" s="64"/>
      <c r="O19" s="64"/>
      <c r="P19" s="64"/>
      <c r="Q19" s="64"/>
      <c r="R19" s="64"/>
      <c r="S19" s="64"/>
      <c r="T19" s="64"/>
      <c r="U19" s="64"/>
      <c r="V19" s="64"/>
      <c r="W19" s="64"/>
      <c r="X19" s="64"/>
      <c r="Y19" s="64"/>
      <c r="Z19" s="64"/>
      <c r="AA19" s="64"/>
      <c r="AB19" s="64"/>
      <c r="AC19" s="64"/>
      <c r="AD19" s="64"/>
      <c r="AE19" s="64"/>
      <c r="AF19" s="96"/>
    </row>
    <row r="20" spans="1:32" ht="12.75" customHeight="1">
      <c r="B20" s="243" t="s">
        <v>738</v>
      </c>
      <c r="C20" s="401">
        <v>0</v>
      </c>
      <c r="D20" s="391"/>
      <c r="E20" s="401">
        <v>0</v>
      </c>
      <c r="F20" s="391"/>
      <c r="G20" s="401">
        <v>0</v>
      </c>
      <c r="H20" s="391"/>
      <c r="I20" s="401">
        <v>0</v>
      </c>
      <c r="J20" s="391"/>
      <c r="K20" s="401">
        <v>0</v>
      </c>
      <c r="L20" s="391"/>
      <c r="M20" s="64"/>
      <c r="N20" s="64"/>
      <c r="O20" s="64"/>
      <c r="P20" s="64"/>
      <c r="Q20" s="64"/>
      <c r="R20" s="64"/>
      <c r="S20" s="64"/>
      <c r="T20" s="64"/>
      <c r="U20" s="64"/>
      <c r="V20" s="64"/>
      <c r="W20" s="64"/>
      <c r="X20" s="64"/>
      <c r="Y20" s="64"/>
      <c r="Z20" s="64"/>
      <c r="AA20" s="64"/>
      <c r="AB20" s="64"/>
      <c r="AC20" s="64"/>
      <c r="AD20" s="64"/>
      <c r="AE20" s="64"/>
      <c r="AF20" s="96"/>
    </row>
    <row r="21" spans="1:32" ht="12.75" customHeight="1">
      <c r="B21" s="243" t="s">
        <v>739</v>
      </c>
      <c r="C21" s="401" t="s">
        <v>205</v>
      </c>
      <c r="D21" s="391"/>
      <c r="E21" s="401" t="s">
        <v>205</v>
      </c>
      <c r="F21" s="391"/>
      <c r="G21" s="401" t="s">
        <v>209</v>
      </c>
      <c r="H21" s="391"/>
      <c r="I21" s="401" t="s">
        <v>205</v>
      </c>
      <c r="J21" s="391"/>
      <c r="K21" s="401" t="s">
        <v>205</v>
      </c>
      <c r="L21" s="391"/>
      <c r="M21" s="64" t="s">
        <v>740</v>
      </c>
      <c r="N21" s="64"/>
      <c r="O21" s="64"/>
      <c r="P21" s="64"/>
      <c r="Q21" s="64"/>
      <c r="R21" s="64"/>
      <c r="S21" s="64"/>
      <c r="T21" s="64"/>
      <c r="U21" s="64"/>
      <c r="V21" s="64"/>
      <c r="W21" s="64"/>
      <c r="X21" s="64"/>
      <c r="Y21" s="64"/>
      <c r="Z21" s="64"/>
      <c r="AA21" s="64"/>
      <c r="AB21" s="64"/>
      <c r="AC21" s="64"/>
      <c r="AD21" s="64"/>
      <c r="AE21" s="64"/>
      <c r="AF21" s="96"/>
    </row>
    <row r="22" spans="1:32" ht="12.75" customHeight="1">
      <c r="B22" s="243" t="s">
        <v>741</v>
      </c>
      <c r="C22" s="402" t="s">
        <v>220</v>
      </c>
      <c r="D22" s="391"/>
      <c r="E22" s="402" t="s">
        <v>220</v>
      </c>
      <c r="F22" s="391"/>
      <c r="G22" s="403">
        <f>HLOOKUP(G21,MaterialData!$C$3:$P$4,2,FALSE)</f>
        <v>0</v>
      </c>
      <c r="H22" s="391"/>
      <c r="I22" s="402" t="s">
        <v>220</v>
      </c>
      <c r="J22" s="391"/>
      <c r="K22" s="402" t="s">
        <v>220</v>
      </c>
      <c r="L22" s="391"/>
      <c r="M22" s="64"/>
      <c r="N22" s="64"/>
      <c r="O22" s="64"/>
      <c r="P22" s="64"/>
      <c r="Q22" s="64"/>
      <c r="R22" s="64"/>
      <c r="S22" s="64"/>
      <c r="T22" s="64"/>
      <c r="U22" s="64"/>
      <c r="V22" s="64"/>
      <c r="W22" s="64"/>
      <c r="X22" s="64"/>
      <c r="Y22" s="64"/>
      <c r="Z22" s="64"/>
      <c r="AA22" s="64"/>
      <c r="AB22" s="64"/>
      <c r="AC22" s="64"/>
      <c r="AD22" s="64"/>
      <c r="AE22" s="64"/>
      <c r="AF22" s="96"/>
    </row>
    <row r="23" spans="1:32" ht="12.75" customHeight="1">
      <c r="B23" s="243" t="s">
        <v>742</v>
      </c>
      <c r="C23" s="394" t="e">
        <f ca="1">'T3.5.9 Shear Tests'!$W$56</f>
        <v>#NAME?</v>
      </c>
      <c r="D23" s="391"/>
      <c r="E23" s="394" t="e">
        <f ca="1">'T3.5.9 Shear Tests'!$W$56</f>
        <v>#NAME?</v>
      </c>
      <c r="F23" s="391"/>
      <c r="G23" s="394">
        <v>0</v>
      </c>
      <c r="H23" s="391"/>
      <c r="I23" s="394" t="e">
        <f ca="1">'T3.5.9 Shear Tests'!$W$56</f>
        <v>#NAME?</v>
      </c>
      <c r="J23" s="391"/>
      <c r="K23" s="394" t="e">
        <f ca="1">'T3.5.9 Shear Tests'!$W$56</f>
        <v>#NAME?</v>
      </c>
      <c r="L23" s="391"/>
      <c r="M23" s="64" t="s">
        <v>743</v>
      </c>
      <c r="N23" s="64"/>
      <c r="O23" s="64"/>
      <c r="P23" s="64"/>
      <c r="Q23" s="64"/>
      <c r="R23" s="64"/>
      <c r="S23" s="64"/>
      <c r="T23" s="64"/>
      <c r="U23" s="64"/>
      <c r="V23" s="64"/>
      <c r="W23" s="64"/>
      <c r="X23" s="64"/>
      <c r="Y23" s="64"/>
      <c r="Z23" s="64"/>
      <c r="AA23" s="64"/>
      <c r="AB23" s="64"/>
      <c r="AC23" s="64"/>
      <c r="AD23" s="64"/>
      <c r="AE23" s="64"/>
      <c r="AF23" s="96"/>
    </row>
    <row r="24" spans="1:32" ht="12.75" customHeight="1">
      <c r="B24" s="243" t="s">
        <v>744</v>
      </c>
      <c r="C24" s="214">
        <v>1</v>
      </c>
      <c r="D24" s="404" t="str">
        <f>IF(C24&lt;0.4*C25,"FAIL, see T3.4.4","")</f>
        <v/>
      </c>
      <c r="E24" s="214">
        <v>1</v>
      </c>
      <c r="F24" s="404" t="str">
        <f>IF(E24&lt;0.4*E25,"FAIL, see T3.4.4","")</f>
        <v/>
      </c>
      <c r="G24" s="214">
        <v>1</v>
      </c>
      <c r="H24" s="404" t="str">
        <f>IF(G24&lt;0.4*G25,"FAIL, see T3.4.4","")</f>
        <v/>
      </c>
      <c r="I24" s="214">
        <v>1</v>
      </c>
      <c r="J24" s="404" t="str">
        <f>IF(I24&lt;0.4*I25,"FAIL, see T3.4.4","")</f>
        <v/>
      </c>
      <c r="K24" s="214">
        <v>1</v>
      </c>
      <c r="L24" s="405" t="str">
        <f>IF(K24&lt;0.4*K25,"FAIL, see T3.4.4","")</f>
        <v/>
      </c>
      <c r="M24" s="64" t="s">
        <v>745</v>
      </c>
      <c r="N24" s="64"/>
      <c r="O24" s="64"/>
      <c r="P24" s="64"/>
      <c r="Q24" s="64"/>
      <c r="R24" s="64"/>
      <c r="S24" s="64"/>
      <c r="T24" s="64"/>
      <c r="U24" s="64"/>
      <c r="V24" s="64"/>
      <c r="W24" s="64"/>
      <c r="X24" s="64"/>
      <c r="Y24" s="64"/>
      <c r="Z24" s="64"/>
      <c r="AA24" s="64"/>
      <c r="AB24" s="64"/>
      <c r="AC24" s="64"/>
      <c r="AD24" s="64"/>
      <c r="AE24" s="64"/>
      <c r="AF24" s="96"/>
    </row>
    <row r="25" spans="1:32" ht="12.75" customHeight="1">
      <c r="B25" s="243" t="s">
        <v>744</v>
      </c>
      <c r="C25" s="214">
        <v>1</v>
      </c>
      <c r="D25" s="406" t="str">
        <f>IF(C25&lt;0.4*C24,"FAIL, see T3.4.4","")</f>
        <v/>
      </c>
      <c r="E25" s="214">
        <v>1</v>
      </c>
      <c r="F25" s="404" t="str">
        <f>IF(E25&lt;0.4*E24,"FAIL, see T3.4.4","")</f>
        <v/>
      </c>
      <c r="G25" s="214">
        <v>1</v>
      </c>
      <c r="H25" s="404" t="str">
        <f>IF(G25&lt;0.4*G24,"FAIL, see T3.4.4","")</f>
        <v/>
      </c>
      <c r="I25" s="214">
        <v>1</v>
      </c>
      <c r="J25" s="404" t="str">
        <f>IF(I25&lt;0.4*I24,"FAIL, see T3.4.4","")</f>
        <v/>
      </c>
      <c r="K25" s="214">
        <v>1</v>
      </c>
      <c r="L25" s="405" t="str">
        <f>IF(K25&lt;0.4*K24,"FAIL, see T3.4.4","")</f>
        <v/>
      </c>
      <c r="M25" s="64" t="s">
        <v>745</v>
      </c>
      <c r="N25" s="64"/>
      <c r="O25" s="64"/>
      <c r="P25" s="64"/>
      <c r="Q25" s="64"/>
      <c r="R25" s="64"/>
      <c r="S25" s="64"/>
      <c r="T25" s="64"/>
      <c r="U25" s="64"/>
      <c r="V25" s="64"/>
      <c r="W25" s="64"/>
      <c r="X25" s="64"/>
      <c r="Y25" s="64"/>
      <c r="Z25" s="64"/>
      <c r="AA25" s="64"/>
      <c r="AB25" s="64"/>
      <c r="AC25" s="64"/>
      <c r="AD25" s="64"/>
      <c r="AE25" s="64"/>
      <c r="AF25" s="96"/>
    </row>
    <row r="26" spans="1:32" ht="12.75" customHeight="1">
      <c r="B26" s="243" t="s">
        <v>746</v>
      </c>
      <c r="C26" s="407" t="e">
        <f ca="1">((C16*C24)+(C17*C25))*C23*0.001</f>
        <v>#NAME?</v>
      </c>
      <c r="D26" s="397" t="e">
        <f t="shared" ref="D26:D28" ca="1" si="0">IF(C26&gt;=30,"PASS","FAIL")</f>
        <v>#NAME?</v>
      </c>
      <c r="E26" s="408" t="e">
        <f ca="1">((E16*E24)+(E17*E25))*E23*0.001</f>
        <v>#NAME?</v>
      </c>
      <c r="F26" s="391" t="e">
        <f t="shared" ref="F26:F28" ca="1" si="1">IF(E26&gt;=30,"PASS","FAIL")</f>
        <v>#NAME?</v>
      </c>
      <c r="G26" s="408">
        <f>((G16*G24)+(G17*G25))*G23*0.001</f>
        <v>0</v>
      </c>
      <c r="H26" s="391" t="str">
        <f t="shared" ref="H26:H28" si="2">IF(G26&gt;=30,"PASS","FAIL")</f>
        <v>FAIL</v>
      </c>
      <c r="I26" s="408" t="e">
        <f ca="1">((I16*I24)+(I17*I25))*I23*0.001</f>
        <v>#NAME?</v>
      </c>
      <c r="J26" s="391" t="e">
        <f t="shared" ref="J26:J28" ca="1" si="3">IF(I26&gt;=30,"PASS","FAIL")</f>
        <v>#NAME?</v>
      </c>
      <c r="K26" s="408" t="e">
        <f ca="1">((K16*K24)+(K17*K25))*K23*0.001</f>
        <v>#NAME?</v>
      </c>
      <c r="L26" s="391" t="e">
        <f t="shared" ref="L26:L28" ca="1" si="4">IF(K26&gt;=30,"PASS","FAIL")</f>
        <v>#NAME?</v>
      </c>
      <c r="M26" s="64"/>
      <c r="N26" s="64"/>
      <c r="O26" s="64"/>
      <c r="P26" s="64"/>
      <c r="Q26" s="64"/>
      <c r="R26" s="64"/>
      <c r="S26" s="64"/>
      <c r="T26" s="64"/>
      <c r="U26" s="64"/>
      <c r="V26" s="64"/>
      <c r="W26" s="64"/>
      <c r="X26" s="64"/>
      <c r="Y26" s="64"/>
      <c r="Z26" s="64"/>
      <c r="AA26" s="64"/>
      <c r="AB26" s="64"/>
      <c r="AC26" s="64"/>
      <c r="AD26" s="64"/>
      <c r="AE26" s="64"/>
      <c r="AF26" s="96"/>
    </row>
    <row r="27" spans="1:32" ht="12.75" customHeight="1">
      <c r="B27" s="243" t="s">
        <v>746</v>
      </c>
      <c r="C27" s="407" t="e">
        <f ca="1">((C24*C17)+(C25*C19))*C23*0.001</f>
        <v>#NAME?</v>
      </c>
      <c r="D27" s="397" t="e">
        <f t="shared" ca="1" si="0"/>
        <v>#NAME?</v>
      </c>
      <c r="E27" s="403" t="e">
        <f ca="1">((E24*E17)+(E25*E19))*E23*0.001</f>
        <v>#NAME?</v>
      </c>
      <c r="F27" s="391" t="e">
        <f t="shared" ca="1" si="1"/>
        <v>#NAME?</v>
      </c>
      <c r="G27" s="403">
        <f>((G24*G17)+(G25*G19))*G23*0.001</f>
        <v>0</v>
      </c>
      <c r="H27" s="391" t="str">
        <f t="shared" si="2"/>
        <v>FAIL</v>
      </c>
      <c r="I27" s="403" t="e">
        <f ca="1">((I24*I17)+(I25*I19))*I23*0.001</f>
        <v>#NAME?</v>
      </c>
      <c r="J27" s="391" t="e">
        <f t="shared" ca="1" si="3"/>
        <v>#NAME?</v>
      </c>
      <c r="K27" s="403" t="e">
        <f ca="1">((K24*K17)+(K25*K19))*K23*0.001</f>
        <v>#NAME?</v>
      </c>
      <c r="L27" s="391" t="e">
        <f t="shared" ca="1" si="4"/>
        <v>#NAME?</v>
      </c>
      <c r="M27" s="64"/>
      <c r="N27" s="64"/>
      <c r="O27" s="64"/>
      <c r="P27" s="64"/>
      <c r="Q27" s="64"/>
      <c r="R27" s="64"/>
      <c r="S27" s="64"/>
      <c r="T27" s="64"/>
      <c r="U27" s="64"/>
      <c r="V27" s="64"/>
      <c r="W27" s="64"/>
      <c r="X27" s="64"/>
      <c r="Y27" s="64"/>
      <c r="Z27" s="64"/>
      <c r="AA27" s="64"/>
      <c r="AB27" s="64"/>
      <c r="AC27" s="64"/>
      <c r="AD27" s="64"/>
      <c r="AE27" s="64"/>
      <c r="AF27" s="96"/>
    </row>
    <row r="28" spans="1:32" ht="12.75" customHeight="1">
      <c r="B28" s="224" t="s">
        <v>747</v>
      </c>
      <c r="C28" s="409" t="e">
        <f ca="1">C23*2*C20*(C24+C25)*0.001</f>
        <v>#NAME?</v>
      </c>
      <c r="D28" s="393" t="e">
        <f t="shared" ca="1" si="0"/>
        <v>#NAME?</v>
      </c>
      <c r="E28" s="409" t="e">
        <f ca="1">E23*2*E20*(E24+E25)*0.001</f>
        <v>#NAME?</v>
      </c>
      <c r="F28" s="395" t="e">
        <f t="shared" ca="1" si="1"/>
        <v>#NAME?</v>
      </c>
      <c r="G28" s="409">
        <f>G23*2*G20*(G24+G25)*0.001</f>
        <v>0</v>
      </c>
      <c r="H28" s="395" t="str">
        <f t="shared" si="2"/>
        <v>FAIL</v>
      </c>
      <c r="I28" s="409" t="e">
        <f ca="1">I23*2*I20*(I24+I25)*0.001</f>
        <v>#NAME?</v>
      </c>
      <c r="J28" s="395" t="e">
        <f t="shared" ca="1" si="3"/>
        <v>#NAME?</v>
      </c>
      <c r="K28" s="409" t="e">
        <f ca="1">K23*2*K20*(K24+K25)*0.001</f>
        <v>#NAME?</v>
      </c>
      <c r="L28" s="395" t="e">
        <f t="shared" ca="1" si="4"/>
        <v>#NAME?</v>
      </c>
      <c r="M28" s="64"/>
      <c r="N28" s="64"/>
      <c r="O28" s="64"/>
      <c r="P28" s="64"/>
      <c r="Q28" s="64"/>
      <c r="R28" s="64"/>
      <c r="S28" s="64"/>
      <c r="T28" s="64"/>
      <c r="U28" s="64"/>
      <c r="V28" s="64"/>
      <c r="W28" s="64"/>
      <c r="X28" s="64"/>
      <c r="Y28" s="64"/>
      <c r="Z28" s="64"/>
      <c r="AA28" s="64"/>
      <c r="AB28" s="64"/>
      <c r="AC28" s="64"/>
      <c r="AD28" s="64"/>
      <c r="AE28" s="64"/>
      <c r="AF28" s="96"/>
    </row>
    <row r="29" spans="1:32" ht="12.75" customHeight="1">
      <c r="B29" s="720" t="s">
        <v>748</v>
      </c>
      <c r="C29" s="595"/>
      <c r="D29" s="595"/>
      <c r="E29" s="595"/>
      <c r="F29" s="595"/>
      <c r="G29" s="595"/>
      <c r="H29" s="595"/>
      <c r="I29" s="595"/>
      <c r="J29" s="595"/>
      <c r="K29" s="595"/>
      <c r="L29" s="596"/>
      <c r="M29" s="64"/>
      <c r="N29" s="64"/>
      <c r="O29" s="64"/>
      <c r="P29" s="64"/>
      <c r="Q29" s="64"/>
      <c r="R29" s="64"/>
      <c r="S29" s="64"/>
      <c r="T29" s="64"/>
      <c r="U29" s="64"/>
      <c r="V29" s="64"/>
      <c r="W29" s="64"/>
      <c r="X29" s="64"/>
      <c r="Y29" s="64"/>
      <c r="Z29" s="64"/>
      <c r="AA29" s="64"/>
      <c r="AB29" s="64"/>
      <c r="AC29" s="64"/>
      <c r="AD29" s="64"/>
      <c r="AE29" s="64"/>
      <c r="AF29" s="96"/>
    </row>
    <row r="30" spans="1:32" ht="12.75" customHeight="1">
      <c r="B30" s="597"/>
      <c r="C30" s="598"/>
      <c r="D30" s="598"/>
      <c r="E30" s="598"/>
      <c r="F30" s="598"/>
      <c r="G30" s="598"/>
      <c r="H30" s="598"/>
      <c r="I30" s="598"/>
      <c r="J30" s="598"/>
      <c r="K30" s="598"/>
      <c r="L30" s="599"/>
      <c r="M30" s="64"/>
      <c r="N30" s="204"/>
      <c r="O30" s="64"/>
      <c r="P30" s="64"/>
      <c r="Q30" s="64"/>
      <c r="R30" s="64"/>
      <c r="S30" s="64"/>
      <c r="T30" s="64"/>
      <c r="U30" s="64"/>
      <c r="V30" s="64"/>
      <c r="W30" s="64"/>
      <c r="X30" s="64"/>
      <c r="Y30" s="64"/>
      <c r="Z30" s="64"/>
      <c r="AA30" s="64"/>
      <c r="AB30" s="64"/>
      <c r="AC30" s="64"/>
      <c r="AD30" s="64"/>
      <c r="AE30" s="64"/>
      <c r="AF30" s="96"/>
    </row>
    <row r="31" spans="1:32" ht="12.75" customHeight="1">
      <c r="B31" s="600"/>
      <c r="C31" s="601"/>
      <c r="D31" s="601"/>
      <c r="E31" s="601"/>
      <c r="F31" s="601"/>
      <c r="G31" s="601"/>
      <c r="H31" s="601"/>
      <c r="I31" s="601"/>
      <c r="J31" s="601"/>
      <c r="K31" s="601"/>
      <c r="L31" s="602"/>
      <c r="M31" s="64"/>
      <c r="N31" s="204"/>
      <c r="O31" s="64"/>
      <c r="P31" s="64"/>
      <c r="Q31" s="64"/>
      <c r="R31" s="64"/>
      <c r="S31" s="64"/>
      <c r="T31" s="64"/>
      <c r="U31" s="64"/>
      <c r="V31" s="64"/>
      <c r="W31" s="64"/>
      <c r="X31" s="64"/>
      <c r="Y31" s="64"/>
      <c r="Z31" s="64"/>
      <c r="AA31" s="64"/>
      <c r="AB31" s="64"/>
      <c r="AC31" s="64"/>
      <c r="AD31" s="64"/>
      <c r="AE31" s="64"/>
      <c r="AF31" s="96"/>
    </row>
    <row r="32" spans="1:32" ht="12.75" customHeight="1">
      <c r="A32" s="34"/>
      <c r="B32" s="222" t="s">
        <v>749</v>
      </c>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96"/>
    </row>
    <row r="33" spans="1:32" ht="12.75" customHeight="1">
      <c r="A33" s="34"/>
      <c r="B33" s="222"/>
      <c r="C33" s="64"/>
      <c r="D33" s="64"/>
      <c r="E33" s="64"/>
      <c r="F33" s="64"/>
      <c r="G33" s="64"/>
      <c r="H33" s="64"/>
      <c r="I33" s="64"/>
      <c r="J33" s="64"/>
      <c r="K33" s="64"/>
      <c r="L33" s="64"/>
      <c r="M33" s="64"/>
      <c r="N33" s="204"/>
      <c r="O33" s="64"/>
      <c r="P33" s="64"/>
      <c r="Q33" s="64"/>
      <c r="R33" s="64"/>
      <c r="S33" s="64"/>
      <c r="T33" s="64"/>
      <c r="U33" s="64"/>
      <c r="V33" s="64"/>
      <c r="W33" s="64"/>
      <c r="X33" s="64"/>
      <c r="Y33" s="64"/>
      <c r="Z33" s="64"/>
      <c r="AA33" s="64"/>
      <c r="AB33" s="64"/>
      <c r="AC33" s="64"/>
      <c r="AD33" s="64"/>
      <c r="AE33" s="64"/>
      <c r="AF33" s="96"/>
    </row>
    <row r="34" spans="1:32" ht="12.75" customHeight="1">
      <c r="A34" s="34"/>
      <c r="B34" s="95"/>
      <c r="C34" s="64"/>
      <c r="D34" s="64"/>
      <c r="E34" s="64"/>
      <c r="F34" s="64"/>
      <c r="G34" s="64"/>
      <c r="H34" s="64"/>
      <c r="I34" s="64"/>
      <c r="J34" s="64"/>
      <c r="K34" s="64"/>
      <c r="L34" s="64"/>
      <c r="M34" s="64"/>
      <c r="N34" s="204"/>
      <c r="O34" s="64"/>
      <c r="P34" s="64"/>
      <c r="Q34" s="64"/>
      <c r="R34" s="64"/>
      <c r="S34" s="64"/>
      <c r="T34" s="64"/>
      <c r="U34" s="64"/>
      <c r="V34" s="64"/>
      <c r="W34" s="64"/>
      <c r="X34" s="64"/>
      <c r="Y34" s="64"/>
      <c r="Z34" s="64"/>
      <c r="AA34" s="64"/>
      <c r="AB34" s="64"/>
      <c r="AC34" s="64"/>
      <c r="AD34" s="64"/>
      <c r="AE34" s="64"/>
      <c r="AF34" s="96"/>
    </row>
    <row r="35" spans="1:32" ht="12.75" customHeight="1">
      <c r="A35" s="34"/>
      <c r="B35" s="95"/>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96"/>
    </row>
    <row r="36" spans="1:32"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96"/>
    </row>
    <row r="37" spans="1:32" ht="12.75" customHeight="1">
      <c r="A37" s="34"/>
      <c r="B37" s="95"/>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96"/>
    </row>
    <row r="38" spans="1:32" ht="12.75" customHeight="1">
      <c r="A38" s="34"/>
      <c r="B38" s="95"/>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96"/>
    </row>
    <row r="39" spans="1:32"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96"/>
    </row>
    <row r="40" spans="1:32"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96"/>
    </row>
    <row r="41" spans="1:32"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96"/>
    </row>
    <row r="42" spans="1:32"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96"/>
    </row>
    <row r="43" spans="1:32"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96"/>
    </row>
    <row r="44" spans="1:32"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96"/>
    </row>
    <row r="45" spans="1:32"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96"/>
    </row>
    <row r="46" spans="1:32"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96"/>
    </row>
    <row r="47" spans="1:32"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96"/>
    </row>
    <row r="48" spans="1:32"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96"/>
    </row>
    <row r="49" spans="1:32"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96"/>
    </row>
    <row r="50" spans="1:32"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96"/>
    </row>
    <row r="51" spans="1:32"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96"/>
    </row>
    <row r="52" spans="1:32"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96"/>
    </row>
    <row r="53" spans="1:32"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96"/>
    </row>
    <row r="54" spans="1:32"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96"/>
    </row>
    <row r="55" spans="1:32"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96"/>
    </row>
    <row r="56" spans="1:32"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96"/>
    </row>
    <row r="57" spans="1:32"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96"/>
    </row>
    <row r="58" spans="1:32"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96"/>
    </row>
    <row r="59" spans="1:32"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96"/>
    </row>
    <row r="60" spans="1:32"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96"/>
    </row>
    <row r="61" spans="1:32"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96"/>
    </row>
    <row r="62" spans="1:32"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96"/>
    </row>
    <row r="63" spans="1:32"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96"/>
    </row>
    <row r="64" spans="1:32"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96"/>
    </row>
    <row r="65" spans="1:32"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96"/>
    </row>
    <row r="66" spans="1:32"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96"/>
    </row>
    <row r="67" spans="1:32"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96"/>
    </row>
    <row r="68" spans="1:32"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96"/>
    </row>
    <row r="69" spans="1:32"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96"/>
    </row>
    <row r="70" spans="1:32"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96"/>
    </row>
    <row r="71" spans="1:32"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96"/>
    </row>
    <row r="72" spans="1:32"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96"/>
    </row>
    <row r="73" spans="1:32"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96"/>
    </row>
    <row r="74" spans="1:32"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96"/>
    </row>
    <row r="75" spans="1:32"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96"/>
    </row>
    <row r="76" spans="1:32"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96"/>
    </row>
    <row r="77" spans="1:32"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96"/>
    </row>
    <row r="78" spans="1:32"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96"/>
    </row>
    <row r="79" spans="1:32"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96"/>
    </row>
    <row r="80" spans="1:32"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96"/>
    </row>
    <row r="81" spans="1:32"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96"/>
    </row>
    <row r="82" spans="1:32"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96"/>
    </row>
    <row r="83" spans="1:32"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96"/>
    </row>
    <row r="84" spans="1:32"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96"/>
    </row>
    <row r="85" spans="1:32"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96"/>
    </row>
    <row r="86" spans="1:32"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96"/>
    </row>
    <row r="87" spans="1:32"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96"/>
    </row>
    <row r="88" spans="1:32"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96"/>
    </row>
    <row r="89" spans="1:32"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96"/>
    </row>
    <row r="90" spans="1:32"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96"/>
    </row>
    <row r="91" spans="1:32"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96"/>
    </row>
    <row r="92" spans="1:32"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96"/>
    </row>
    <row r="93" spans="1:32"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96"/>
    </row>
    <row r="94" spans="1:32"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96"/>
    </row>
    <row r="95" spans="1:32"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96"/>
    </row>
    <row r="96" spans="1:32"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96"/>
    </row>
    <row r="97" spans="1:32"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96"/>
    </row>
    <row r="98" spans="1:32"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96"/>
    </row>
    <row r="99" spans="1:32"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96"/>
    </row>
    <row r="100" spans="1:32"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50"/>
    </row>
    <row r="101" spans="1:32"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row>
    <row r="102" spans="1:32"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row>
    <row r="103" spans="1:32"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row>
    <row r="104" spans="1:32"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row>
    <row r="105" spans="1:32"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row>
    <row r="106" spans="1:32"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row>
    <row r="107" spans="1:32"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row>
    <row r="108" spans="1:32"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row>
    <row r="109" spans="1:32"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row>
    <row r="110" spans="1:32"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row>
    <row r="111" spans="1:32"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row>
    <row r="112" spans="1:32"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row>
    <row r="113" spans="1:32"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row>
    <row r="114" spans="1:32"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row>
    <row r="115" spans="1:32"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row>
    <row r="116" spans="1:32"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row>
    <row r="117" spans="1:32"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row>
    <row r="118" spans="1:32"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row>
    <row r="119" spans="1:32"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row>
    <row r="120" spans="1:32"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row>
    <row r="121" spans="1:32"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row>
    <row r="122" spans="1:32"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row>
    <row r="123" spans="1:32"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row>
    <row r="124" spans="1:32"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row>
    <row r="125" spans="1:32"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row>
    <row r="126" spans="1:32"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row>
    <row r="127" spans="1:32"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row>
    <row r="128" spans="1:32"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row>
    <row r="129" spans="1:32"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row>
    <row r="130" spans="1:32"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row>
    <row r="131" spans="1:32"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row>
    <row r="132" spans="1:32"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row>
    <row r="133" spans="1:32"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row>
    <row r="134" spans="1:32"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row>
    <row r="135" spans="1:32"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row>
    <row r="136" spans="1:32"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row>
    <row r="137" spans="1:32"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row>
    <row r="138" spans="1:32"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row>
    <row r="139" spans="1:32"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row>
    <row r="140" spans="1:32"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row>
    <row r="141" spans="1:32"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row>
    <row r="142" spans="1:32"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row>
    <row r="143" spans="1:32"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row>
    <row r="144" spans="1:32"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row>
    <row r="145" spans="1:32"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row>
    <row r="146" spans="1:32"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row>
    <row r="147" spans="1:32"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row>
    <row r="148" spans="1:32"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row>
    <row r="149" spans="1:32"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row>
    <row r="150" spans="1:32"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row>
    <row r="151" spans="1:32"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row>
    <row r="152" spans="1:32"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row>
    <row r="153" spans="1:32"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row>
    <row r="154" spans="1:32"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row>
    <row r="155" spans="1:32"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row>
    <row r="156" spans="1:32"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row>
    <row r="157" spans="1:32"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row>
    <row r="158" spans="1:32"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row>
    <row r="159" spans="1:32"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row>
    <row r="160" spans="1:32"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row>
    <row r="161" spans="1:32"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row>
    <row r="162" spans="1:32"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row>
    <row r="163" spans="1:32"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row>
    <row r="164" spans="1:32"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row>
    <row r="165" spans="1:32"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row>
    <row r="166" spans="1:32"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row>
    <row r="167" spans="1:32"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row>
    <row r="168" spans="1:32"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row>
    <row r="169" spans="1:32"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row>
    <row r="170" spans="1:32"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row>
    <row r="171" spans="1:32"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row>
    <row r="172" spans="1:32"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row>
    <row r="173" spans="1:32"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row>
    <row r="174" spans="1:32"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row>
    <row r="175" spans="1:32"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spans="1:32"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spans="1:32"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spans="1:32"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row>
    <row r="179" spans="1:32"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row>
    <row r="180" spans="1:32"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row>
    <row r="181" spans="1:32"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row>
    <row r="182" spans="1:32"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row>
    <row r="183" spans="1:32"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row>
    <row r="184" spans="1:32"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row>
    <row r="185" spans="1:32"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row>
    <row r="186" spans="1:32"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row>
    <row r="187" spans="1:32"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row>
    <row r="188" spans="1:32"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row>
    <row r="189" spans="1:32"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row>
    <row r="190" spans="1:32"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row>
    <row r="191" spans="1:32"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row>
    <row r="192" spans="1:32"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row>
    <row r="193" spans="1:32"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row>
    <row r="194" spans="1:32"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row>
    <row r="195" spans="1:32"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row>
    <row r="196" spans="1:32"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row>
    <row r="197" spans="1:32"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row>
    <row r="198" spans="1:32"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row>
    <row r="199" spans="1:32"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row>
    <row r="200" spans="1:32"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row>
    <row r="201" spans="1:32"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spans="1:32"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row>
    <row r="203" spans="1:32"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row>
    <row r="204" spans="1:32"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row>
    <row r="205" spans="1:32"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row>
    <row r="206" spans="1:32"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spans="1:32"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row>
    <row r="208" spans="1:32"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row>
    <row r="209" spans="1:32"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row>
    <row r="210" spans="1:32"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row>
    <row r="211" spans="1:32"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row>
    <row r="212" spans="1:32"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row>
    <row r="213" spans="1:32"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row>
    <row r="214" spans="1:32"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row>
    <row r="215" spans="1:32"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row>
    <row r="216" spans="1:32"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row>
    <row r="217" spans="1:32"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row>
    <row r="218" spans="1:32"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row>
    <row r="219" spans="1:32"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row>
    <row r="220" spans="1:32"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row>
    <row r="221" spans="1:32"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row>
    <row r="222" spans="1:32"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row>
    <row r="223" spans="1:32"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row>
    <row r="224" spans="1:32"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row>
    <row r="225" spans="1:32"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row>
    <row r="226" spans="1:32"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row>
    <row r="227" spans="1:32"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row>
    <row r="228" spans="1:32"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row>
    <row r="229" spans="1:32"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row>
    <row r="230" spans="1:32"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row>
    <row r="231" spans="1:32"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row>
    <row r="232" spans="1:32"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row>
    <row r="233" spans="1:32"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row>
    <row r="234" spans="1:32"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row>
    <row r="235" spans="1:32"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row>
    <row r="236" spans="1:32"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row>
    <row r="237" spans="1:32"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row>
    <row r="238" spans="1:32"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row>
    <row r="239" spans="1:32"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row>
    <row r="240" spans="1:32"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row>
    <row r="241" spans="1:32"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row>
    <row r="242" spans="1:32"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row>
    <row r="243" spans="1:32"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row>
    <row r="244" spans="1:32"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row>
    <row r="245" spans="1:32"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row>
    <row r="246" spans="1:32"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row>
    <row r="247" spans="1:32"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row>
    <row r="248" spans="1:32"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row>
    <row r="249" spans="1:32"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row>
    <row r="250" spans="1:32"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row>
    <row r="251" spans="1:32"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row>
    <row r="252" spans="1:32"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row>
    <row r="253" spans="1:32"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row>
    <row r="254" spans="1:32"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row>
    <row r="255" spans="1:32"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row>
    <row r="256" spans="1:32"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row>
    <row r="257" spans="1:32"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row>
    <row r="258" spans="1:32"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row>
    <row r="259" spans="1:32"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row>
    <row r="260" spans="1:32"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row>
    <row r="261" spans="1:32"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row>
    <row r="262" spans="1:32"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row>
    <row r="263" spans="1:32"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row>
    <row r="264" spans="1:32"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row>
    <row r="265" spans="1:32"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row>
    <row r="266" spans="1:32"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row>
    <row r="267" spans="1:32"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row>
    <row r="268" spans="1:32"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row>
    <row r="269" spans="1:32"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row>
    <row r="270" spans="1:32"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row>
    <row r="271" spans="1:32"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row>
    <row r="272" spans="1:32"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row>
    <row r="273" spans="1:32"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row>
    <row r="274" spans="1:32"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row>
    <row r="275" spans="1:32"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row>
    <row r="276" spans="1:32"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row>
    <row r="277" spans="1:32"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row>
    <row r="278" spans="1:32"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row>
    <row r="279" spans="1:32"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row>
    <row r="280" spans="1:32"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row>
    <row r="281" spans="1:32"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row>
    <row r="282" spans="1:32"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row>
    <row r="283" spans="1:32"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row>
    <row r="284" spans="1:32"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row>
    <row r="285" spans="1:32"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row>
    <row r="286" spans="1:32"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row>
    <row r="287" spans="1:32"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row>
    <row r="288" spans="1:32"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row>
    <row r="289" spans="1:32"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row>
    <row r="290" spans="1:32"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row>
    <row r="291" spans="1:32"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row>
    <row r="292" spans="1:32"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row>
    <row r="293" spans="1:32"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row>
    <row r="294" spans="1:32"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row>
    <row r="295" spans="1:32"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row>
    <row r="296" spans="1:32"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row>
    <row r="297" spans="1:32"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row>
    <row r="298" spans="1:32"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row>
    <row r="299" spans="1:32"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row>
    <row r="300" spans="1:32"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row>
    <row r="301" spans="1:32"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row>
    <row r="302" spans="1:32"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row>
    <row r="303" spans="1:32"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row>
    <row r="304" spans="1:32"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row>
    <row r="305" spans="1:32"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row>
    <row r="306" spans="1:32"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row>
    <row r="307" spans="1:32"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row>
    <row r="308" spans="1:32"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row>
    <row r="309" spans="1:32"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row>
    <row r="310" spans="1:32"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row>
    <row r="311" spans="1:32"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row>
    <row r="312" spans="1:32"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row>
    <row r="313" spans="1:32"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row>
    <row r="314" spans="1:32"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row>
    <row r="315" spans="1:32"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row>
    <row r="316" spans="1:32"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row>
    <row r="317" spans="1:32"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row>
    <row r="318" spans="1:32"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row>
    <row r="319" spans="1:32"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row>
    <row r="320" spans="1:32"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row>
    <row r="321" spans="1:32"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row>
    <row r="322" spans="1:32"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row>
    <row r="323" spans="1:32"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row>
    <row r="324" spans="1:32"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row>
    <row r="325" spans="1:32"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row>
    <row r="326" spans="1:32"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row>
    <row r="327" spans="1:32"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row>
    <row r="328" spans="1:32"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row>
    <row r="329" spans="1:32"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row>
    <row r="330" spans="1:32"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row>
    <row r="331" spans="1:32"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row>
    <row r="332" spans="1:32"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row>
    <row r="333" spans="1:32"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row>
    <row r="334" spans="1:32"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row>
    <row r="335" spans="1:32"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row>
    <row r="336" spans="1:32"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row>
    <row r="337" spans="1:32"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row>
    <row r="338" spans="1:32"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row>
    <row r="339" spans="1:32"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row>
    <row r="340" spans="1:32"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row>
    <row r="341" spans="1:32"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row>
    <row r="342" spans="1:32"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row>
    <row r="343" spans="1:32"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row>
    <row r="344" spans="1:32"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row>
    <row r="345" spans="1:32"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row>
    <row r="346" spans="1:32"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row>
    <row r="347" spans="1:32"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row>
    <row r="348" spans="1:32"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row>
    <row r="349" spans="1:32"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row>
    <row r="350" spans="1:32"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row>
    <row r="351" spans="1:32"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row>
    <row r="352" spans="1:32"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row>
    <row r="353" spans="1:32"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row>
    <row r="354" spans="1:32"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row>
    <row r="355" spans="1:32"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row>
    <row r="356" spans="1:32"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row>
    <row r="357" spans="1:32"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row>
    <row r="358" spans="1:32"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row>
    <row r="359" spans="1:32"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row>
    <row r="360" spans="1:32"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row>
    <row r="361" spans="1:32"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row>
    <row r="362" spans="1:32"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row>
    <row r="363" spans="1:32"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row>
    <row r="364" spans="1:32"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row>
    <row r="365" spans="1:32"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row>
    <row r="366" spans="1:32"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row>
    <row r="367" spans="1:32"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row>
    <row r="368" spans="1:32"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row>
    <row r="369" spans="1:32"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row>
    <row r="370" spans="1:32"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row>
    <row r="371" spans="1:32"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row>
    <row r="372" spans="1:32"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row>
    <row r="373" spans="1:32"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row>
    <row r="374" spans="1:32"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row>
    <row r="375" spans="1:32"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row>
    <row r="376" spans="1:32"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row>
    <row r="377" spans="1:32"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row>
    <row r="378" spans="1:32"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row>
    <row r="379" spans="1:32"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row>
    <row r="380" spans="1:32"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row>
    <row r="381" spans="1:32"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row>
    <row r="382" spans="1:32"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row>
    <row r="383" spans="1:32"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row>
    <row r="384" spans="1:32"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row>
    <row r="385" spans="1:32"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row>
    <row r="386" spans="1:32"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row>
    <row r="387" spans="1:32"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row>
    <row r="388" spans="1:32"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row>
    <row r="389" spans="1:32"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row>
    <row r="390" spans="1:32"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row>
    <row r="391" spans="1:32"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row>
    <row r="392" spans="1:32"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row>
    <row r="393" spans="1:32"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row>
    <row r="394" spans="1:32"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row>
    <row r="395" spans="1:32"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row>
    <row r="396" spans="1:32"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row>
    <row r="397" spans="1:32"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row>
    <row r="398" spans="1:32"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row>
    <row r="399" spans="1:32"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row>
    <row r="400" spans="1:32"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row>
    <row r="401" spans="1:32"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row>
    <row r="402" spans="1:32"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row>
    <row r="403" spans="1:32"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row>
    <row r="404" spans="1:32"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row>
    <row r="405" spans="1:32"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row>
    <row r="406" spans="1:32"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row>
    <row r="407" spans="1:32"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row>
    <row r="408" spans="1:32"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row>
    <row r="409" spans="1:32"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row>
    <row r="410" spans="1:32"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row>
    <row r="411" spans="1:32"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row>
    <row r="412" spans="1:32"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row>
    <row r="413" spans="1:32"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row>
    <row r="414" spans="1:32"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row>
    <row r="415" spans="1:32"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row>
    <row r="416" spans="1:32"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row>
    <row r="417" spans="1:32"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row>
    <row r="418" spans="1:32"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row>
    <row r="419" spans="1:32"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row>
    <row r="420" spans="1:32"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row>
    <row r="421" spans="1:32"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row>
    <row r="422" spans="1:32"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row>
    <row r="423" spans="1:32"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row>
    <row r="424" spans="1:32"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row>
    <row r="425" spans="1:32"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row>
    <row r="426" spans="1:32"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row>
    <row r="427" spans="1:32"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row>
    <row r="428" spans="1:32"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row>
    <row r="429" spans="1:32"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row>
    <row r="430" spans="1:32"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row>
    <row r="431" spans="1:32"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row>
    <row r="432" spans="1:32"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row>
    <row r="433" spans="1:32"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row>
    <row r="434" spans="1:32"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row>
    <row r="435" spans="1:32"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row>
    <row r="436" spans="1:32"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row>
    <row r="437" spans="1:32"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row>
    <row r="438" spans="1:32"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row>
    <row r="439" spans="1:32"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row>
    <row r="440" spans="1:32"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row>
    <row r="441" spans="1:32"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row>
    <row r="442" spans="1:32"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row>
    <row r="443" spans="1:32"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row>
    <row r="444" spans="1:32"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row>
    <row r="445" spans="1:32"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row>
    <row r="446" spans="1:32"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row>
    <row r="447" spans="1:32"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row>
    <row r="448" spans="1:32"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row>
    <row r="449" spans="1:32"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row>
    <row r="450" spans="1:32"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row>
    <row r="451" spans="1:32"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row>
    <row r="452" spans="1:32"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row>
    <row r="453" spans="1:32"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row>
    <row r="454" spans="1:32"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row>
    <row r="455" spans="1:32"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row>
    <row r="456" spans="1:32"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row>
    <row r="457" spans="1:32"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row>
    <row r="458" spans="1:32"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row>
    <row r="459" spans="1:32"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row>
    <row r="460" spans="1:32"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row>
    <row r="461" spans="1:32"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row>
    <row r="462" spans="1:32"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row>
    <row r="463" spans="1:32"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row>
    <row r="464" spans="1:32"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row>
    <row r="465" spans="1:32"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row>
    <row r="466" spans="1:32"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row>
    <row r="467" spans="1:32"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row>
    <row r="468" spans="1:32"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row>
    <row r="469" spans="1:32"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row>
    <row r="470" spans="1:32"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row>
    <row r="471" spans="1:32"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row>
    <row r="472" spans="1:32"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row>
    <row r="473" spans="1:32"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row>
    <row r="474" spans="1:32"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row>
    <row r="475" spans="1:32"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row>
    <row r="476" spans="1:32"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row>
    <row r="477" spans="1:32"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row>
    <row r="478" spans="1:32"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row>
    <row r="479" spans="1:32"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row>
    <row r="480" spans="1:32"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row>
    <row r="481" spans="1:32"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row>
    <row r="482" spans="1:32"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row>
    <row r="483" spans="1:32"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row>
    <row r="484" spans="1:32"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row>
    <row r="485" spans="1:32"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row>
    <row r="486" spans="1:32"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row>
    <row r="487" spans="1:32"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row>
    <row r="488" spans="1:32"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row>
    <row r="489" spans="1:32"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row>
    <row r="490" spans="1:32"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row>
    <row r="491" spans="1:32"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row>
    <row r="492" spans="1:32"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row>
    <row r="493" spans="1:32"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row>
    <row r="494" spans="1:32"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row>
    <row r="495" spans="1:32"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row>
    <row r="496" spans="1:32"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row>
    <row r="497" spans="1:32"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row>
    <row r="498" spans="1:32"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row>
    <row r="499" spans="1:32"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row>
    <row r="500" spans="1:32"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row>
    <row r="501" spans="1:32"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row>
    <row r="502" spans="1:32"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row>
    <row r="503" spans="1:32"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row>
    <row r="504" spans="1:32"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row>
    <row r="505" spans="1:32"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row>
    <row r="506" spans="1:32"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row>
    <row r="507" spans="1:32"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row>
    <row r="508" spans="1:32"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row>
    <row r="509" spans="1:32"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row>
    <row r="510" spans="1:32"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row>
    <row r="511" spans="1:32"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row>
    <row r="512" spans="1:32"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row>
    <row r="513" spans="1:32"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row>
    <row r="514" spans="1:32"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row>
    <row r="515" spans="1:32"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row>
    <row r="516" spans="1:32"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row>
    <row r="517" spans="1:32"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row>
    <row r="518" spans="1:32"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row>
    <row r="519" spans="1:32"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row>
    <row r="520" spans="1:32"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row>
    <row r="521" spans="1:32"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row>
    <row r="522" spans="1:32"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row>
    <row r="523" spans="1:32"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row>
    <row r="524" spans="1:32"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row>
    <row r="525" spans="1:32"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row>
    <row r="526" spans="1:32"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row>
    <row r="527" spans="1:32"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row>
    <row r="528" spans="1:32"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row>
    <row r="529" spans="1:32"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row>
    <row r="530" spans="1:32"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row>
    <row r="531" spans="1:32"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row>
    <row r="532" spans="1:32"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row>
    <row r="533" spans="1:32"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row>
    <row r="534" spans="1:32"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row>
    <row r="535" spans="1:32"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row>
    <row r="536" spans="1:32"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row>
    <row r="537" spans="1:32"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row>
    <row r="538" spans="1:32"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row>
    <row r="539" spans="1:32"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row>
    <row r="540" spans="1:32"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row>
    <row r="541" spans="1:32"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row>
    <row r="542" spans="1:32"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row>
    <row r="543" spans="1:32"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row>
    <row r="544" spans="1:32"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row>
    <row r="545" spans="1:32"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row>
    <row r="546" spans="1:32"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row>
    <row r="547" spans="1:32"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row>
    <row r="548" spans="1:32"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row>
    <row r="549" spans="1:32"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row>
    <row r="550" spans="1:32"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row>
    <row r="551" spans="1:32"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row>
    <row r="552" spans="1:32"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row>
    <row r="553" spans="1:32"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row>
    <row r="554" spans="1:32"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row>
    <row r="555" spans="1:32"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row>
    <row r="556" spans="1:32"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row>
    <row r="557" spans="1:32"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row>
    <row r="558" spans="1:32"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row>
    <row r="559" spans="1:32"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row>
    <row r="560" spans="1:32"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row>
    <row r="561" spans="1:32"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row>
    <row r="562" spans="1:32"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row>
    <row r="563" spans="1:32"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row>
    <row r="564" spans="1:32"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row>
    <row r="565" spans="1:32"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row>
    <row r="566" spans="1:32"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row>
    <row r="567" spans="1:32"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row>
    <row r="568" spans="1:32"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row>
    <row r="569" spans="1:32"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row>
    <row r="570" spans="1:32"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row>
    <row r="571" spans="1:32"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row>
    <row r="572" spans="1:32"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row>
    <row r="573" spans="1:32"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row>
    <row r="574" spans="1:32"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row>
    <row r="575" spans="1:32"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row>
    <row r="576" spans="1:32"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row>
    <row r="577" spans="1:32"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row>
    <row r="578" spans="1:32"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row>
    <row r="579" spans="1:32"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row>
    <row r="580" spans="1:32"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row>
    <row r="581" spans="1:32"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row>
    <row r="582" spans="1:32"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row>
    <row r="583" spans="1:32"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row>
    <row r="584" spans="1:32"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row>
    <row r="585" spans="1:32"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row>
    <row r="586" spans="1:32"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row>
    <row r="587" spans="1:32"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row>
    <row r="588" spans="1:32"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row>
    <row r="589" spans="1:32"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row>
    <row r="590" spans="1:32"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row>
    <row r="591" spans="1:32"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row>
    <row r="592" spans="1:32"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row>
    <row r="593" spans="1:32"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row>
    <row r="594" spans="1:32"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row>
    <row r="595" spans="1:32"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row>
    <row r="596" spans="1:32"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row>
    <row r="597" spans="1:32"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row>
    <row r="598" spans="1:32"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row>
    <row r="599" spans="1:32"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row>
    <row r="600" spans="1:32"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row>
    <row r="601" spans="1:32"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row>
    <row r="602" spans="1:32"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row>
    <row r="603" spans="1:32"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row>
    <row r="604" spans="1:32"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row>
    <row r="605" spans="1:32"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row>
    <row r="606" spans="1:32"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row>
    <row r="607" spans="1:32"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row>
    <row r="608" spans="1:32"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row>
    <row r="609" spans="1:32"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row>
    <row r="610" spans="1:32"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row>
    <row r="611" spans="1:32"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row>
    <row r="612" spans="1:32"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row>
    <row r="613" spans="1:32"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row>
    <row r="614" spans="1:32"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row>
    <row r="615" spans="1:32"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row>
    <row r="616" spans="1:32"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row>
    <row r="617" spans="1:32"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row>
    <row r="618" spans="1:32"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row>
    <row r="619" spans="1:32"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row>
    <row r="620" spans="1:32"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row>
    <row r="621" spans="1:32"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row>
    <row r="622" spans="1:32"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row>
    <row r="623" spans="1:32"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row>
    <row r="624" spans="1:32"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row>
    <row r="625" spans="1:32"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row>
    <row r="626" spans="1:32"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row>
    <row r="627" spans="1:32"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row>
    <row r="628" spans="1:32"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row>
    <row r="629" spans="1:32"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row>
    <row r="630" spans="1:32"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row>
    <row r="631" spans="1:32"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row>
    <row r="632" spans="1:32"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row>
    <row r="633" spans="1:32"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row>
    <row r="634" spans="1:32"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row>
    <row r="635" spans="1:32"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row>
    <row r="636" spans="1:32"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row>
    <row r="637" spans="1:32"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row>
    <row r="638" spans="1:32"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row>
    <row r="639" spans="1:32"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row>
    <row r="640" spans="1:32"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row>
    <row r="641" spans="1:32"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row>
    <row r="642" spans="1:32"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row>
    <row r="643" spans="1:32"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row>
    <row r="644" spans="1:32"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row>
    <row r="645" spans="1:32"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row>
    <row r="646" spans="1:32"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row>
    <row r="647" spans="1:32"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row>
    <row r="648" spans="1:32"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row>
    <row r="649" spans="1:32"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row>
    <row r="650" spans="1:32"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row>
    <row r="651" spans="1:32"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row>
    <row r="652" spans="1:32"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row>
    <row r="653" spans="1:32"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row>
    <row r="654" spans="1:32"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row>
    <row r="655" spans="1:32"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row>
    <row r="656" spans="1:32"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row>
    <row r="657" spans="1:32"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row>
    <row r="658" spans="1:32"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row>
    <row r="659" spans="1:32"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row>
    <row r="660" spans="1:32"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row>
    <row r="661" spans="1:32"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row>
    <row r="662" spans="1:32"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row>
    <row r="663" spans="1:32"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row>
    <row r="664" spans="1:32"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row>
    <row r="665" spans="1:32"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row>
    <row r="666" spans="1:32"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row>
    <row r="667" spans="1:32"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row>
    <row r="668" spans="1:32"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row>
    <row r="669" spans="1:32"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row>
    <row r="670" spans="1:32"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row>
    <row r="671" spans="1:32"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row>
    <row r="672" spans="1:32"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row>
    <row r="673" spans="1:32"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row>
    <row r="674" spans="1:32"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row>
    <row r="675" spans="1:32"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row>
    <row r="676" spans="1:32"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row>
    <row r="677" spans="1:32"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row>
    <row r="678" spans="1:32"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row>
    <row r="679" spans="1:32"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row>
    <row r="680" spans="1:32"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row>
    <row r="681" spans="1:32"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row>
    <row r="682" spans="1:32"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row>
    <row r="683" spans="1:32"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row>
    <row r="684" spans="1:32"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row>
    <row r="685" spans="1:32"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row>
    <row r="686" spans="1:32"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row>
    <row r="687" spans="1:32"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row>
    <row r="688" spans="1:32"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row>
    <row r="689" spans="1:32"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row>
    <row r="690" spans="1:32"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row>
    <row r="691" spans="1:32"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row>
    <row r="692" spans="1:32"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row>
    <row r="693" spans="1:32"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row>
    <row r="694" spans="1:32"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row>
    <row r="695" spans="1:32"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row>
    <row r="696" spans="1:32"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row>
    <row r="697" spans="1:32"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row>
    <row r="698" spans="1:32"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row>
    <row r="699" spans="1:32"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row>
    <row r="700" spans="1:32"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row>
    <row r="701" spans="1:32"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row>
    <row r="702" spans="1:32"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row>
    <row r="703" spans="1:32"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row>
    <row r="704" spans="1:32"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row>
    <row r="705" spans="1:32"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row>
    <row r="706" spans="1:32"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row>
    <row r="707" spans="1:32"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row>
    <row r="708" spans="1:32"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row>
    <row r="709" spans="1:32"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row>
    <row r="710" spans="1:32"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row>
    <row r="711" spans="1:32"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row>
    <row r="712" spans="1:32"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row>
    <row r="713" spans="1:32"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row>
    <row r="714" spans="1:32"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row>
    <row r="715" spans="1:32"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row>
    <row r="716" spans="1:32"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row>
    <row r="717" spans="1:32"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row>
    <row r="718" spans="1:32"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row>
    <row r="719" spans="1:32"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row>
    <row r="720" spans="1:32"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row>
    <row r="721" spans="1:32"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row>
    <row r="722" spans="1:32"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row>
    <row r="723" spans="1:32"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row>
    <row r="724" spans="1:32"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row>
    <row r="725" spans="1:32"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row>
    <row r="726" spans="1:32"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row>
    <row r="727" spans="1:32"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row>
    <row r="728" spans="1:32"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row>
    <row r="729" spans="1:32"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row>
    <row r="730" spans="1:32"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row>
    <row r="731" spans="1:32"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row>
    <row r="732" spans="1:32"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row>
    <row r="733" spans="1:32"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row>
    <row r="734" spans="1:32"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row>
    <row r="735" spans="1:32"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row>
    <row r="736" spans="1:32"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row>
    <row r="737" spans="1:32"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row>
    <row r="738" spans="1:32"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row>
    <row r="739" spans="1:32"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row>
    <row r="740" spans="1:32"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row>
    <row r="741" spans="1:32"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row>
    <row r="742" spans="1:32"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row>
    <row r="743" spans="1:32"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row>
    <row r="744" spans="1:32"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row>
    <row r="745" spans="1:32"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row>
    <row r="746" spans="1:32"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row>
    <row r="747" spans="1:32"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row>
    <row r="748" spans="1:32"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row>
    <row r="749" spans="1:32"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row>
    <row r="750" spans="1:32"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row>
    <row r="751" spans="1:32"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row>
    <row r="752" spans="1:32"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row>
    <row r="753" spans="1:32"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row>
    <row r="754" spans="1:32"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row>
    <row r="755" spans="1:32"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row>
    <row r="756" spans="1:32"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row>
    <row r="757" spans="1:32"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row>
    <row r="758" spans="1:32"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row>
    <row r="759" spans="1:32"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row>
    <row r="760" spans="1:32"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row>
    <row r="761" spans="1:32"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row>
    <row r="762" spans="1:32"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row>
    <row r="763" spans="1:32"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row>
    <row r="764" spans="1:32"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row>
    <row r="765" spans="1:32"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row>
    <row r="766" spans="1:32"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row>
    <row r="767" spans="1:32"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row>
    <row r="768" spans="1:32"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row>
    <row r="769" spans="1:32"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row>
    <row r="770" spans="1:32"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row>
    <row r="771" spans="1:32"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row>
    <row r="772" spans="1:32"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row>
    <row r="773" spans="1:32"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row>
    <row r="774" spans="1:32"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row>
    <row r="775" spans="1:32"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row>
    <row r="776" spans="1:32"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row>
    <row r="777" spans="1:32"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row>
    <row r="778" spans="1:32"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row>
    <row r="779" spans="1:32"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row>
    <row r="780" spans="1:32"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row>
    <row r="781" spans="1:32"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row>
    <row r="782" spans="1:32"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row>
    <row r="783" spans="1:32"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row>
    <row r="784" spans="1:32"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row>
    <row r="785" spans="1:32"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row>
    <row r="786" spans="1:32"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row>
    <row r="787" spans="1:32"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row>
    <row r="788" spans="1:32"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row>
    <row r="789" spans="1:32"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row>
    <row r="790" spans="1:32"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row>
    <row r="791" spans="1:32"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row>
    <row r="792" spans="1:32"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row>
    <row r="793" spans="1:32"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row>
    <row r="794" spans="1:32"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row>
    <row r="795" spans="1:32"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row>
    <row r="796" spans="1:32"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row>
    <row r="797" spans="1:32"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row>
    <row r="798" spans="1:32"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row>
    <row r="799" spans="1:32"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row>
    <row r="800" spans="1:32"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row>
    <row r="801" spans="1:32"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row>
    <row r="802" spans="1:32"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row>
    <row r="803" spans="1:32"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row>
    <row r="804" spans="1:32"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row>
    <row r="805" spans="1:32"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row>
    <row r="806" spans="1:32"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row>
    <row r="807" spans="1:32"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row>
    <row r="808" spans="1:32"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row>
    <row r="809" spans="1:32"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row>
    <row r="810" spans="1:32"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row>
    <row r="811" spans="1:32"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row>
    <row r="812" spans="1:32"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row>
    <row r="813" spans="1:32"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row>
    <row r="814" spans="1:32"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row>
    <row r="815" spans="1:32"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row>
    <row r="816" spans="1:32"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row>
    <row r="817" spans="1:32"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row>
    <row r="818" spans="1:32"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row>
    <row r="819" spans="1:32"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row>
    <row r="820" spans="1:32"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row>
    <row r="821" spans="1:32"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row>
    <row r="822" spans="1:32"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row>
    <row r="823" spans="1:32"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row>
    <row r="824" spans="1:32"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row>
    <row r="825" spans="1:32"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row>
    <row r="826" spans="1:32"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row>
    <row r="827" spans="1:32"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row>
    <row r="828" spans="1:32"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row>
    <row r="829" spans="1:32"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row>
    <row r="830" spans="1:32"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row>
    <row r="831" spans="1:32"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row>
    <row r="832" spans="1:32"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row>
    <row r="833" spans="1:32"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row>
    <row r="834" spans="1:32"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row>
    <row r="835" spans="1:32"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row>
    <row r="836" spans="1:32"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row>
    <row r="837" spans="1:32"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row>
    <row r="838" spans="1:32"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row>
    <row r="839" spans="1:32"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row>
    <row r="840" spans="1:32"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row>
    <row r="841" spans="1:32"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row>
    <row r="842" spans="1:32"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row>
    <row r="843" spans="1:32"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row>
    <row r="844" spans="1:32"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row>
    <row r="845" spans="1:32"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row>
    <row r="846" spans="1:32"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row>
    <row r="847" spans="1:32"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row>
    <row r="848" spans="1:32"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row>
    <row r="849" spans="1:32"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row>
    <row r="850" spans="1:32"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row>
    <row r="851" spans="1:32"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row>
    <row r="852" spans="1:32"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row>
    <row r="853" spans="1:32"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row>
    <row r="854" spans="1:32"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row>
    <row r="855" spans="1:32"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row>
    <row r="856" spans="1:32"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row>
    <row r="857" spans="1:32"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row>
    <row r="858" spans="1:32"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row>
    <row r="859" spans="1:32"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row>
    <row r="860" spans="1:32"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row>
    <row r="861" spans="1:32"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row>
    <row r="862" spans="1:32"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row>
    <row r="863" spans="1:32"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row>
    <row r="864" spans="1:32"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row>
    <row r="865" spans="1:32"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row>
    <row r="866" spans="1:32"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row>
    <row r="867" spans="1:32"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row>
    <row r="868" spans="1:32"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row>
    <row r="869" spans="1:32"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row>
    <row r="870" spans="1:32"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row>
    <row r="871" spans="1:32"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row>
    <row r="872" spans="1:32"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row>
    <row r="873" spans="1:32"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row>
    <row r="874" spans="1:32"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row>
    <row r="875" spans="1:32"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row>
    <row r="876" spans="1:32"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row>
    <row r="877" spans="1:32"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row>
    <row r="878" spans="1:32"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row>
    <row r="879" spans="1:32"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row>
    <row r="880" spans="1:32"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row>
    <row r="881" spans="1:32"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row>
    <row r="882" spans="1:32"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row>
    <row r="883" spans="1:32"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row>
    <row r="884" spans="1:32"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row>
    <row r="885" spans="1:32"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row>
    <row r="886" spans="1:32"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row>
    <row r="887" spans="1:32"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row>
    <row r="888" spans="1:32"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row>
    <row r="889" spans="1:32"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row>
    <row r="890" spans="1:32"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row>
    <row r="891" spans="1:32"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row>
    <row r="892" spans="1:32"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row>
    <row r="893" spans="1:32"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row>
    <row r="894" spans="1:32"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row>
    <row r="895" spans="1:32"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row>
    <row r="896" spans="1:32"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row>
    <row r="897" spans="1:32"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row>
    <row r="898" spans="1:32"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row>
    <row r="899" spans="1:32"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row>
    <row r="900" spans="1:32"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row>
    <row r="901" spans="1:32"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row>
    <row r="902" spans="1:32"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row>
    <row r="903" spans="1:32"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row>
    <row r="904" spans="1:32"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row>
    <row r="905" spans="1:32"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row>
    <row r="906" spans="1:32"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row>
    <row r="907" spans="1:32"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row>
    <row r="908" spans="1:32"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row>
    <row r="909" spans="1:32"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row>
    <row r="910" spans="1:32"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row>
    <row r="911" spans="1:32"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row>
    <row r="912" spans="1:32"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row>
    <row r="913" spans="1:32"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row>
    <row r="914" spans="1:32"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row>
    <row r="915" spans="1:32"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row>
    <row r="916" spans="1:32"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row>
    <row r="917" spans="1:32"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row>
    <row r="918" spans="1:32"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row>
    <row r="919" spans="1:32"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row>
    <row r="920" spans="1:32"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row>
    <row r="921" spans="1:32"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row>
    <row r="922" spans="1:32"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row>
    <row r="923" spans="1:32"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row>
    <row r="924" spans="1:32"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row>
    <row r="925" spans="1:32"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row>
    <row r="926" spans="1:32"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row>
    <row r="927" spans="1:32"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row>
    <row r="928" spans="1:32"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row>
    <row r="929" spans="1:32"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row>
    <row r="930" spans="1:32"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row>
    <row r="931" spans="1:32"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row>
    <row r="932" spans="1:32"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row>
    <row r="933" spans="1:32"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row>
    <row r="934" spans="1:32"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row>
    <row r="935" spans="1:32"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row>
    <row r="936" spans="1:32"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row>
    <row r="937" spans="1:32"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row>
    <row r="938" spans="1:32"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row>
    <row r="939" spans="1:32"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row>
    <row r="940" spans="1:32"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row>
    <row r="941" spans="1:32"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row>
    <row r="942" spans="1:32"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row>
    <row r="943" spans="1:32"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row>
    <row r="944" spans="1:32"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row>
    <row r="945" spans="1:32"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row>
    <row r="946" spans="1:32"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row>
    <row r="947" spans="1:32"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row>
    <row r="948" spans="1:32"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row>
    <row r="949" spans="1:32"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row>
    <row r="950" spans="1:32"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row>
    <row r="951" spans="1:32"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row>
    <row r="952" spans="1:32"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row>
    <row r="953" spans="1:32"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row>
    <row r="954" spans="1:32"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row>
    <row r="955" spans="1:32"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row>
    <row r="956" spans="1:32"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row>
    <row r="957" spans="1:32"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row>
    <row r="958" spans="1:32"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row>
    <row r="959" spans="1:32"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row>
    <row r="960" spans="1:32"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row>
    <row r="961" spans="1:32"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row>
    <row r="962" spans="1:32"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row>
    <row r="963" spans="1:32"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row>
    <row r="964" spans="1:32"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row>
    <row r="965" spans="1:32"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row>
    <row r="966" spans="1:32"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row>
    <row r="967" spans="1:32"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row>
    <row r="968" spans="1:32"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row>
    <row r="969" spans="1:32"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row>
    <row r="970" spans="1:32"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row>
    <row r="971" spans="1:32"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row>
    <row r="972" spans="1:32"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row>
    <row r="973" spans="1:32"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row>
    <row r="974" spans="1:32"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row>
    <row r="975" spans="1:32"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row>
    <row r="976" spans="1:32"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row>
    <row r="977" spans="1:32"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row>
    <row r="978" spans="1:32"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row>
    <row r="979" spans="1:32"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row>
    <row r="980" spans="1:32"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row>
    <row r="981" spans="1:32"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row>
    <row r="982" spans="1:32"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row>
    <row r="983" spans="1:32"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row>
    <row r="984" spans="1:32"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row>
    <row r="985" spans="1:32"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row>
    <row r="986" spans="1:32"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row>
    <row r="987" spans="1:32"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row>
    <row r="988" spans="1:32"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row>
    <row r="989" spans="1:32"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row>
    <row r="990" spans="1:32"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row>
    <row r="991" spans="1:32"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row>
    <row r="992" spans="1:32"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row>
    <row r="993" spans="1:32"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row>
    <row r="994" spans="1:32"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row>
    <row r="995" spans="1:32"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row>
    <row r="996" spans="1:32"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row>
    <row r="997" spans="1:32"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row>
    <row r="998" spans="1:32"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row>
    <row r="999" spans="1:32"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row>
    <row r="1000" spans="1:32"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row>
  </sheetData>
  <mergeCells count="8">
    <mergeCell ref="K8:L8"/>
    <mergeCell ref="G13:H13"/>
    <mergeCell ref="B29:L31"/>
    <mergeCell ref="G6:H7"/>
    <mergeCell ref="C8:D8"/>
    <mergeCell ref="E8:F8"/>
    <mergeCell ref="G8:H8"/>
    <mergeCell ref="I8:J8"/>
  </mergeCells>
  <conditionalFormatting sqref="C8 E8 D10:D11 J10:J11 L10:L11 F10:H12 D14:D15 F14:H15 J14:J15 L14:L15 D18 D26:D28 F26:H28 J26:J28 L26:L28">
    <cfRule type="expression" dxfId="126" priority="1" stopIfTrue="1">
      <formula>C8="FAIL"</formula>
    </cfRule>
    <cfRule type="expression" dxfId="125" priority="2" stopIfTrue="1">
      <formula>C8="PASS"</formula>
    </cfRule>
  </conditionalFormatting>
  <conditionalFormatting sqref="F18:H18">
    <cfRule type="expression" dxfId="124" priority="3" stopIfTrue="1">
      <formula>F18="PASS"</formula>
    </cfRule>
    <cfRule type="expression" dxfId="123" priority="4" stopIfTrue="1">
      <formula>F18="FAIL"</formula>
    </cfRule>
  </conditionalFormatting>
  <conditionalFormatting sqref="G8:I8 K8">
    <cfRule type="expression" dxfId="122" priority="5" stopIfTrue="1">
      <formula>G8="PASS"</formula>
    </cfRule>
    <cfRule type="expression" dxfId="121" priority="6" stopIfTrue="1">
      <formula>G8="FAIL"</formula>
    </cfRule>
    <cfRule type="expression" dxfId="120" priority="7" stopIfTrue="1">
      <formula>G8="N/A"</formula>
    </cfRule>
  </conditionalFormatting>
  <conditionalFormatting sqref="H10:H11 H18 H14:H15 H26:H28">
    <cfRule type="expression" dxfId="119" priority="9" stopIfTrue="1">
      <formula>H10="FAIL"</formula>
    </cfRule>
  </conditionalFormatting>
  <conditionalFormatting sqref="H18 H10:H11">
    <cfRule type="expression" dxfId="118" priority="8" stopIfTrue="1">
      <formula>H10="PASS"</formula>
    </cfRule>
  </conditionalFormatting>
  <conditionalFormatting sqref="J18">
    <cfRule type="expression" dxfId="117" priority="10" stopIfTrue="1">
      <formula>J18="PASS"</formula>
    </cfRule>
    <cfRule type="expression" dxfId="116" priority="11" stopIfTrue="1">
      <formula>J18="FAIL"</formula>
    </cfRule>
  </conditionalFormatting>
  <conditionalFormatting sqref="L18">
    <cfRule type="expression" dxfId="115" priority="12" stopIfTrue="1">
      <formula>L18="PASS"</formula>
    </cfRule>
    <cfRule type="expression" dxfId="114" priority="13" stopIfTrue="1">
      <formula>L18="FAIL"</formula>
    </cfRule>
  </conditionalFormatting>
  <dataValidations count="3">
    <dataValidation type="list" allowBlank="1" showErrorMessage="1" sqref="C4" xr:uid="{00000000-0002-0000-1C00-000000000000}">
      <formula1>"YES,NO"</formula1>
    </dataValidation>
    <dataValidation type="list" allowBlank="1" showErrorMessage="1" sqref="C21 E21 G21 I21 K21" xr:uid="{00000000-0002-0000-1C00-000001000000}">
      <formula1>Material</formula1>
    </dataValidation>
    <dataValidation type="list" allowBlank="1" showErrorMessage="1" sqref="C3" xr:uid="{00000000-0002-0000-1C00-000002000000}">
      <formula1>"2,3,4"</formula1>
    </dataValidation>
  </dataValidations>
  <hyperlinks>
    <hyperlink ref="M3" location="'Cover Sheet'!A1" display="BACK to COVER SHEET" xr:uid="{00000000-0004-0000-1C00-000000000000}"/>
    <hyperlink ref="C22" location="'T3.5 Laminate Test'!A1" display="T3.5_Laminate" xr:uid="{00000000-0004-0000-1C00-000001000000}"/>
    <hyperlink ref="E22" location="'T3.5 Laminate Test'!A1" display="T3.5_Laminate" xr:uid="{00000000-0004-0000-1C00-000002000000}"/>
    <hyperlink ref="I22" location="'T3.5 Laminate Test'!A1" display="T3.5_Laminate" xr:uid="{00000000-0004-0000-1C00-000003000000}"/>
    <hyperlink ref="K22" location="'T3.5 Laminate Test'!A1" display="T3.5_Laminate" xr:uid="{00000000-0004-0000-1C00-000004000000}"/>
    <hyperlink ref="B32" location="'Monocoque Attachments Guidance'!A1" display="Link to guidance notes" xr:uid="{00000000-0004-0000-1C00-000005000000}"/>
  </hyperlinks>
  <pageMargins left="0.75" right="0.75" top="1" bottom="1" header="0" footer="0"/>
  <pageSetup paperSize="9"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6D9F0"/>
  </sheetPr>
  <dimension ref="A1:AE1000"/>
  <sheetViews>
    <sheetView showGridLines="0" workbookViewId="0"/>
  </sheetViews>
  <sheetFormatPr baseColWidth="10" defaultColWidth="12.5703125" defaultRowHeight="15" customHeight="1"/>
  <cols>
    <col min="1" max="1" width="4.42578125" customWidth="1"/>
    <col min="2" max="2" width="29" customWidth="1"/>
    <col min="3" max="3" width="12.5703125" customWidth="1"/>
    <col min="4" max="4" width="14.5703125" customWidth="1"/>
    <col min="5" max="5" width="12.5703125" customWidth="1"/>
    <col min="6" max="6" width="14.5703125" customWidth="1"/>
    <col min="7" max="7" width="12.5703125" customWidth="1"/>
    <col min="8" max="8" width="14.5703125" customWidth="1"/>
    <col min="9" max="9" width="12.5703125" customWidth="1"/>
    <col min="10" max="10" width="14.5703125" customWidth="1"/>
    <col min="11" max="11" width="12.5703125" customWidth="1"/>
    <col min="12" max="12" width="14.5703125" customWidth="1"/>
    <col min="13" max="31" width="11.42578125" customWidth="1"/>
  </cols>
  <sheetData>
    <row r="1" spans="2:31" ht="12.75" customHeight="1">
      <c r="B1" s="213" t="s">
        <v>750</v>
      </c>
    </row>
    <row r="2" spans="2:31" ht="12.75" customHeight="1">
      <c r="C2" s="131"/>
      <c r="D2" s="131"/>
    </row>
    <row r="3" spans="2:31" ht="12.75" customHeight="1">
      <c r="B3" s="67" t="s">
        <v>720</v>
      </c>
      <c r="C3" s="310">
        <v>3</v>
      </c>
      <c r="D3" s="31"/>
      <c r="M3" s="39" t="s">
        <v>252</v>
      </c>
      <c r="N3" s="39"/>
      <c r="O3" s="39"/>
    </row>
    <row r="4" spans="2:31" ht="12.75" customHeight="1">
      <c r="B4" s="67" t="s">
        <v>751</v>
      </c>
      <c r="C4" s="310" t="s">
        <v>202</v>
      </c>
      <c r="D4" s="31"/>
    </row>
    <row r="5" spans="2:31" ht="12.75" customHeight="1"/>
    <row r="6" spans="2:31" ht="12.75" customHeight="1">
      <c r="C6" s="721" t="s">
        <v>724</v>
      </c>
      <c r="D6" s="596"/>
      <c r="E6" s="721" t="s">
        <v>725</v>
      </c>
      <c r="F6" s="595"/>
      <c r="G6" s="721" t="s">
        <v>752</v>
      </c>
      <c r="H6" s="596"/>
      <c r="I6" s="383" t="s">
        <v>723</v>
      </c>
      <c r="J6" s="365"/>
      <c r="K6" s="410" t="s">
        <v>723</v>
      </c>
      <c r="L6" s="38"/>
      <c r="M6" s="31"/>
      <c r="N6" s="31"/>
    </row>
    <row r="7" spans="2:31" ht="12.75" customHeight="1">
      <c r="C7" s="600"/>
      <c r="D7" s="602"/>
      <c r="E7" s="600"/>
      <c r="F7" s="601"/>
      <c r="G7" s="600"/>
      <c r="H7" s="602"/>
      <c r="I7" s="387" t="s">
        <v>726</v>
      </c>
      <c r="J7" s="411"/>
      <c r="K7" s="384" t="s">
        <v>727</v>
      </c>
      <c r="L7" s="197"/>
      <c r="M7" s="31"/>
      <c r="N7" s="31"/>
    </row>
    <row r="8" spans="2:31" ht="12.75" customHeight="1">
      <c r="B8" s="412" t="s">
        <v>728</v>
      </c>
      <c r="C8" s="713" t="e">
        <f ca="1">IF($C$3=0,"LAMINATED",IF(AND(D10="PASS",D11="PASS",D14="PASS",D15="PASS",D26="PASS",D18="PASS",D27="PASS",D28="pass"),"PASS","FAIL"))</f>
        <v>#NAME?</v>
      </c>
      <c r="D8" s="588"/>
      <c r="E8" s="713" t="e">
        <f ca="1">IF($C$3=0,"LAMINATED",IF(AND(F10="PASS",F11="PASS",F12="PASS",F14="PASS",F15="PASS",F26="PASS",F18="PASS",F27="PASS",F28="pass"),"PASS","FAIL"))</f>
        <v>#NAME?</v>
      </c>
      <c r="F8" s="588"/>
      <c r="G8" s="713" t="e">
        <f ca="1">IF($C$3=0,"LAMINATED",IF(AND(H10="PASS",H11="PASS",H14="PASS",H15="PASS",H26="PASS",H18="PASS",H27="PASS",H28="pass"),"PASS","FAIL"))</f>
        <v>#NAME?</v>
      </c>
      <c r="H8" s="588"/>
      <c r="I8" s="722" t="str">
        <f>IF($C$3&lt;=3,"N/A",IF(AND(J10="PASS",J11="PASS",J14="PASS",J15="PASS",J26="PASS",J18="PASS",J27="PASS",J28="pass"),"PASS","FAIL"))</f>
        <v>N/A</v>
      </c>
      <c r="J8" s="602"/>
      <c r="K8" s="722" t="str">
        <f>IF($C$3&lt;=4,"N/A",IF(AND(L10="PASS",L11="PASS",L14="PASS",L15="PASS",L26="PASS",L18="PASS",L27="PASS",L28="pass"),"PASS","FAIL"))</f>
        <v>N/A</v>
      </c>
      <c r="L8" s="602"/>
      <c r="M8" s="143"/>
      <c r="N8" s="143"/>
      <c r="O8" s="143"/>
      <c r="P8" s="143"/>
      <c r="Q8" s="143"/>
      <c r="R8" s="143"/>
      <c r="S8" s="143"/>
      <c r="T8" s="143"/>
      <c r="U8" s="143"/>
      <c r="V8" s="143"/>
      <c r="W8" s="143"/>
      <c r="X8" s="143"/>
      <c r="Y8" s="143"/>
      <c r="Z8" s="143"/>
      <c r="AA8" s="143"/>
      <c r="AB8" s="143"/>
      <c r="AC8" s="143"/>
      <c r="AD8" s="143"/>
      <c r="AE8" s="144"/>
    </row>
    <row r="9" spans="2:31" ht="12.75" customHeight="1">
      <c r="B9" s="80"/>
      <c r="C9" s="725"/>
      <c r="D9" s="588"/>
      <c r="E9" s="725"/>
      <c r="F9" s="588"/>
      <c r="G9" s="725"/>
      <c r="H9" s="588"/>
      <c r="I9" s="725"/>
      <c r="J9" s="588"/>
      <c r="K9" s="586"/>
      <c r="L9" s="588"/>
      <c r="M9" s="64"/>
      <c r="N9" s="64"/>
      <c r="O9" s="64"/>
      <c r="P9" s="64"/>
      <c r="Q9" s="64"/>
      <c r="R9" s="64"/>
      <c r="S9" s="64"/>
      <c r="T9" s="64"/>
      <c r="U9" s="64"/>
      <c r="V9" s="64"/>
      <c r="W9" s="64"/>
      <c r="X9" s="64"/>
      <c r="Y9" s="64"/>
      <c r="Z9" s="64"/>
      <c r="AA9" s="64"/>
      <c r="AB9" s="64"/>
      <c r="AC9" s="64"/>
      <c r="AD9" s="64"/>
      <c r="AE9" s="96"/>
    </row>
    <row r="10" spans="2:31" ht="12.75" customHeight="1">
      <c r="B10" s="382" t="s">
        <v>729</v>
      </c>
      <c r="C10" s="392">
        <v>0</v>
      </c>
      <c r="D10" s="393" t="str">
        <f>IF(C10&gt;=8,"PASS","FAIL")</f>
        <v>FAIL</v>
      </c>
      <c r="E10" s="394">
        <v>0</v>
      </c>
      <c r="F10" s="395" t="str">
        <f>IF(E10&gt;=8,"PASS","FAIL")</f>
        <v>FAIL</v>
      </c>
      <c r="G10" s="394">
        <v>0</v>
      </c>
      <c r="H10" s="395" t="str">
        <f>IF(G10&gt;=8,"PASS","FAIL")</f>
        <v>FAIL</v>
      </c>
      <c r="I10" s="394">
        <v>0</v>
      </c>
      <c r="J10" s="395" t="str">
        <f>IF(I10&gt;=8,"PASS","FAIL")</f>
        <v>FAIL</v>
      </c>
      <c r="K10" s="394">
        <v>0</v>
      </c>
      <c r="L10" s="395" t="str">
        <f>IF(K10&gt;=8,"PASS","FAIL")</f>
        <v>FAIL</v>
      </c>
      <c r="M10" s="64"/>
      <c r="N10" s="64"/>
      <c r="O10" s="64"/>
      <c r="P10" s="64"/>
      <c r="Q10" s="64"/>
      <c r="R10" s="64"/>
      <c r="S10" s="64"/>
      <c r="T10" s="64"/>
      <c r="U10" s="64"/>
      <c r="V10" s="64"/>
      <c r="W10" s="64"/>
      <c r="X10" s="64"/>
      <c r="Y10" s="64"/>
      <c r="Z10" s="64"/>
      <c r="AA10" s="64"/>
      <c r="AB10" s="64"/>
      <c r="AC10" s="64"/>
      <c r="AD10" s="64"/>
      <c r="AE10" s="96"/>
    </row>
    <row r="11" spans="2:31" ht="12.75" customHeight="1">
      <c r="B11" s="243" t="s">
        <v>730</v>
      </c>
      <c r="C11" s="223">
        <v>0</v>
      </c>
      <c r="D11" s="397" t="str">
        <f>IF(C11&gt;=2,"PASS","FAIL")</f>
        <v>FAIL</v>
      </c>
      <c r="E11" s="214">
        <v>0</v>
      </c>
      <c r="F11" s="391" t="str">
        <f>IF(E11&gt;=2,"PASS","FAIL")</f>
        <v>FAIL</v>
      </c>
      <c r="G11" s="214">
        <v>0</v>
      </c>
      <c r="H11" s="391" t="str">
        <f>IF(G11&gt;=2,"PASS","FAIL")</f>
        <v>FAIL</v>
      </c>
      <c r="I11" s="214">
        <v>0</v>
      </c>
      <c r="J11" s="391" t="str">
        <f>IF(I11&gt;=2,"PASS","FAIL")</f>
        <v>FAIL</v>
      </c>
      <c r="K11" s="214">
        <v>0</v>
      </c>
      <c r="L11" s="391" t="str">
        <f>IF(K11&gt;=2,"PASS","FAIL")</f>
        <v>FAIL</v>
      </c>
      <c r="M11" s="64"/>
      <c r="N11" s="64"/>
      <c r="O11" s="64"/>
      <c r="P11" s="64"/>
      <c r="Q11" s="64"/>
      <c r="R11" s="64"/>
      <c r="S11" s="64"/>
      <c r="T11" s="64"/>
      <c r="U11" s="64"/>
      <c r="V11" s="64"/>
      <c r="W11" s="64"/>
      <c r="X11" s="64"/>
      <c r="Y11" s="64"/>
      <c r="Z11" s="64"/>
      <c r="AA11" s="64"/>
      <c r="AB11" s="64"/>
      <c r="AC11" s="64"/>
      <c r="AD11" s="64"/>
      <c r="AE11" s="96"/>
    </row>
    <row r="12" spans="2:31" ht="12.75" customHeight="1">
      <c r="B12" s="43" t="s">
        <v>731</v>
      </c>
      <c r="C12" s="723"/>
      <c r="D12" s="667"/>
      <c r="E12" s="95"/>
      <c r="F12" s="393" t="str">
        <f>IF(OR(E12&gt;=50,E12=""),"FAIL","PASS")</f>
        <v>FAIL</v>
      </c>
      <c r="G12" s="723"/>
      <c r="H12" s="667"/>
      <c r="I12" s="723"/>
      <c r="J12" s="667"/>
      <c r="K12" s="723"/>
      <c r="L12" s="667"/>
      <c r="M12" s="64"/>
      <c r="N12" s="64"/>
      <c r="O12" s="64"/>
      <c r="P12" s="64"/>
      <c r="Q12" s="64"/>
      <c r="R12" s="64"/>
      <c r="S12" s="64"/>
      <c r="T12" s="64"/>
      <c r="U12" s="64"/>
      <c r="V12" s="64"/>
      <c r="W12" s="64"/>
      <c r="X12" s="64"/>
      <c r="Y12" s="64"/>
      <c r="Z12" s="64"/>
      <c r="AA12" s="64"/>
      <c r="AB12" s="64"/>
      <c r="AC12" s="64"/>
      <c r="AD12" s="64"/>
      <c r="AE12" s="96"/>
    </row>
    <row r="13" spans="2:31" ht="12.75" customHeight="1">
      <c r="B13" s="80"/>
      <c r="C13" s="726"/>
      <c r="D13" s="588"/>
      <c r="E13" s="726"/>
      <c r="F13" s="588"/>
      <c r="G13" s="726"/>
      <c r="H13" s="588"/>
      <c r="I13" s="726"/>
      <c r="J13" s="588"/>
      <c r="K13" s="726"/>
      <c r="L13" s="588"/>
      <c r="M13" s="64"/>
      <c r="N13" s="64"/>
      <c r="O13" s="64"/>
      <c r="P13" s="64"/>
      <c r="Q13" s="64"/>
      <c r="R13" s="64"/>
      <c r="S13" s="64"/>
      <c r="T13" s="64"/>
      <c r="U13" s="64"/>
      <c r="V13" s="64"/>
      <c r="W13" s="64"/>
      <c r="X13" s="64"/>
      <c r="Y13" s="64"/>
      <c r="Z13" s="64"/>
      <c r="AA13" s="64"/>
      <c r="AB13" s="64"/>
      <c r="AC13" s="64"/>
      <c r="AD13" s="64"/>
      <c r="AE13" s="96"/>
    </row>
    <row r="14" spans="2:31" ht="12.75" customHeight="1">
      <c r="B14" s="243" t="s">
        <v>732</v>
      </c>
      <c r="C14" s="401">
        <v>0</v>
      </c>
      <c r="D14" s="397" t="str">
        <f>IF(OR(AND($C$4="steel",C14&gt;(PI()*25.4)),AND($C$4="alu.",C14&gt;(PI()*30.5))),"PASS","FAIL")</f>
        <v>FAIL</v>
      </c>
      <c r="E14" s="401">
        <v>0</v>
      </c>
      <c r="F14" s="397" t="str">
        <f>IF(OR(AND($C$4="steel",E14&gt;(PI()*25.4)),AND($C$4="alu.",E14&gt;(PI()*30.5))),"PASS","FAIL")</f>
        <v>FAIL</v>
      </c>
      <c r="G14" s="401">
        <v>0</v>
      </c>
      <c r="H14" s="397" t="str">
        <f>IF(OR(AND($C$4="steel",G14&gt;(PI()*25.4)),AND($C$4="alu.",G14&gt;(PI()*30.5))),"PASS","FAIL")</f>
        <v>FAIL</v>
      </c>
      <c r="I14" s="401">
        <v>0</v>
      </c>
      <c r="J14" s="397" t="str">
        <f>IF(OR(AND($C$4="steel",I14&gt;(PI()*25.4)),AND($C$4="alu.",I14&gt;(PI()*30.5))),"PASS","FAIL")</f>
        <v>FAIL</v>
      </c>
      <c r="K14" s="401">
        <v>0</v>
      </c>
      <c r="L14" s="397" t="str">
        <f>IF(OR(AND($C$4="steel",K14&gt;(PI()*25.4)),AND($C$4="alu.",K14&gt;(PI()*30.5))),"PASS","FAIL")</f>
        <v>FAIL</v>
      </c>
      <c r="M14" s="64"/>
      <c r="N14" s="64"/>
      <c r="O14" s="64"/>
      <c r="P14" s="64"/>
      <c r="Q14" s="64"/>
      <c r="R14" s="64"/>
      <c r="S14" s="64"/>
      <c r="T14" s="64"/>
      <c r="U14" s="64"/>
      <c r="V14" s="64"/>
      <c r="W14" s="64"/>
      <c r="X14" s="64"/>
      <c r="Y14" s="64"/>
      <c r="Z14" s="64"/>
      <c r="AA14" s="64"/>
      <c r="AB14" s="64"/>
      <c r="AC14" s="64"/>
      <c r="AD14" s="64"/>
      <c r="AE14" s="96"/>
    </row>
    <row r="15" spans="2:31" ht="12.75" customHeight="1">
      <c r="B15" s="243" t="s">
        <v>733</v>
      </c>
      <c r="C15" s="401">
        <v>0</v>
      </c>
      <c r="D15" s="397" t="str">
        <f>IF(C15&gt;=2,"PASS","FAIL")</f>
        <v>FAIL</v>
      </c>
      <c r="E15" s="401">
        <v>0</v>
      </c>
      <c r="F15" s="391" t="str">
        <f>IF(E15&gt;=2,"PASS","FAIL")</f>
        <v>FAIL</v>
      </c>
      <c r="G15" s="401">
        <v>0</v>
      </c>
      <c r="H15" s="391" t="str">
        <f>IF(G15&gt;=2,"PASS","FAIL")</f>
        <v>FAIL</v>
      </c>
      <c r="I15" s="401">
        <v>0</v>
      </c>
      <c r="J15" s="391" t="str">
        <f>IF(I15&gt;=2,"PASS","FAIL")</f>
        <v>FAIL</v>
      </c>
      <c r="K15" s="401">
        <v>0</v>
      </c>
      <c r="L15" s="391" t="str">
        <f>IF(K15&gt;=2,"PASS","FAIL")</f>
        <v>FAIL</v>
      </c>
      <c r="M15" s="64"/>
      <c r="N15" s="64"/>
      <c r="O15" s="64"/>
      <c r="P15" s="64"/>
      <c r="Q15" s="64"/>
      <c r="R15" s="64"/>
      <c r="S15" s="64"/>
      <c r="T15" s="64"/>
      <c r="U15" s="64"/>
      <c r="V15" s="64"/>
      <c r="W15" s="64"/>
      <c r="X15" s="64"/>
      <c r="Y15" s="64"/>
      <c r="Z15" s="64"/>
      <c r="AA15" s="64"/>
      <c r="AB15" s="64"/>
      <c r="AC15" s="64"/>
      <c r="AD15" s="64"/>
      <c r="AE15" s="96"/>
    </row>
    <row r="16" spans="2:31" ht="12.75" customHeight="1">
      <c r="B16" s="243" t="s">
        <v>734</v>
      </c>
      <c r="C16" s="401">
        <v>0</v>
      </c>
      <c r="D16" s="397"/>
      <c r="E16" s="401">
        <v>0</v>
      </c>
      <c r="F16" s="391"/>
      <c r="G16" s="401">
        <v>0</v>
      </c>
      <c r="H16" s="391"/>
      <c r="I16" s="401">
        <v>0</v>
      </c>
      <c r="J16" s="391"/>
      <c r="K16" s="401">
        <v>0</v>
      </c>
      <c r="L16" s="391"/>
      <c r="M16" s="64"/>
      <c r="N16" s="64"/>
      <c r="O16" s="64"/>
      <c r="P16" s="64"/>
      <c r="Q16" s="64"/>
      <c r="R16" s="64"/>
      <c r="S16" s="64"/>
      <c r="T16" s="64"/>
      <c r="U16" s="64"/>
      <c r="V16" s="64"/>
      <c r="W16" s="64"/>
      <c r="X16" s="64"/>
      <c r="Y16" s="64"/>
      <c r="Z16" s="64"/>
      <c r="AA16" s="64"/>
      <c r="AB16" s="64"/>
      <c r="AC16" s="64"/>
      <c r="AD16" s="64"/>
      <c r="AE16" s="96"/>
    </row>
    <row r="17" spans="1:31" ht="12.75" customHeight="1">
      <c r="B17" s="243" t="s">
        <v>735</v>
      </c>
      <c r="C17" s="401">
        <v>0</v>
      </c>
      <c r="D17" s="397"/>
      <c r="E17" s="401">
        <v>0</v>
      </c>
      <c r="F17" s="391"/>
      <c r="G17" s="401">
        <v>0</v>
      </c>
      <c r="H17" s="391"/>
      <c r="I17" s="401">
        <v>0</v>
      </c>
      <c r="J17" s="391"/>
      <c r="K17" s="401">
        <v>0</v>
      </c>
      <c r="L17" s="391"/>
      <c r="M17" s="64"/>
      <c r="N17" s="64"/>
      <c r="O17" s="64"/>
      <c r="P17" s="64"/>
      <c r="Q17" s="64"/>
      <c r="R17" s="64"/>
      <c r="S17" s="64"/>
      <c r="T17" s="64"/>
      <c r="U17" s="64"/>
      <c r="V17" s="64"/>
      <c r="W17" s="64"/>
      <c r="X17" s="64"/>
      <c r="Y17" s="64"/>
      <c r="Z17" s="64"/>
      <c r="AA17" s="64"/>
      <c r="AB17" s="64"/>
      <c r="AC17" s="64"/>
      <c r="AD17" s="64"/>
      <c r="AE17" s="96"/>
    </row>
    <row r="18" spans="1:31" ht="12.75" customHeight="1">
      <c r="B18" s="243" t="s">
        <v>736</v>
      </c>
      <c r="C18" s="214">
        <v>0</v>
      </c>
      <c r="D18" s="397" t="str">
        <f>IF(C18&gt;=2,"PASS","FAIL")</f>
        <v>FAIL</v>
      </c>
      <c r="E18" s="214">
        <v>0</v>
      </c>
      <c r="F18" s="391" t="str">
        <f>IF(E18&gt;=2,"PASS","FAIL")</f>
        <v>FAIL</v>
      </c>
      <c r="G18" s="214">
        <v>0</v>
      </c>
      <c r="H18" s="391" t="str">
        <f>IF(G18&gt;=2,"PASS","FAIL")</f>
        <v>FAIL</v>
      </c>
      <c r="I18" s="214">
        <v>0</v>
      </c>
      <c r="J18" s="391" t="str">
        <f>IF(I18&gt;=2,"PASS","FAIL")</f>
        <v>FAIL</v>
      </c>
      <c r="K18" s="214">
        <v>0</v>
      </c>
      <c r="L18" s="391" t="str">
        <f>IF(K18&gt;=2,"PASS","FAIL")</f>
        <v>FAIL</v>
      </c>
      <c r="M18" s="64"/>
      <c r="N18" s="64"/>
      <c r="O18" s="64"/>
      <c r="P18" s="64"/>
      <c r="Q18" s="64"/>
      <c r="R18" s="64"/>
      <c r="S18" s="64"/>
      <c r="T18" s="64"/>
      <c r="U18" s="64"/>
      <c r="V18" s="64"/>
      <c r="W18" s="64"/>
      <c r="X18" s="64"/>
      <c r="Y18" s="64"/>
      <c r="Z18" s="64"/>
      <c r="AA18" s="64"/>
      <c r="AB18" s="64"/>
      <c r="AC18" s="64"/>
      <c r="AD18" s="64"/>
      <c r="AE18" s="96"/>
    </row>
    <row r="19" spans="1:31" ht="12.75" customHeight="1">
      <c r="B19" s="243" t="s">
        <v>737</v>
      </c>
      <c r="C19" s="214">
        <v>0</v>
      </c>
      <c r="D19" s="47"/>
      <c r="E19" s="214">
        <v>0</v>
      </c>
      <c r="F19" s="46"/>
      <c r="G19" s="214">
        <v>0</v>
      </c>
      <c r="H19" s="46"/>
      <c r="I19" s="214">
        <v>0</v>
      </c>
      <c r="J19" s="46"/>
      <c r="K19" s="214">
        <v>0</v>
      </c>
      <c r="L19" s="46"/>
      <c r="M19" s="64"/>
      <c r="N19" s="64"/>
      <c r="O19" s="64"/>
      <c r="P19" s="64"/>
      <c r="Q19" s="64"/>
      <c r="R19" s="64"/>
      <c r="S19" s="64"/>
      <c r="T19" s="64"/>
      <c r="U19" s="64"/>
      <c r="V19" s="64"/>
      <c r="W19" s="64"/>
      <c r="X19" s="64"/>
      <c r="Y19" s="64"/>
      <c r="Z19" s="64"/>
      <c r="AA19" s="64"/>
      <c r="AB19" s="64"/>
      <c r="AC19" s="64"/>
      <c r="AD19" s="64"/>
      <c r="AE19" s="96"/>
    </row>
    <row r="20" spans="1:31" ht="12.75" customHeight="1">
      <c r="B20" s="243" t="s">
        <v>738</v>
      </c>
      <c r="C20" s="413">
        <v>0</v>
      </c>
      <c r="D20" s="397"/>
      <c r="E20" s="401">
        <v>0</v>
      </c>
      <c r="F20" s="391"/>
      <c r="G20" s="401">
        <v>0</v>
      </c>
      <c r="H20" s="391"/>
      <c r="I20" s="401">
        <v>0</v>
      </c>
      <c r="J20" s="391"/>
      <c r="K20" s="401">
        <v>0</v>
      </c>
      <c r="L20" s="391"/>
      <c r="M20" s="64"/>
      <c r="N20" s="64"/>
      <c r="O20" s="64"/>
      <c r="P20" s="64"/>
      <c r="Q20" s="64"/>
      <c r="R20" s="64"/>
      <c r="S20" s="64"/>
      <c r="T20" s="64"/>
      <c r="U20" s="64"/>
      <c r="V20" s="64"/>
      <c r="W20" s="64"/>
      <c r="X20" s="64"/>
      <c r="Y20" s="64"/>
      <c r="Z20" s="64"/>
      <c r="AA20" s="64"/>
      <c r="AB20" s="64"/>
      <c r="AC20" s="64"/>
      <c r="AD20" s="64"/>
      <c r="AE20" s="96"/>
    </row>
    <row r="21" spans="1:31" ht="12.75" customHeight="1">
      <c r="B21" s="243" t="s">
        <v>739</v>
      </c>
      <c r="C21" s="401" t="s">
        <v>205</v>
      </c>
      <c r="D21" s="391"/>
      <c r="E21" s="401" t="s">
        <v>205</v>
      </c>
      <c r="F21" s="391"/>
      <c r="G21" s="401" t="s">
        <v>205</v>
      </c>
      <c r="H21" s="391"/>
      <c r="I21" s="401" t="s">
        <v>205</v>
      </c>
      <c r="J21" s="391"/>
      <c r="K21" s="401" t="s">
        <v>205</v>
      </c>
      <c r="L21" s="391"/>
      <c r="M21" s="64" t="s">
        <v>740</v>
      </c>
      <c r="N21" s="64"/>
      <c r="O21" s="64"/>
      <c r="P21" s="64"/>
      <c r="Q21" s="64"/>
      <c r="R21" s="64"/>
      <c r="S21" s="64"/>
      <c r="T21" s="64"/>
      <c r="U21" s="64"/>
      <c r="V21" s="64"/>
      <c r="W21" s="64"/>
      <c r="X21" s="64"/>
      <c r="Y21" s="64"/>
      <c r="Z21" s="64"/>
      <c r="AA21" s="64"/>
      <c r="AB21" s="64"/>
      <c r="AC21" s="64"/>
      <c r="AD21" s="64"/>
      <c r="AE21" s="96"/>
    </row>
    <row r="22" spans="1:31" ht="12.75" customHeight="1">
      <c r="B22" s="243" t="s">
        <v>741</v>
      </c>
      <c r="C22" s="402" t="s">
        <v>220</v>
      </c>
      <c r="D22" s="391"/>
      <c r="E22" s="402" t="s">
        <v>220</v>
      </c>
      <c r="F22" s="391"/>
      <c r="G22" s="402" t="s">
        <v>220</v>
      </c>
      <c r="H22" s="391"/>
      <c r="I22" s="402" t="s">
        <v>220</v>
      </c>
      <c r="J22" s="391"/>
      <c r="K22" s="402" t="s">
        <v>220</v>
      </c>
      <c r="L22" s="391"/>
      <c r="M22" s="64"/>
      <c r="N22" s="64"/>
      <c r="O22" s="64"/>
      <c r="P22" s="64"/>
      <c r="Q22" s="64"/>
      <c r="R22" s="64"/>
      <c r="S22" s="64"/>
      <c r="T22" s="64"/>
      <c r="U22" s="64"/>
      <c r="V22" s="64"/>
      <c r="W22" s="64"/>
      <c r="X22" s="64"/>
      <c r="Y22" s="64"/>
      <c r="Z22" s="64"/>
      <c r="AA22" s="64"/>
      <c r="AB22" s="64"/>
      <c r="AC22" s="64"/>
      <c r="AD22" s="64"/>
      <c r="AE22" s="96"/>
    </row>
    <row r="23" spans="1:31" ht="12.75" customHeight="1">
      <c r="B23" s="243" t="s">
        <v>742</v>
      </c>
      <c r="C23" s="401" t="e">
        <f ca="1">'T3.5.9 Shear Tests'!$W$56</f>
        <v>#NAME?</v>
      </c>
      <c r="D23" s="397"/>
      <c r="E23" s="401" t="e">
        <f ca="1">'T3.5.9 Shear Tests'!$W$56</f>
        <v>#NAME?</v>
      </c>
      <c r="F23" s="391"/>
      <c r="G23" s="401" t="e">
        <f ca="1">'T3.5.9 Shear Tests'!$W$56</f>
        <v>#NAME?</v>
      </c>
      <c r="H23" s="391"/>
      <c r="I23" s="401" t="e">
        <f ca="1">'T3.5.9 Shear Tests'!$W$56</f>
        <v>#NAME?</v>
      </c>
      <c r="J23" s="391"/>
      <c r="K23" s="401" t="e">
        <f ca="1">'T3.5.9 Shear Tests'!$W$56</f>
        <v>#NAME?</v>
      </c>
      <c r="L23" s="391"/>
      <c r="M23" s="64" t="s">
        <v>743</v>
      </c>
      <c r="N23" s="64"/>
      <c r="O23" s="64"/>
      <c r="P23" s="64"/>
      <c r="Q23" s="64"/>
      <c r="R23" s="64"/>
      <c r="S23" s="64"/>
      <c r="T23" s="64"/>
      <c r="U23" s="64"/>
      <c r="V23" s="64"/>
      <c r="W23" s="64"/>
      <c r="X23" s="64"/>
      <c r="Y23" s="64"/>
      <c r="Z23" s="64"/>
      <c r="AA23" s="64"/>
      <c r="AB23" s="64"/>
      <c r="AC23" s="64"/>
      <c r="AD23" s="64"/>
      <c r="AE23" s="96"/>
    </row>
    <row r="24" spans="1:31" ht="12.75" customHeight="1">
      <c r="B24" s="243" t="s">
        <v>744</v>
      </c>
      <c r="C24" s="214">
        <v>1</v>
      </c>
      <c r="D24" s="404" t="str">
        <f>IF(C24&lt;0.4*C25,"FAIL, see T3.4.4","")</f>
        <v/>
      </c>
      <c r="E24" s="214">
        <v>1</v>
      </c>
      <c r="F24" s="404" t="str">
        <f>IF(E24&lt;0.4*E25,"FAIL, see T3.4.4","")</f>
        <v/>
      </c>
      <c r="G24" s="214">
        <v>1</v>
      </c>
      <c r="H24" s="404" t="str">
        <f>IF(G24&lt;0.4*G25,"FAIL, see T3.4.4","")</f>
        <v/>
      </c>
      <c r="I24" s="214">
        <v>1</v>
      </c>
      <c r="J24" s="404" t="str">
        <f>IF(I24&lt;0.4*I25,"FAIL, see T3.4.4","")</f>
        <v/>
      </c>
      <c r="K24" s="214">
        <v>1</v>
      </c>
      <c r="L24" s="405" t="str">
        <f>IF(K24&lt;0.4*K25,"FAIL, see T3.4.4","")</f>
        <v/>
      </c>
      <c r="M24" s="64" t="s">
        <v>745</v>
      </c>
      <c r="N24" s="64"/>
      <c r="O24" s="64"/>
      <c r="P24" s="64"/>
      <c r="Q24" s="64"/>
      <c r="R24" s="64"/>
      <c r="S24" s="64"/>
      <c r="T24" s="64"/>
      <c r="U24" s="64"/>
      <c r="V24" s="64"/>
      <c r="W24" s="64"/>
      <c r="X24" s="64"/>
      <c r="Y24" s="64"/>
      <c r="Z24" s="64"/>
      <c r="AA24" s="64"/>
      <c r="AB24" s="64"/>
      <c r="AC24" s="64"/>
      <c r="AD24" s="64"/>
      <c r="AE24" s="96"/>
    </row>
    <row r="25" spans="1:31" ht="12.75" customHeight="1">
      <c r="B25" s="243" t="s">
        <v>744</v>
      </c>
      <c r="C25" s="214">
        <v>1</v>
      </c>
      <c r="D25" s="404" t="str">
        <f>IF(C25&lt;0.4*C24,"FAIL, see T3.4.4","")</f>
        <v/>
      </c>
      <c r="E25" s="214">
        <v>1</v>
      </c>
      <c r="F25" s="404" t="str">
        <f>IF(E25&lt;0.4*E24,"FAIL, see T3.4.4","")</f>
        <v/>
      </c>
      <c r="G25" s="214">
        <v>1</v>
      </c>
      <c r="H25" s="404" t="str">
        <f>IF(G25&lt;0.4*G24,"FAIL, see T3.4.4","")</f>
        <v/>
      </c>
      <c r="I25" s="214">
        <v>1</v>
      </c>
      <c r="J25" s="404" t="str">
        <f>IF(I25&lt;0.4*I24,"FAIL, see T3.4.4","")</f>
        <v/>
      </c>
      <c r="K25" s="214">
        <v>1</v>
      </c>
      <c r="L25" s="405" t="str">
        <f>IF(K25&lt;0.4*K24,"FAIL, see T3.4.4","")</f>
        <v/>
      </c>
      <c r="M25" s="64" t="s">
        <v>745</v>
      </c>
      <c r="N25" s="64"/>
      <c r="O25" s="64"/>
      <c r="P25" s="64"/>
      <c r="Q25" s="64"/>
      <c r="R25" s="64"/>
      <c r="S25" s="64"/>
      <c r="T25" s="64"/>
      <c r="U25" s="64"/>
      <c r="V25" s="64"/>
      <c r="W25" s="64"/>
      <c r="X25" s="64"/>
      <c r="Y25" s="64"/>
      <c r="Z25" s="64"/>
      <c r="AA25" s="64"/>
      <c r="AB25" s="64"/>
      <c r="AC25" s="64"/>
      <c r="AD25" s="64"/>
      <c r="AE25" s="96"/>
    </row>
    <row r="26" spans="1:31" ht="12.75" customHeight="1">
      <c r="B26" s="243" t="s">
        <v>746</v>
      </c>
      <c r="C26" s="403" t="e">
        <f ca="1">((C16*C24)+(C17*C25))*C23*0.001</f>
        <v>#NAME?</v>
      </c>
      <c r="D26" s="397" t="e">
        <f t="shared" ref="D26:D28" ca="1" si="0">IF(C26&gt;=30,"PASS","FAIL")</f>
        <v>#NAME?</v>
      </c>
      <c r="E26" s="403" t="e">
        <f ca="1">((E16*E24)+(E17*E25))*E23*0.001</f>
        <v>#NAME?</v>
      </c>
      <c r="F26" s="391" t="e">
        <f t="shared" ref="F26:F28" ca="1" si="1">IF(E26&gt;=30,"PASS","FAIL")</f>
        <v>#NAME?</v>
      </c>
      <c r="G26" s="403" t="e">
        <f ca="1">((G16*G24)+(G17*G25))*G23*0.001</f>
        <v>#NAME?</v>
      </c>
      <c r="H26" s="391" t="e">
        <f t="shared" ref="H26:H28" ca="1" si="2">IF(G26&gt;=30,"PASS","FAIL")</f>
        <v>#NAME?</v>
      </c>
      <c r="I26" s="403" t="e">
        <f ca="1">((I16*I24)+(I17*I25))*I23*0.001</f>
        <v>#NAME?</v>
      </c>
      <c r="J26" s="391" t="e">
        <f t="shared" ref="J26:J28" ca="1" si="3">IF(I26&gt;=30,"PASS","FAIL")</f>
        <v>#NAME?</v>
      </c>
      <c r="K26" s="403" t="e">
        <f ca="1">((K16*K24)+(K17*K25))*K23*0.001</f>
        <v>#NAME?</v>
      </c>
      <c r="L26" s="391" t="e">
        <f t="shared" ref="L26:L28" ca="1" si="4">IF(K26&gt;=30,"PASS","FAIL")</f>
        <v>#NAME?</v>
      </c>
      <c r="M26" s="64"/>
      <c r="N26" s="64"/>
      <c r="O26" s="64"/>
      <c r="P26" s="64"/>
      <c r="Q26" s="64"/>
      <c r="R26" s="64"/>
      <c r="S26" s="64"/>
      <c r="T26" s="64"/>
      <c r="U26" s="64"/>
      <c r="V26" s="64"/>
      <c r="W26" s="64"/>
      <c r="X26" s="64"/>
      <c r="Y26" s="64"/>
      <c r="Z26" s="64"/>
      <c r="AA26" s="64"/>
      <c r="AB26" s="64"/>
      <c r="AC26" s="64"/>
      <c r="AD26" s="64"/>
      <c r="AE26" s="96"/>
    </row>
    <row r="27" spans="1:31" ht="12.75" customHeight="1">
      <c r="B27" s="243" t="s">
        <v>746</v>
      </c>
      <c r="C27" s="403" t="e">
        <f ca="1">((C24*C17)+(C25*C19))*C23*0.001</f>
        <v>#NAME?</v>
      </c>
      <c r="D27" s="397" t="e">
        <f t="shared" ca="1" si="0"/>
        <v>#NAME?</v>
      </c>
      <c r="E27" s="403" t="e">
        <f ca="1">((E24*E17)+(E25*E19))*E23*0.001</f>
        <v>#NAME?</v>
      </c>
      <c r="F27" s="391" t="e">
        <f t="shared" ca="1" si="1"/>
        <v>#NAME?</v>
      </c>
      <c r="G27" s="403" t="e">
        <f ca="1">((G24*G17)+(G25*G19))*G23*0.001</f>
        <v>#NAME?</v>
      </c>
      <c r="H27" s="391" t="e">
        <f t="shared" ca="1" si="2"/>
        <v>#NAME?</v>
      </c>
      <c r="I27" s="403" t="e">
        <f ca="1">((I24*I17)+(I25*I19))*I23*0.001</f>
        <v>#NAME?</v>
      </c>
      <c r="J27" s="391" t="e">
        <f t="shared" ca="1" si="3"/>
        <v>#NAME?</v>
      </c>
      <c r="K27" s="403" t="e">
        <f ca="1">((K24*K17)+(K25*K19))*K23*0.001</f>
        <v>#NAME?</v>
      </c>
      <c r="L27" s="391" t="e">
        <f t="shared" ca="1" si="4"/>
        <v>#NAME?</v>
      </c>
      <c r="M27" s="64"/>
      <c r="N27" s="64"/>
      <c r="O27" s="64"/>
      <c r="P27" s="64"/>
      <c r="Q27" s="64"/>
      <c r="R27" s="64"/>
      <c r="S27" s="64"/>
      <c r="T27" s="64"/>
      <c r="U27" s="64"/>
      <c r="V27" s="64"/>
      <c r="W27" s="64"/>
      <c r="X27" s="64"/>
      <c r="Y27" s="64"/>
      <c r="Z27" s="64"/>
      <c r="AA27" s="64"/>
      <c r="AB27" s="64"/>
      <c r="AC27" s="64"/>
      <c r="AD27" s="64"/>
      <c r="AE27" s="96"/>
    </row>
    <row r="28" spans="1:31" ht="12.75" customHeight="1">
      <c r="B28" s="224" t="s">
        <v>747</v>
      </c>
      <c r="C28" s="409" t="e">
        <f ca="1">C23*2*C20*(C24+C25)*0.001</f>
        <v>#NAME?</v>
      </c>
      <c r="D28" s="393" t="e">
        <f t="shared" ca="1" si="0"/>
        <v>#NAME?</v>
      </c>
      <c r="E28" s="409" t="e">
        <f ca="1">E23*2*E20*(E24+E25)*0.001</f>
        <v>#NAME?</v>
      </c>
      <c r="F28" s="395" t="e">
        <f t="shared" ca="1" si="1"/>
        <v>#NAME?</v>
      </c>
      <c r="G28" s="409" t="e">
        <f ca="1">G23*2*G20*(G24+G25)*0.001</f>
        <v>#NAME?</v>
      </c>
      <c r="H28" s="395" t="e">
        <f t="shared" ca="1" si="2"/>
        <v>#NAME?</v>
      </c>
      <c r="I28" s="409" t="e">
        <f ca="1">I23*2*I20*(I24+I25)*0.001</f>
        <v>#NAME?</v>
      </c>
      <c r="J28" s="395" t="e">
        <f t="shared" ca="1" si="3"/>
        <v>#NAME?</v>
      </c>
      <c r="K28" s="409" t="e">
        <f ca="1">K23*2*K20*(K24+K25)*0.001</f>
        <v>#NAME?</v>
      </c>
      <c r="L28" s="395" t="e">
        <f t="shared" ca="1" si="4"/>
        <v>#NAME?</v>
      </c>
      <c r="M28" s="64"/>
      <c r="N28" s="64"/>
      <c r="O28" s="64"/>
      <c r="P28" s="64"/>
      <c r="Q28" s="64"/>
      <c r="R28" s="64"/>
      <c r="S28" s="64"/>
      <c r="T28" s="64"/>
      <c r="U28" s="64"/>
      <c r="V28" s="64"/>
      <c r="W28" s="64"/>
      <c r="X28" s="64"/>
      <c r="Y28" s="64"/>
      <c r="Z28" s="64"/>
      <c r="AA28" s="64"/>
      <c r="AB28" s="64"/>
      <c r="AC28" s="64"/>
      <c r="AD28" s="64"/>
      <c r="AE28" s="96"/>
    </row>
    <row r="29" spans="1:31" ht="12.75" customHeight="1">
      <c r="B29" s="720" t="s">
        <v>753</v>
      </c>
      <c r="C29" s="595"/>
      <c r="D29" s="595"/>
      <c r="E29" s="595"/>
      <c r="F29" s="595"/>
      <c r="G29" s="595"/>
      <c r="H29" s="595"/>
      <c r="I29" s="595"/>
      <c r="J29" s="595"/>
      <c r="K29" s="595"/>
      <c r="L29" s="596"/>
      <c r="M29" s="64"/>
      <c r="N29" s="64"/>
      <c r="O29" s="64"/>
      <c r="P29" s="64"/>
      <c r="Q29" s="64"/>
      <c r="R29" s="64"/>
      <c r="S29" s="64"/>
      <c r="T29" s="64"/>
      <c r="U29" s="64"/>
      <c r="V29" s="64"/>
      <c r="W29" s="64"/>
      <c r="X29" s="64"/>
      <c r="Y29" s="64"/>
      <c r="Z29" s="64"/>
      <c r="AA29" s="64"/>
      <c r="AB29" s="64"/>
      <c r="AC29" s="64"/>
      <c r="AD29" s="64"/>
      <c r="AE29" s="96"/>
    </row>
    <row r="30" spans="1:31" ht="12.75" customHeight="1">
      <c r="B30" s="597"/>
      <c r="C30" s="598"/>
      <c r="D30" s="598"/>
      <c r="E30" s="598"/>
      <c r="F30" s="598"/>
      <c r="G30" s="598"/>
      <c r="H30" s="598"/>
      <c r="I30" s="598"/>
      <c r="J30" s="598"/>
      <c r="K30" s="598"/>
      <c r="L30" s="599"/>
      <c r="M30" s="64"/>
      <c r="N30" s="64"/>
      <c r="O30" s="64"/>
      <c r="P30" s="64"/>
      <c r="Q30" s="64"/>
      <c r="R30" s="64"/>
      <c r="S30" s="64"/>
      <c r="T30" s="64"/>
      <c r="U30" s="64"/>
      <c r="V30" s="64"/>
      <c r="W30" s="64"/>
      <c r="X30" s="64"/>
      <c r="Y30" s="64"/>
      <c r="Z30" s="64"/>
      <c r="AA30" s="64"/>
      <c r="AB30" s="64"/>
      <c r="AC30" s="64"/>
      <c r="AD30" s="64"/>
      <c r="AE30" s="96"/>
    </row>
    <row r="31" spans="1:31" ht="12.75" customHeight="1">
      <c r="B31" s="600"/>
      <c r="C31" s="601"/>
      <c r="D31" s="601"/>
      <c r="E31" s="601"/>
      <c r="F31" s="601"/>
      <c r="G31" s="601"/>
      <c r="H31" s="601"/>
      <c r="I31" s="601"/>
      <c r="J31" s="601"/>
      <c r="K31" s="601"/>
      <c r="L31" s="602"/>
      <c r="M31" s="64"/>
      <c r="N31" s="64"/>
      <c r="O31" s="64"/>
      <c r="P31" s="64"/>
      <c r="Q31" s="64"/>
      <c r="R31" s="64"/>
      <c r="S31" s="64"/>
      <c r="T31" s="64"/>
      <c r="U31" s="64"/>
      <c r="V31" s="64"/>
      <c r="W31" s="64"/>
      <c r="X31" s="64"/>
      <c r="Y31" s="64"/>
      <c r="Z31" s="64"/>
      <c r="AA31" s="64"/>
      <c r="AB31" s="64"/>
      <c r="AC31" s="64"/>
      <c r="AD31" s="64"/>
      <c r="AE31" s="96"/>
    </row>
    <row r="32" spans="1:31" ht="12.75" customHeight="1">
      <c r="A32" s="34"/>
      <c r="B32" s="724" t="s">
        <v>754</v>
      </c>
      <c r="C32" s="598"/>
      <c r="D32" s="598"/>
      <c r="E32" s="598"/>
      <c r="F32" s="598"/>
      <c r="G32" s="598"/>
      <c r="H32" s="598"/>
      <c r="I32" s="598"/>
      <c r="J32" s="598"/>
      <c r="K32" s="598"/>
      <c r="L32" s="599"/>
      <c r="M32" s="64"/>
      <c r="N32" s="64"/>
      <c r="O32" s="64"/>
      <c r="P32" s="64"/>
      <c r="Q32" s="64"/>
      <c r="R32" s="64"/>
      <c r="S32" s="64"/>
      <c r="T32" s="64"/>
      <c r="U32" s="64"/>
      <c r="V32" s="64"/>
      <c r="W32" s="64"/>
      <c r="X32" s="64"/>
      <c r="Y32" s="64"/>
      <c r="Z32" s="64"/>
      <c r="AA32" s="64"/>
      <c r="AB32" s="64"/>
      <c r="AC32" s="64"/>
      <c r="AD32" s="64"/>
      <c r="AE32" s="96"/>
    </row>
    <row r="33" spans="1:31" ht="12.75" customHeight="1">
      <c r="A33" s="34"/>
      <c r="B33" s="600"/>
      <c r="C33" s="601"/>
      <c r="D33" s="601"/>
      <c r="E33" s="601"/>
      <c r="F33" s="601"/>
      <c r="G33" s="601"/>
      <c r="H33" s="601"/>
      <c r="I33" s="601"/>
      <c r="J33" s="601"/>
      <c r="K33" s="601"/>
      <c r="L33" s="602"/>
      <c r="M33" s="64"/>
      <c r="N33" s="64"/>
      <c r="O33" s="64"/>
      <c r="P33" s="64"/>
      <c r="Q33" s="64"/>
      <c r="R33" s="64"/>
      <c r="S33" s="64"/>
      <c r="T33" s="64"/>
      <c r="U33" s="64"/>
      <c r="V33" s="64"/>
      <c r="W33" s="64"/>
      <c r="X33" s="64"/>
      <c r="Y33" s="64"/>
      <c r="Z33" s="64"/>
      <c r="AA33" s="64"/>
      <c r="AB33" s="64"/>
      <c r="AC33" s="64"/>
      <c r="AD33" s="64"/>
      <c r="AE33" s="96"/>
    </row>
    <row r="34" spans="1:31" ht="12.75" customHeight="1">
      <c r="A34" s="34"/>
      <c r="B34" s="222" t="s">
        <v>749</v>
      </c>
      <c r="C34" s="414"/>
      <c r="D34" s="414"/>
      <c r="E34" s="414"/>
      <c r="F34" s="414"/>
      <c r="G34" s="414"/>
      <c r="H34" s="414"/>
      <c r="I34" s="414"/>
      <c r="J34" s="414"/>
      <c r="K34" s="414"/>
      <c r="L34" s="414"/>
      <c r="M34" s="64"/>
      <c r="N34" s="64"/>
      <c r="O34" s="64"/>
      <c r="P34" s="64"/>
      <c r="Q34" s="64"/>
      <c r="R34" s="64"/>
      <c r="S34" s="64"/>
      <c r="T34" s="64"/>
      <c r="U34" s="64"/>
      <c r="V34" s="64"/>
      <c r="W34" s="64"/>
      <c r="X34" s="64"/>
      <c r="Y34" s="64"/>
      <c r="Z34" s="64"/>
      <c r="AA34" s="64"/>
      <c r="AB34" s="64"/>
      <c r="AC34" s="64"/>
      <c r="AD34" s="64"/>
      <c r="AE34" s="96"/>
    </row>
    <row r="35" spans="1:31" ht="12.75" customHeight="1">
      <c r="A35" s="34"/>
      <c r="B35" s="222" t="s">
        <v>755</v>
      </c>
      <c r="C35" s="414"/>
      <c r="D35" s="414"/>
      <c r="E35" s="414"/>
      <c r="F35" s="414"/>
      <c r="G35" s="414"/>
      <c r="H35" s="414"/>
      <c r="I35" s="414"/>
      <c r="J35" s="414"/>
      <c r="K35" s="414"/>
      <c r="L35" s="414"/>
      <c r="M35" s="64"/>
      <c r="N35" s="64"/>
      <c r="O35" s="64"/>
      <c r="P35" s="64"/>
      <c r="Q35" s="64"/>
      <c r="R35" s="64"/>
      <c r="S35" s="64"/>
      <c r="T35" s="64"/>
      <c r="U35" s="64"/>
      <c r="V35" s="64"/>
      <c r="W35" s="64"/>
      <c r="X35" s="64"/>
      <c r="Y35" s="64"/>
      <c r="Z35" s="64"/>
      <c r="AA35" s="64"/>
      <c r="AB35" s="64"/>
      <c r="AC35" s="64"/>
      <c r="AD35" s="64"/>
      <c r="AE35" s="96"/>
    </row>
    <row r="36" spans="1:31" ht="12.75" customHeight="1">
      <c r="A36" s="34"/>
      <c r="B36" s="95"/>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96"/>
    </row>
    <row r="37" spans="1:31" ht="12.75" customHeight="1">
      <c r="A37" s="34"/>
      <c r="B37" s="222"/>
      <c r="C37" s="64"/>
      <c r="D37" s="64"/>
      <c r="E37" s="64"/>
      <c r="F37" s="64"/>
      <c r="G37" s="64"/>
      <c r="H37" s="64"/>
      <c r="I37" s="64"/>
      <c r="J37" s="64"/>
      <c r="K37" s="64"/>
      <c r="L37" s="64"/>
      <c r="M37" s="64"/>
      <c r="N37" s="64"/>
      <c r="O37" s="65"/>
      <c r="P37" s="64"/>
      <c r="Q37" s="64"/>
      <c r="R37" s="64"/>
      <c r="S37" s="64"/>
      <c r="T37" s="64"/>
      <c r="U37" s="64"/>
      <c r="V37" s="64"/>
      <c r="W37" s="64"/>
      <c r="X37" s="64"/>
      <c r="Y37" s="64"/>
      <c r="Z37" s="64"/>
      <c r="AA37" s="64"/>
      <c r="AB37" s="64"/>
      <c r="AC37" s="64"/>
      <c r="AD37" s="64"/>
      <c r="AE37" s="96"/>
    </row>
    <row r="38" spans="1:31" ht="12.75" customHeight="1">
      <c r="A38" s="34"/>
      <c r="B38" s="222"/>
      <c r="C38" s="64"/>
      <c r="D38" s="64"/>
      <c r="E38" s="64"/>
      <c r="F38" s="64"/>
      <c r="G38" s="64"/>
      <c r="H38" s="64"/>
      <c r="I38" s="64"/>
      <c r="J38" s="64"/>
      <c r="K38" s="64"/>
      <c r="L38" s="64"/>
      <c r="M38" s="64"/>
      <c r="N38" s="415"/>
      <c r="O38" s="64"/>
      <c r="P38" s="64"/>
      <c r="Q38" s="64"/>
      <c r="R38" s="64"/>
      <c r="S38" s="64"/>
      <c r="T38" s="64"/>
      <c r="U38" s="64"/>
      <c r="V38" s="64"/>
      <c r="W38" s="64"/>
      <c r="X38" s="64"/>
      <c r="Y38" s="64"/>
      <c r="Z38" s="64"/>
      <c r="AA38" s="64"/>
      <c r="AB38" s="64"/>
      <c r="AC38" s="64"/>
      <c r="AD38" s="64"/>
      <c r="AE38" s="96"/>
    </row>
    <row r="39" spans="1:31" ht="12.75" customHeight="1">
      <c r="A39" s="34"/>
      <c r="B39" s="95"/>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96"/>
    </row>
    <row r="40" spans="1:31" ht="12.75" customHeight="1">
      <c r="A40" s="34"/>
      <c r="B40" s="95"/>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96"/>
    </row>
    <row r="41" spans="1:31" ht="12.75" customHeight="1">
      <c r="A41" s="34"/>
      <c r="B41" s="95"/>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96"/>
    </row>
    <row r="42" spans="1:31" ht="12.75" customHeight="1">
      <c r="A42" s="34"/>
      <c r="B42" s="95"/>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96"/>
    </row>
    <row r="43" spans="1:31" ht="12.75" customHeight="1">
      <c r="A43" s="34"/>
      <c r="B43" s="95"/>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96"/>
    </row>
    <row r="44" spans="1:31" ht="12.75" customHeight="1">
      <c r="A44" s="34"/>
      <c r="B44" s="95"/>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96"/>
    </row>
    <row r="45" spans="1:31" ht="12.75" customHeight="1">
      <c r="A45" s="34"/>
      <c r="B45" s="9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96"/>
    </row>
    <row r="46" spans="1:31" ht="12.75" customHeight="1">
      <c r="A46" s="34"/>
      <c r="B46" s="95"/>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96"/>
    </row>
    <row r="47" spans="1:31" ht="12.75" customHeight="1">
      <c r="A47" s="34"/>
      <c r="B47" s="95"/>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96"/>
    </row>
    <row r="48" spans="1:31" ht="12.75" customHeight="1">
      <c r="A48" s="34"/>
      <c r="B48" s="95"/>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96"/>
    </row>
    <row r="49" spans="1:31" ht="12.75" customHeight="1">
      <c r="A49" s="34"/>
      <c r="B49" s="95"/>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96"/>
    </row>
    <row r="50" spans="1:31" ht="12.75" customHeight="1">
      <c r="A50" s="34"/>
      <c r="B50" s="95"/>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96"/>
    </row>
    <row r="51" spans="1:31" ht="12.75" customHeight="1">
      <c r="A51" s="34"/>
      <c r="B51" s="95"/>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96"/>
    </row>
    <row r="52" spans="1:31" ht="12.75" customHeight="1">
      <c r="A52" s="34"/>
      <c r="B52" s="95"/>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96"/>
    </row>
    <row r="53" spans="1:31" ht="12.75" customHeight="1">
      <c r="A53" s="34"/>
      <c r="B53" s="95"/>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96"/>
    </row>
    <row r="54" spans="1:31" ht="12.75" customHeight="1">
      <c r="A54" s="34"/>
      <c r="B54" s="95"/>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96"/>
    </row>
    <row r="55" spans="1:31" ht="12.75" customHeight="1">
      <c r="A55" s="34"/>
      <c r="B55" s="95"/>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96"/>
    </row>
    <row r="56" spans="1:31" ht="12.75" customHeight="1">
      <c r="A56" s="34"/>
      <c r="B56" s="95"/>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96"/>
    </row>
    <row r="57" spans="1:31" ht="12.75" customHeight="1">
      <c r="A57" s="34"/>
      <c r="B57" s="95"/>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96"/>
    </row>
    <row r="58" spans="1:31" ht="12.75" customHeight="1">
      <c r="A58" s="34"/>
      <c r="B58" s="95"/>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96"/>
    </row>
    <row r="59" spans="1:31" ht="12.75" customHeight="1">
      <c r="A59" s="34"/>
      <c r="B59" s="95"/>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96"/>
    </row>
    <row r="60" spans="1:31" ht="12.75" customHeight="1">
      <c r="A60" s="34"/>
      <c r="B60" s="95"/>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96"/>
    </row>
    <row r="61" spans="1:31" ht="12.75" customHeight="1">
      <c r="A61" s="34"/>
      <c r="B61" s="95"/>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96"/>
    </row>
    <row r="62" spans="1:31" ht="12.75" customHeight="1">
      <c r="A62" s="34"/>
      <c r="B62" s="95"/>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96"/>
    </row>
    <row r="63" spans="1:31" ht="12.75" customHeight="1">
      <c r="A63" s="34"/>
      <c r="B63" s="95"/>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96"/>
    </row>
    <row r="64" spans="1:31" ht="12.75" customHeight="1">
      <c r="A64" s="34"/>
      <c r="B64" s="95"/>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96"/>
    </row>
    <row r="65" spans="1:31" ht="12.75" customHeight="1">
      <c r="A65" s="34"/>
      <c r="B65" s="95"/>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96"/>
    </row>
    <row r="66" spans="1:31" ht="12.75" customHeight="1">
      <c r="A66" s="34"/>
      <c r="B66" s="95"/>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96"/>
    </row>
    <row r="67" spans="1:31" ht="12.75" customHeight="1">
      <c r="A67" s="34"/>
      <c r="B67" s="95"/>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96"/>
    </row>
    <row r="68" spans="1:31" ht="12.75" customHeight="1">
      <c r="A68" s="34"/>
      <c r="B68" s="95"/>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96"/>
    </row>
    <row r="69" spans="1:31" ht="12.75" customHeight="1">
      <c r="A69" s="34"/>
      <c r="B69" s="95"/>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96"/>
    </row>
    <row r="70" spans="1:31" ht="12.75" customHeight="1">
      <c r="A70" s="34"/>
      <c r="B70" s="95"/>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96"/>
    </row>
    <row r="71" spans="1:31" ht="12.75" customHeight="1">
      <c r="A71" s="34"/>
      <c r="B71" s="95"/>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96"/>
    </row>
    <row r="72" spans="1:31" ht="12.75" customHeight="1">
      <c r="A72" s="34"/>
      <c r="B72" s="95"/>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96"/>
    </row>
    <row r="73" spans="1:31" ht="12.75" customHeight="1">
      <c r="A73" s="34"/>
      <c r="B73" s="95"/>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96"/>
    </row>
    <row r="74" spans="1:31" ht="12.75" customHeight="1">
      <c r="A74" s="34"/>
      <c r="B74" s="95"/>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96"/>
    </row>
    <row r="75" spans="1:31" ht="12.75" customHeight="1">
      <c r="A75" s="34"/>
      <c r="B75" s="95"/>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96"/>
    </row>
    <row r="76" spans="1:31" ht="12.75" customHeight="1">
      <c r="A76" s="34"/>
      <c r="B76" s="95"/>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96"/>
    </row>
    <row r="77" spans="1:31" ht="12.75" customHeight="1">
      <c r="A77" s="34"/>
      <c r="B77" s="95"/>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96"/>
    </row>
    <row r="78" spans="1:31" ht="12.75" customHeight="1">
      <c r="A78" s="34"/>
      <c r="B78" s="95"/>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96"/>
    </row>
    <row r="79" spans="1:31" ht="12.75" customHeight="1">
      <c r="A79" s="34"/>
      <c r="B79" s="95"/>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96"/>
    </row>
    <row r="80" spans="1:31" ht="12.75" customHeight="1">
      <c r="A80" s="34"/>
      <c r="B80" s="95"/>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96"/>
    </row>
    <row r="81" spans="1:31" ht="12.75" customHeight="1">
      <c r="A81" s="34"/>
      <c r="B81" s="95"/>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96"/>
    </row>
    <row r="82" spans="1:31" ht="12.75" customHeight="1">
      <c r="A82" s="34"/>
      <c r="B82" s="95"/>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96"/>
    </row>
    <row r="83" spans="1:31" ht="12.75" customHeight="1">
      <c r="A83" s="34"/>
      <c r="B83" s="95"/>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96"/>
    </row>
    <row r="84" spans="1:31" ht="12.75" customHeight="1">
      <c r="A84" s="34"/>
      <c r="B84" s="95"/>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96"/>
    </row>
    <row r="85" spans="1:31" ht="12.75" customHeight="1">
      <c r="A85" s="34"/>
      <c r="B85" s="95"/>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96"/>
    </row>
    <row r="86" spans="1:31" ht="12.75" customHeight="1">
      <c r="A86" s="34"/>
      <c r="B86" s="95"/>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96"/>
    </row>
    <row r="87" spans="1:31" ht="12.75" customHeight="1">
      <c r="A87" s="34"/>
      <c r="B87" s="95"/>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96"/>
    </row>
    <row r="88" spans="1:31" ht="12.75" customHeight="1">
      <c r="A88" s="34"/>
      <c r="B88" s="95"/>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96"/>
    </row>
    <row r="89" spans="1:31" ht="12.75" customHeight="1">
      <c r="A89" s="34"/>
      <c r="B89" s="95"/>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96"/>
    </row>
    <row r="90" spans="1:31" ht="12.75" customHeight="1">
      <c r="A90" s="34"/>
      <c r="B90" s="95"/>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96"/>
    </row>
    <row r="91" spans="1:31" ht="12.75" customHeight="1">
      <c r="A91" s="34"/>
      <c r="B91" s="95"/>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96"/>
    </row>
    <row r="92" spans="1:31" ht="12.75" customHeight="1">
      <c r="A92" s="34"/>
      <c r="B92" s="95"/>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96"/>
    </row>
    <row r="93" spans="1:31" ht="12.75" customHeight="1">
      <c r="A93" s="34"/>
      <c r="B93" s="95"/>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96"/>
    </row>
    <row r="94" spans="1:31" ht="12.75" customHeight="1">
      <c r="A94" s="34"/>
      <c r="B94" s="95"/>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96"/>
    </row>
    <row r="95" spans="1:31" ht="12.75" customHeight="1">
      <c r="A95" s="34"/>
      <c r="B95" s="95"/>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96"/>
    </row>
    <row r="96" spans="1:31" ht="12.75" customHeight="1">
      <c r="A96" s="34"/>
      <c r="B96" s="95"/>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96"/>
    </row>
    <row r="97" spans="1:31" ht="12.75" customHeight="1">
      <c r="A97" s="34"/>
      <c r="B97" s="95"/>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96"/>
    </row>
    <row r="98" spans="1:31" ht="12.75" customHeight="1">
      <c r="A98" s="34"/>
      <c r="B98" s="95"/>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96"/>
    </row>
    <row r="99" spans="1:31" ht="12.75" customHeight="1">
      <c r="A99" s="34"/>
      <c r="B99" s="95"/>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96"/>
    </row>
    <row r="100" spans="1:31" ht="12.75" customHeight="1">
      <c r="A100" s="34"/>
      <c r="B100" s="100"/>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50"/>
    </row>
    <row r="101" spans="1:31"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row>
    <row r="102" spans="1:31"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row>
    <row r="103" spans="1:31"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row>
    <row r="104" spans="1:31"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row>
    <row r="105" spans="1:31"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row>
    <row r="106" spans="1:31"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row>
    <row r="107" spans="1:31"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row>
    <row r="108" spans="1:31"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row>
    <row r="109" spans="1:31"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row>
    <row r="110" spans="1:31"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row>
    <row r="111" spans="1:31"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row>
    <row r="112" spans="1:31"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row>
    <row r="113" spans="1:31"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row>
    <row r="114" spans="1:31"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row>
    <row r="115" spans="1:31"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row>
    <row r="116" spans="1:31"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row>
    <row r="117" spans="1:3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row>
    <row r="118" spans="1:3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row>
    <row r="119" spans="1:3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row>
    <row r="120" spans="1:3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row>
    <row r="121" spans="1:3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row>
    <row r="122" spans="1:3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row>
    <row r="123" spans="1:3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row>
    <row r="124" spans="1:3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row>
    <row r="125" spans="1:3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row>
    <row r="126" spans="1:3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row>
    <row r="127" spans="1:3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row>
    <row r="128" spans="1:3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row>
    <row r="129" spans="1:3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row>
    <row r="130" spans="1:3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row>
    <row r="131" spans="1:3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row>
    <row r="132" spans="1:3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row>
    <row r="133" spans="1:3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row>
    <row r="134" spans="1:3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row>
    <row r="135" spans="1:3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row>
    <row r="136" spans="1:3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row>
    <row r="137" spans="1:3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row>
    <row r="138" spans="1:3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row>
    <row r="139" spans="1:3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row>
    <row r="140" spans="1:3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row>
    <row r="141" spans="1:3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row>
    <row r="142" spans="1:3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row>
    <row r="143" spans="1:3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row>
    <row r="144" spans="1:3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row>
    <row r="145" spans="1:3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row>
    <row r="146" spans="1:3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row>
    <row r="147" spans="1:3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row>
    <row r="148" spans="1:3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row>
    <row r="149" spans="1:3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row>
    <row r="150" spans="1:3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row>
    <row r="151" spans="1:3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row>
    <row r="152" spans="1:3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row>
    <row r="153" spans="1:3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row>
    <row r="154" spans="1:3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row>
    <row r="155" spans="1:3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row>
    <row r="156" spans="1:3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row>
    <row r="157" spans="1:3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row>
    <row r="158" spans="1:3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row>
    <row r="159" spans="1:3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row>
    <row r="160" spans="1:3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row>
    <row r="161" spans="1:3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row>
    <row r="162" spans="1:3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row>
    <row r="163" spans="1:3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row>
    <row r="164" spans="1:3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row>
    <row r="165" spans="1:3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row>
    <row r="166" spans="1:3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row>
    <row r="167" spans="1:3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row>
    <row r="168" spans="1:3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row>
    <row r="169" spans="1:3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row>
    <row r="170" spans="1:3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row>
    <row r="171" spans="1:3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row>
    <row r="172" spans="1:3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row>
    <row r="173" spans="1:3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row>
    <row r="174" spans="1:3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row>
    <row r="175" spans="1:3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row>
    <row r="176" spans="1:3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row>
    <row r="177" spans="1:3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row>
    <row r="178" spans="1:3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row>
    <row r="179" spans="1:3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row>
    <row r="180" spans="1:3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row>
    <row r="181" spans="1:3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row>
    <row r="182" spans="1:3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row>
    <row r="183" spans="1:3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row>
    <row r="184" spans="1:3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row>
    <row r="185" spans="1:3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row>
    <row r="186" spans="1:3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row>
    <row r="187" spans="1:3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row>
    <row r="188" spans="1:3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row>
    <row r="189" spans="1:3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row>
    <row r="190" spans="1:3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row>
    <row r="191" spans="1:3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row>
    <row r="192" spans="1:3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row>
    <row r="193" spans="1:3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row>
    <row r="194" spans="1:3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row>
    <row r="195" spans="1:3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row>
    <row r="196" spans="1:3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row>
    <row r="197" spans="1:3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row>
    <row r="198" spans="1:3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row>
    <row r="199" spans="1:3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row>
    <row r="200" spans="1:3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row>
    <row r="201" spans="1:3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row>
    <row r="202" spans="1:3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row>
    <row r="203" spans="1:3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row>
    <row r="204" spans="1:3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row>
    <row r="205" spans="1:3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row>
    <row r="206" spans="1:3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row>
    <row r="207" spans="1:3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row>
    <row r="208" spans="1:3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row>
    <row r="209" spans="1:3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row>
    <row r="210" spans="1:3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row>
    <row r="211" spans="1:3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row>
    <row r="212" spans="1:3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row>
    <row r="213" spans="1:3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row>
    <row r="214" spans="1:3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row>
    <row r="215" spans="1:3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row>
    <row r="216" spans="1:3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row>
    <row r="217" spans="1:3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row>
    <row r="218" spans="1:3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row>
    <row r="219" spans="1:3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row>
    <row r="220" spans="1:3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row>
    <row r="221" spans="1:3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row>
    <row r="222" spans="1:3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row>
    <row r="223" spans="1:3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row>
    <row r="224" spans="1:3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row>
    <row r="225" spans="1:3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row>
    <row r="226" spans="1:3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row>
    <row r="227" spans="1:3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row>
    <row r="228" spans="1:3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row>
    <row r="229" spans="1:3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row>
    <row r="230" spans="1:3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row>
    <row r="231" spans="1:3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row>
    <row r="232" spans="1:3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row>
    <row r="233" spans="1:3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row>
    <row r="234" spans="1:3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row>
    <row r="235" spans="1:3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row>
    <row r="236" spans="1:3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row>
    <row r="237" spans="1:3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row>
    <row r="238" spans="1:3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row>
    <row r="239" spans="1:3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row>
    <row r="240" spans="1:3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row>
    <row r="241" spans="1:3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row>
    <row r="242" spans="1:3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row>
    <row r="243" spans="1:3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row>
    <row r="244" spans="1:3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row>
    <row r="245" spans="1:3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row>
    <row r="246" spans="1:3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row>
    <row r="247" spans="1:3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row>
    <row r="248" spans="1:3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row>
    <row r="249" spans="1:3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row>
    <row r="250" spans="1:3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row>
    <row r="251" spans="1:3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row>
    <row r="252" spans="1:3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row>
    <row r="253" spans="1:3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row>
    <row r="254" spans="1:3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row>
    <row r="255" spans="1:3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row>
    <row r="256" spans="1:3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row>
    <row r="257" spans="1:3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row>
    <row r="258" spans="1:3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row>
    <row r="259" spans="1:3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row>
    <row r="260" spans="1:3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row>
    <row r="261" spans="1:3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row>
    <row r="262" spans="1:3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row>
    <row r="263" spans="1:3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row>
    <row r="264" spans="1:3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row>
    <row r="265" spans="1:3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row>
    <row r="266" spans="1:3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row>
    <row r="267" spans="1:3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row>
    <row r="268" spans="1:3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row>
    <row r="269" spans="1:3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row>
    <row r="270" spans="1:3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row>
    <row r="271" spans="1:3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row>
    <row r="272" spans="1:3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row>
    <row r="273" spans="1:3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row>
    <row r="274" spans="1:3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row>
    <row r="275" spans="1:3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row>
    <row r="276" spans="1:3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row>
    <row r="277" spans="1:3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row>
    <row r="278" spans="1:3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row>
    <row r="279" spans="1:3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row>
    <row r="280" spans="1:3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row>
    <row r="281" spans="1:3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row>
    <row r="282" spans="1:3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row>
    <row r="283" spans="1:3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row>
    <row r="284" spans="1:3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row>
    <row r="285" spans="1:3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row>
    <row r="286" spans="1:3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row>
    <row r="287" spans="1:3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row>
    <row r="288" spans="1:3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row>
    <row r="289" spans="1:3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row>
    <row r="290" spans="1:3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row>
    <row r="291" spans="1:3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row>
    <row r="292" spans="1:3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row>
    <row r="293" spans="1:3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row>
    <row r="294" spans="1:3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row>
    <row r="295" spans="1:3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row>
    <row r="296" spans="1:3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row>
    <row r="297" spans="1:3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row>
    <row r="298" spans="1:3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row>
    <row r="299" spans="1:3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row>
    <row r="300" spans="1:3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row>
    <row r="301" spans="1:3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row>
    <row r="302" spans="1:3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row>
    <row r="303" spans="1:3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row>
    <row r="304" spans="1:3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row>
    <row r="305" spans="1:3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row>
    <row r="306" spans="1:3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row>
    <row r="307" spans="1:3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row>
    <row r="308" spans="1:3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row>
    <row r="309" spans="1:3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row>
    <row r="310" spans="1:3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row>
    <row r="311" spans="1:3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row>
    <row r="312" spans="1:3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row>
    <row r="313" spans="1:3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row>
    <row r="314" spans="1:3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row>
    <row r="315" spans="1:3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row>
    <row r="316" spans="1:3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row>
    <row r="317" spans="1:3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row>
    <row r="318" spans="1:3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row>
    <row r="319" spans="1:3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row>
    <row r="320" spans="1:3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row>
    <row r="321" spans="1:3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row>
    <row r="322" spans="1:3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row>
    <row r="323" spans="1:3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row>
    <row r="324" spans="1:3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row>
    <row r="325" spans="1:3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row>
    <row r="326" spans="1:3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row>
    <row r="327" spans="1:3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row>
    <row r="328" spans="1:3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row>
    <row r="329" spans="1:3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row>
    <row r="330" spans="1:3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row>
    <row r="331" spans="1:3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row>
    <row r="332" spans="1:3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row>
    <row r="333" spans="1:3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row>
    <row r="334" spans="1:3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row>
    <row r="335" spans="1:3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row>
    <row r="336" spans="1:3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row>
    <row r="337" spans="1:3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row>
    <row r="338" spans="1:3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row>
    <row r="339" spans="1:3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row>
    <row r="340" spans="1:3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row>
    <row r="341" spans="1:3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row>
    <row r="342" spans="1:3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row>
    <row r="343" spans="1:3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row>
    <row r="344" spans="1:3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row>
    <row r="345" spans="1:3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row>
    <row r="346" spans="1:3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row>
    <row r="347" spans="1:3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row>
    <row r="348" spans="1:3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row>
    <row r="349" spans="1:3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row>
    <row r="350" spans="1:3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row>
    <row r="351" spans="1:3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row>
    <row r="352" spans="1:3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row>
    <row r="353" spans="1:3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row>
    <row r="354" spans="1:3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row>
    <row r="355" spans="1:3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row>
    <row r="356" spans="1:3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row>
    <row r="357" spans="1:3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row>
    <row r="358" spans="1:3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row>
    <row r="359" spans="1:3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row>
    <row r="360" spans="1:3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row>
    <row r="361" spans="1:3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row>
    <row r="362" spans="1:3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row>
    <row r="363" spans="1:3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row>
    <row r="364" spans="1:3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row>
    <row r="365" spans="1:3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row>
    <row r="366" spans="1:3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row>
    <row r="367" spans="1:3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row>
    <row r="368" spans="1:3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row>
    <row r="369" spans="1:3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row>
    <row r="370" spans="1:3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row>
    <row r="371" spans="1:3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row>
    <row r="372" spans="1:3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row>
    <row r="373" spans="1:3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row>
    <row r="374" spans="1:3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row>
    <row r="375" spans="1:3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row>
    <row r="376" spans="1:3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row>
    <row r="377" spans="1:3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row>
    <row r="378" spans="1:3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row>
    <row r="379" spans="1:3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row>
    <row r="380" spans="1:3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row>
    <row r="381" spans="1:3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row>
    <row r="382" spans="1:3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row>
    <row r="383" spans="1:3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row>
    <row r="384" spans="1:3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row>
    <row r="385" spans="1:3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row>
    <row r="386" spans="1:3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row>
    <row r="387" spans="1:3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row>
    <row r="388" spans="1:3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row>
    <row r="389" spans="1:3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row>
    <row r="390" spans="1:3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row>
    <row r="391" spans="1:3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row>
    <row r="392" spans="1:3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row>
    <row r="393" spans="1:3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row>
    <row r="394" spans="1:3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row>
    <row r="395" spans="1:3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row>
    <row r="396" spans="1:3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row>
    <row r="397" spans="1:3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row>
    <row r="398" spans="1:3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row>
    <row r="399" spans="1:3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row>
    <row r="400" spans="1:3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row>
    <row r="401" spans="1:3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row>
    <row r="402" spans="1:3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row>
    <row r="403" spans="1:3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row>
    <row r="404" spans="1:3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row>
    <row r="405" spans="1:3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row>
    <row r="406" spans="1:3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row>
    <row r="407" spans="1:3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row>
    <row r="408" spans="1:3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row>
    <row r="409" spans="1:3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row>
    <row r="410" spans="1:3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row>
    <row r="411" spans="1:3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row>
    <row r="412" spans="1:3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row>
    <row r="413" spans="1:3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row>
    <row r="414" spans="1:3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row>
    <row r="415" spans="1:3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row>
    <row r="416" spans="1:3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row>
    <row r="417" spans="1:3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row>
    <row r="418" spans="1:3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row>
    <row r="419" spans="1:3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row>
    <row r="420" spans="1:3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row>
    <row r="421" spans="1:3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row>
    <row r="422" spans="1:3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row>
    <row r="423" spans="1:3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row>
    <row r="424" spans="1:3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row>
    <row r="425" spans="1:3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row>
    <row r="426" spans="1:3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row>
    <row r="427" spans="1:3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row>
    <row r="428" spans="1:3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row>
    <row r="429" spans="1:3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row>
    <row r="430" spans="1:3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row>
    <row r="431" spans="1:3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row>
    <row r="432" spans="1:3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row>
    <row r="433" spans="1:3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row>
    <row r="434" spans="1:3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row>
    <row r="435" spans="1:3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row>
    <row r="436" spans="1:3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row>
    <row r="437" spans="1:3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row>
    <row r="438" spans="1:3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row>
    <row r="439" spans="1:3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row>
    <row r="440" spans="1:3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row>
    <row r="441" spans="1:3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row>
    <row r="442" spans="1:3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row>
    <row r="443" spans="1:3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row>
    <row r="444" spans="1:3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row>
    <row r="445" spans="1:3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row>
    <row r="446" spans="1:3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row>
    <row r="447" spans="1:3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row>
    <row r="448" spans="1:3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row>
    <row r="449" spans="1:3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row>
    <row r="450" spans="1:3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row>
    <row r="451" spans="1:3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row>
    <row r="452" spans="1:3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row>
    <row r="453" spans="1:3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row>
    <row r="454" spans="1:3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row>
    <row r="455" spans="1:3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row>
    <row r="456" spans="1:3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row>
    <row r="457" spans="1:3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row>
    <row r="458" spans="1:3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row>
    <row r="459" spans="1:3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row>
    <row r="460" spans="1:3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row>
    <row r="461" spans="1:3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row>
    <row r="462" spans="1:3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row>
    <row r="463" spans="1:3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row>
    <row r="464" spans="1:3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row>
    <row r="465" spans="1:3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row>
    <row r="466" spans="1:3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row>
    <row r="467" spans="1:3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row>
    <row r="468" spans="1:3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row>
    <row r="469" spans="1:3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row>
    <row r="470" spans="1:3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row>
    <row r="471" spans="1:3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row>
    <row r="472" spans="1:3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row>
    <row r="473" spans="1:3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row>
    <row r="474" spans="1:3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row>
    <row r="475" spans="1:3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row>
    <row r="476" spans="1:3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row>
    <row r="477" spans="1:3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row>
    <row r="478" spans="1:3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row>
    <row r="479" spans="1:3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row>
    <row r="480" spans="1:3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row>
    <row r="481" spans="1:3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row>
    <row r="482" spans="1:3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row>
    <row r="483" spans="1:3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row>
    <row r="484" spans="1:3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row>
    <row r="485" spans="1:3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row>
    <row r="486" spans="1:3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row>
    <row r="487" spans="1:3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row>
    <row r="488" spans="1:3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row>
    <row r="489" spans="1:3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row>
    <row r="490" spans="1:3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row>
    <row r="491" spans="1:3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row>
    <row r="492" spans="1:3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row>
    <row r="493" spans="1:3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row>
    <row r="494" spans="1:3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row>
    <row r="495" spans="1:3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row>
    <row r="496" spans="1:3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row>
    <row r="497" spans="1:3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row>
    <row r="498" spans="1:3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row>
    <row r="499" spans="1:3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row>
    <row r="500" spans="1:3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row>
    <row r="501" spans="1:3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row>
    <row r="502" spans="1:3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row>
    <row r="503" spans="1:3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row>
    <row r="504" spans="1:3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row>
    <row r="505" spans="1:3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row>
    <row r="506" spans="1:3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row>
    <row r="507" spans="1:3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row>
    <row r="508" spans="1:3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row>
    <row r="509" spans="1:3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row>
    <row r="510" spans="1:3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row>
    <row r="511" spans="1:3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row>
    <row r="512" spans="1:3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row>
    <row r="513" spans="1:3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row>
    <row r="514" spans="1:3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row>
    <row r="515" spans="1:3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row>
    <row r="516" spans="1:3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row>
    <row r="517" spans="1:3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row>
    <row r="518" spans="1:3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row>
    <row r="519" spans="1:3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row>
    <row r="520" spans="1:3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row>
    <row r="521" spans="1:3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row>
    <row r="522" spans="1:3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row>
    <row r="523" spans="1:3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row>
    <row r="524" spans="1:3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row>
    <row r="525" spans="1:3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row>
    <row r="526" spans="1:3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row>
    <row r="527" spans="1:3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row>
    <row r="528" spans="1:3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row>
    <row r="529" spans="1:3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row>
    <row r="530" spans="1:3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row>
    <row r="531" spans="1:3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row>
    <row r="532" spans="1:3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row>
    <row r="533" spans="1:3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row>
    <row r="534" spans="1:3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row>
    <row r="535" spans="1:3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row>
    <row r="536" spans="1:3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row>
    <row r="537" spans="1:3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row>
    <row r="538" spans="1:3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row>
    <row r="539" spans="1:3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row>
    <row r="540" spans="1:3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row>
    <row r="541" spans="1:3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row>
    <row r="542" spans="1:3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row>
    <row r="543" spans="1:3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row>
    <row r="544" spans="1:3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row>
    <row r="545" spans="1:3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row>
    <row r="546" spans="1:3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row>
    <row r="547" spans="1:3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row>
    <row r="548" spans="1:3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row>
    <row r="549" spans="1:3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row>
    <row r="550" spans="1:3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row>
    <row r="551" spans="1:3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row>
    <row r="552" spans="1:3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row>
    <row r="553" spans="1:3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row>
    <row r="554" spans="1:3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row>
    <row r="555" spans="1:3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row>
    <row r="556" spans="1:3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row>
    <row r="557" spans="1:3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row>
    <row r="558" spans="1:3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row>
    <row r="559" spans="1:3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row>
    <row r="560" spans="1:3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row>
    <row r="561" spans="1:3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row>
    <row r="562" spans="1:3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row>
    <row r="563" spans="1:3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row>
    <row r="564" spans="1:3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row>
    <row r="565" spans="1:3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row>
    <row r="566" spans="1:3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row>
    <row r="567" spans="1:3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row>
    <row r="568" spans="1:3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row>
    <row r="569" spans="1:3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row>
    <row r="570" spans="1:3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row>
    <row r="571" spans="1:3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row>
    <row r="572" spans="1:3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row>
    <row r="573" spans="1:3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row>
    <row r="574" spans="1:3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row>
    <row r="575" spans="1:3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row>
    <row r="576" spans="1:3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row>
    <row r="577" spans="1:3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row>
    <row r="578" spans="1:3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row>
    <row r="579" spans="1:3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row>
    <row r="580" spans="1:3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row>
    <row r="581" spans="1:3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row>
    <row r="582" spans="1:3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row>
    <row r="583" spans="1:3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row>
    <row r="584" spans="1:3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row>
    <row r="585" spans="1:3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row>
    <row r="586" spans="1:3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row>
    <row r="587" spans="1:3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row>
    <row r="588" spans="1:3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row>
    <row r="589" spans="1:3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row>
    <row r="590" spans="1:3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row>
    <row r="591" spans="1:3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row>
    <row r="592" spans="1:3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row>
    <row r="593" spans="1:3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row>
    <row r="594" spans="1:3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row>
    <row r="595" spans="1:3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row>
    <row r="596" spans="1:3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row>
    <row r="597" spans="1:3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row>
    <row r="598" spans="1:3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row>
    <row r="599" spans="1:3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row>
    <row r="600" spans="1:3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row>
    <row r="601" spans="1:3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row>
    <row r="602" spans="1:3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row>
    <row r="603" spans="1:3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row>
    <row r="604" spans="1:3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row>
    <row r="605" spans="1:3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row>
    <row r="606" spans="1:3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row>
    <row r="607" spans="1:3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row>
    <row r="608" spans="1:3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row>
    <row r="609" spans="1:3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row>
    <row r="610" spans="1:3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row>
    <row r="611" spans="1:3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row>
    <row r="612" spans="1:3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row>
    <row r="613" spans="1:3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row>
    <row r="614" spans="1:3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row>
    <row r="615" spans="1:3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row>
    <row r="616" spans="1:3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row>
    <row r="617" spans="1:3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row>
    <row r="618" spans="1:3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row>
    <row r="619" spans="1:3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row>
    <row r="620" spans="1:3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row>
    <row r="621" spans="1:3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row>
    <row r="622" spans="1:3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row>
    <row r="623" spans="1:3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row>
    <row r="624" spans="1:3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row>
    <row r="625" spans="1:3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row>
    <row r="626" spans="1:3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row>
    <row r="627" spans="1:3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row>
    <row r="628" spans="1:3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row>
    <row r="629" spans="1:3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row>
    <row r="630" spans="1:3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row>
    <row r="631" spans="1:3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row>
    <row r="632" spans="1:3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row>
    <row r="633" spans="1:3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row>
    <row r="634" spans="1:3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row>
    <row r="635" spans="1:3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row>
    <row r="636" spans="1:3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row>
    <row r="637" spans="1:3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row>
    <row r="638" spans="1:3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row>
    <row r="639" spans="1:3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row>
    <row r="640" spans="1:3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row>
    <row r="641" spans="1:3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row>
    <row r="642" spans="1:3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row>
    <row r="643" spans="1:3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row>
    <row r="644" spans="1:3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row>
    <row r="645" spans="1:3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row>
    <row r="646" spans="1:3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row>
    <row r="647" spans="1:3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row>
    <row r="648" spans="1:3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row>
    <row r="649" spans="1:3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row>
    <row r="650" spans="1:3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row>
    <row r="651" spans="1:3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row>
    <row r="652" spans="1:3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row>
    <row r="653" spans="1:3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row>
    <row r="654" spans="1:3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row>
    <row r="655" spans="1:3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row>
    <row r="656" spans="1:3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row>
    <row r="657" spans="1:3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row>
    <row r="658" spans="1:3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row>
    <row r="659" spans="1:3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row>
    <row r="660" spans="1:3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row>
    <row r="661" spans="1:3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row>
    <row r="662" spans="1:3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row>
    <row r="663" spans="1:3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row>
    <row r="664" spans="1:3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row>
    <row r="665" spans="1:3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row>
    <row r="666" spans="1:3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row>
    <row r="667" spans="1:3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row>
    <row r="668" spans="1:3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row>
    <row r="669" spans="1:3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row>
    <row r="670" spans="1:3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row>
    <row r="671" spans="1:3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row>
    <row r="672" spans="1:3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row>
    <row r="673" spans="1:3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row>
    <row r="674" spans="1:3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row>
    <row r="675" spans="1:3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row>
    <row r="676" spans="1:3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row>
    <row r="677" spans="1:3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row>
    <row r="678" spans="1:3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row>
    <row r="679" spans="1:3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row>
    <row r="680" spans="1:3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row>
    <row r="681" spans="1:3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row>
    <row r="682" spans="1:3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row>
    <row r="683" spans="1:3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row>
    <row r="684" spans="1:3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row>
    <row r="685" spans="1:3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row>
    <row r="686" spans="1:3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row>
    <row r="687" spans="1:3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row>
    <row r="688" spans="1:3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row>
    <row r="689" spans="1:3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row>
    <row r="690" spans="1:3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row>
    <row r="691" spans="1:3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row>
    <row r="692" spans="1:3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row>
    <row r="693" spans="1:3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row>
    <row r="694" spans="1:3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row>
    <row r="695" spans="1:3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row>
    <row r="696" spans="1:3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row>
    <row r="697" spans="1:3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row>
    <row r="698" spans="1:3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row>
    <row r="699" spans="1:3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row>
    <row r="700" spans="1:3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row>
    <row r="701" spans="1:3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row>
    <row r="702" spans="1:3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row>
    <row r="703" spans="1:3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row>
    <row r="704" spans="1:3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row>
    <row r="705" spans="1:3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row>
    <row r="706" spans="1:3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row>
    <row r="707" spans="1:3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row>
    <row r="708" spans="1:3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row>
    <row r="709" spans="1:3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row>
    <row r="710" spans="1:3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row>
    <row r="711" spans="1:3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row>
    <row r="712" spans="1:3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row>
    <row r="713" spans="1:3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row>
    <row r="714" spans="1:3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row>
    <row r="715" spans="1:3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row>
    <row r="716" spans="1:3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row>
    <row r="717" spans="1:3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row>
    <row r="718" spans="1:3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row>
    <row r="719" spans="1:3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row>
    <row r="720" spans="1:3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row>
    <row r="721" spans="1:3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row>
    <row r="722" spans="1:3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row>
    <row r="723" spans="1:3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row>
    <row r="724" spans="1:3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row>
    <row r="725" spans="1:3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row>
    <row r="726" spans="1:3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row>
    <row r="727" spans="1:3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row>
    <row r="728" spans="1:3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row>
    <row r="729" spans="1:3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row>
    <row r="730" spans="1:3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row>
    <row r="731" spans="1:3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row>
    <row r="732" spans="1:3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row>
    <row r="733" spans="1:3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row>
    <row r="734" spans="1:3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row>
    <row r="735" spans="1:3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row>
    <row r="736" spans="1:3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row>
    <row r="737" spans="1:3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row>
    <row r="738" spans="1:3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row>
    <row r="739" spans="1:3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row>
    <row r="740" spans="1:3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row>
    <row r="741" spans="1:3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row>
    <row r="742" spans="1:3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row>
    <row r="743" spans="1:3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row>
    <row r="744" spans="1:3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row>
    <row r="745" spans="1:3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row>
    <row r="746" spans="1:3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row>
    <row r="747" spans="1:3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row>
    <row r="748" spans="1:3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row>
    <row r="749" spans="1:3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row>
    <row r="750" spans="1:3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row>
    <row r="751" spans="1:3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row>
    <row r="752" spans="1:3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row>
    <row r="753" spans="1:3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row>
    <row r="754" spans="1:3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row>
    <row r="755" spans="1:3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row>
    <row r="756" spans="1:3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row>
    <row r="757" spans="1:3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row>
    <row r="758" spans="1:3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row>
    <row r="759" spans="1:3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row>
    <row r="760" spans="1:3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row>
    <row r="761" spans="1:3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row>
    <row r="762" spans="1:3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row>
    <row r="763" spans="1:3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row>
    <row r="764" spans="1:3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row>
    <row r="765" spans="1:3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row>
    <row r="766" spans="1:3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row>
    <row r="767" spans="1:3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row>
    <row r="768" spans="1:3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row>
    <row r="769" spans="1:3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row>
    <row r="770" spans="1:3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row>
    <row r="771" spans="1:3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row>
    <row r="772" spans="1:3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row>
    <row r="773" spans="1:3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row>
    <row r="774" spans="1:3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row>
    <row r="775" spans="1:3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row>
    <row r="776" spans="1:3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row>
    <row r="777" spans="1:3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row>
    <row r="778" spans="1:3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row>
    <row r="779" spans="1:3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row>
    <row r="780" spans="1:3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row>
    <row r="781" spans="1:3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row>
    <row r="782" spans="1:3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row>
    <row r="783" spans="1:3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row>
    <row r="784" spans="1:3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row>
    <row r="785" spans="1:3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row>
    <row r="786" spans="1:3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row>
    <row r="787" spans="1:3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row>
    <row r="788" spans="1:3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row>
    <row r="789" spans="1:3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row>
    <row r="790" spans="1:3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row>
    <row r="791" spans="1:3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row>
    <row r="792" spans="1:3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row>
    <row r="793" spans="1:3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row>
    <row r="794" spans="1:3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row>
    <row r="795" spans="1:3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row>
    <row r="796" spans="1:3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row>
    <row r="797" spans="1:3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row>
    <row r="798" spans="1:3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row>
    <row r="799" spans="1:3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row>
    <row r="800" spans="1:3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row>
    <row r="801" spans="1:3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row>
    <row r="802" spans="1:3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row>
    <row r="803" spans="1:3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row>
    <row r="804" spans="1:3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row>
    <row r="805" spans="1:3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row>
    <row r="806" spans="1:3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row>
    <row r="807" spans="1:3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row>
    <row r="808" spans="1:3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row>
    <row r="809" spans="1:3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row>
    <row r="810" spans="1:3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row>
    <row r="811" spans="1:3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row>
    <row r="812" spans="1:3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row>
    <row r="813" spans="1:3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row>
    <row r="814" spans="1:3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row>
    <row r="815" spans="1:3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row>
    <row r="816" spans="1:3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row>
    <row r="817" spans="1:3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row>
    <row r="818" spans="1:3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row>
    <row r="819" spans="1:3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row>
    <row r="820" spans="1:3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row>
    <row r="821" spans="1:3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row>
    <row r="822" spans="1:3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row>
    <row r="823" spans="1:3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row>
    <row r="824" spans="1:3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row>
    <row r="825" spans="1:3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row>
    <row r="826" spans="1:3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row>
    <row r="827" spans="1:3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row>
    <row r="828" spans="1:3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row>
    <row r="829" spans="1:3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row>
    <row r="830" spans="1:3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row>
    <row r="831" spans="1:3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row>
    <row r="832" spans="1:3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row>
    <row r="833" spans="1:3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row>
    <row r="834" spans="1:3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row>
    <row r="835" spans="1:3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row>
    <row r="836" spans="1:3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row>
    <row r="837" spans="1:3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row>
    <row r="838" spans="1:3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row>
    <row r="839" spans="1:3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row>
    <row r="840" spans="1:3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row>
    <row r="841" spans="1:3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row>
    <row r="842" spans="1:3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row>
    <row r="843" spans="1:3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row>
    <row r="844" spans="1:3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row>
    <row r="845" spans="1:3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row>
    <row r="846" spans="1:3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row>
    <row r="847" spans="1:3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row>
    <row r="848" spans="1:3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row>
    <row r="849" spans="1:3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row>
    <row r="850" spans="1:3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row>
    <row r="851" spans="1:3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row>
    <row r="852" spans="1:3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row>
    <row r="853" spans="1:3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row>
    <row r="854" spans="1:3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row>
    <row r="855" spans="1:3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row>
    <row r="856" spans="1:3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row>
    <row r="857" spans="1:3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row>
    <row r="858" spans="1:3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row>
    <row r="859" spans="1:3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row>
    <row r="860" spans="1:3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row>
    <row r="861" spans="1:3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row>
    <row r="862" spans="1:3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row>
    <row r="863" spans="1:3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row>
    <row r="864" spans="1:3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row>
    <row r="865" spans="1:3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row>
    <row r="866" spans="1:3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row>
    <row r="867" spans="1:3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row>
    <row r="868" spans="1:3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row>
    <row r="869" spans="1:3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row>
    <row r="870" spans="1:3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row>
    <row r="871" spans="1:3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row>
    <row r="872" spans="1:3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row>
    <row r="873" spans="1:3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row>
    <row r="874" spans="1:3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row>
    <row r="875" spans="1:3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row>
    <row r="876" spans="1:3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row>
    <row r="877" spans="1:3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row>
    <row r="878" spans="1:3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row>
    <row r="879" spans="1:3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row>
    <row r="880" spans="1:3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row>
    <row r="881" spans="1:3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row>
    <row r="882" spans="1:3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row>
    <row r="883" spans="1:3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row>
    <row r="884" spans="1:3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row>
    <row r="885" spans="1:3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row>
    <row r="886" spans="1:3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row>
    <row r="887" spans="1:3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row>
    <row r="888" spans="1:3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row>
    <row r="889" spans="1:3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row>
    <row r="890" spans="1:3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row>
    <row r="891" spans="1:3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row>
    <row r="892" spans="1:3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row>
    <row r="893" spans="1:3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row>
    <row r="894" spans="1:3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row>
    <row r="895" spans="1:3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row>
    <row r="896" spans="1:3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row>
    <row r="897" spans="1:3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row>
    <row r="898" spans="1:3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row>
    <row r="899" spans="1:3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row>
    <row r="900" spans="1:3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row>
    <row r="901" spans="1:3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row>
    <row r="902" spans="1:3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row>
    <row r="903" spans="1:3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row>
    <row r="904" spans="1:3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row>
    <row r="905" spans="1:3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row>
    <row r="906" spans="1:3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row>
    <row r="907" spans="1:3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row>
    <row r="908" spans="1:3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row>
    <row r="909" spans="1:3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row>
    <row r="910" spans="1:3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row>
    <row r="911" spans="1:3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row>
    <row r="912" spans="1:3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row>
    <row r="913" spans="1:3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row>
    <row r="914" spans="1:3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row>
    <row r="915" spans="1:3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row>
    <row r="916" spans="1:3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row>
    <row r="917" spans="1:3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row>
    <row r="918" spans="1:3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row>
    <row r="919" spans="1:3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row>
    <row r="920" spans="1:3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row>
    <row r="921" spans="1:3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row>
    <row r="922" spans="1:3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row>
    <row r="923" spans="1:3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row>
    <row r="924" spans="1:3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row>
    <row r="925" spans="1:3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row>
    <row r="926" spans="1:3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row>
    <row r="927" spans="1:3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row>
    <row r="928" spans="1:3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row>
    <row r="929" spans="1:3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row>
    <row r="930" spans="1:3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row>
    <row r="931" spans="1:3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row>
    <row r="932" spans="1:3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row>
    <row r="933" spans="1:3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row>
    <row r="934" spans="1:3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row>
    <row r="935" spans="1:3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row>
    <row r="936" spans="1:3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row>
    <row r="937" spans="1:3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row>
    <row r="938" spans="1:3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row>
    <row r="939" spans="1:3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row>
    <row r="940" spans="1:3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row>
    <row r="941" spans="1:3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row>
    <row r="942" spans="1:3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row>
    <row r="943" spans="1:3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row>
    <row r="944" spans="1:3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row>
    <row r="945" spans="1:3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row>
    <row r="946" spans="1:3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row>
    <row r="947" spans="1:3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row>
    <row r="948" spans="1:3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row>
    <row r="949" spans="1:3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row>
    <row r="950" spans="1:3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row>
    <row r="951" spans="1:3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row>
    <row r="952" spans="1:3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row>
    <row r="953" spans="1:3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row>
    <row r="954" spans="1:3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row>
    <row r="955" spans="1:3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row>
    <row r="956" spans="1:3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row>
    <row r="957" spans="1:3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row>
    <row r="958" spans="1:3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row>
    <row r="959" spans="1:3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row>
    <row r="960" spans="1:3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row>
    <row r="961" spans="1:3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row>
    <row r="962" spans="1:3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row>
    <row r="963" spans="1:3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row>
    <row r="964" spans="1:3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row>
    <row r="965" spans="1:3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row>
    <row r="966" spans="1:3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row>
    <row r="967" spans="1:3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row>
    <row r="968" spans="1:3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row>
    <row r="969" spans="1:3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row>
    <row r="970" spans="1:3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row>
    <row r="971" spans="1:3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row>
    <row r="972" spans="1:3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row>
    <row r="973" spans="1:3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row>
    <row r="974" spans="1:3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row>
    <row r="975" spans="1:3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row>
    <row r="976" spans="1:3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row>
    <row r="977" spans="1:3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row>
    <row r="978" spans="1:3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row>
    <row r="979" spans="1:3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row>
    <row r="980" spans="1:3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row>
    <row r="981" spans="1:3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row>
    <row r="982" spans="1:3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row>
    <row r="983" spans="1:3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row>
    <row r="984" spans="1:3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row>
    <row r="985" spans="1:3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row>
    <row r="986" spans="1:3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row>
    <row r="987" spans="1:3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row>
    <row r="988" spans="1:3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row>
    <row r="989" spans="1:3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row>
    <row r="990" spans="1:3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row>
    <row r="991" spans="1:3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row>
    <row r="992" spans="1:3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row>
    <row r="993" spans="1:3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row>
    <row r="994" spans="1:3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row>
    <row r="995" spans="1:3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row>
    <row r="996" spans="1:3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row>
    <row r="997" spans="1:3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row>
    <row r="998" spans="1:3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row>
    <row r="999" spans="1:3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row>
    <row r="1000" spans="1:3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row>
  </sheetData>
  <mergeCells count="24">
    <mergeCell ref="B29:L31"/>
    <mergeCell ref="B32:L33"/>
    <mergeCell ref="C8:D8"/>
    <mergeCell ref="C9:D9"/>
    <mergeCell ref="E9:F9"/>
    <mergeCell ref="G9:H9"/>
    <mergeCell ref="I9:J9"/>
    <mergeCell ref="K9:L9"/>
    <mergeCell ref="K12:L12"/>
    <mergeCell ref="C13:D13"/>
    <mergeCell ref="E13:F13"/>
    <mergeCell ref="G13:H13"/>
    <mergeCell ref="I13:J13"/>
    <mergeCell ref="K13:L13"/>
    <mergeCell ref="I8:J8"/>
    <mergeCell ref="K8:L8"/>
    <mergeCell ref="G12:H12"/>
    <mergeCell ref="I12:J12"/>
    <mergeCell ref="C12:D12"/>
    <mergeCell ref="C6:D7"/>
    <mergeCell ref="E6:F7"/>
    <mergeCell ref="G6:H7"/>
    <mergeCell ref="E8:F8"/>
    <mergeCell ref="G8:H8"/>
  </mergeCells>
  <conditionalFormatting sqref="C8 E8 G8 D10:D11 H10:H11 J10:J11 L10:L11 F10:F12 D14:D15 F14:F15 H14:H15 J14:J15 L14:L15 D18 F18 H18 J18 L18 D26:D28 F26:F28 H26:H28 J26:J28 L26:L28">
    <cfRule type="expression" dxfId="113" priority="1" stopIfTrue="1">
      <formula>C8="PASS"</formula>
    </cfRule>
    <cfRule type="expression" dxfId="112" priority="2" stopIfTrue="1">
      <formula>C8="FAIL"</formula>
    </cfRule>
  </conditionalFormatting>
  <conditionalFormatting sqref="C8:H8">
    <cfRule type="cellIs" dxfId="111" priority="3" stopIfTrue="1" operator="equal">
      <formula>"laminated"</formula>
    </cfRule>
  </conditionalFormatting>
  <conditionalFormatting sqref="I8:L8">
    <cfRule type="expression" dxfId="110" priority="4" stopIfTrue="1">
      <formula>I8="PASS"</formula>
    </cfRule>
    <cfRule type="expression" dxfId="109" priority="5" stopIfTrue="1">
      <formula>I8="FAIL"</formula>
    </cfRule>
    <cfRule type="expression" dxfId="108" priority="6" stopIfTrue="1">
      <formula>I8="N/A"</formula>
    </cfRule>
  </conditionalFormatting>
  <dataValidations count="3">
    <dataValidation type="list" allowBlank="1" showErrorMessage="1" sqref="C3" xr:uid="{00000000-0002-0000-1D00-000000000000}">
      <formula1>"0,3,4,5"</formula1>
    </dataValidation>
    <dataValidation type="list" allowBlank="1" showErrorMessage="1" sqref="C21 E21 G21 I21 K21" xr:uid="{00000000-0002-0000-1D00-000001000000}">
      <formula1>Material</formula1>
    </dataValidation>
    <dataValidation type="list" allowBlank="1" showErrorMessage="1" sqref="C4" xr:uid="{00000000-0002-0000-1D00-000002000000}">
      <formula1>"Steel,Alu."</formula1>
    </dataValidation>
  </dataValidations>
  <hyperlinks>
    <hyperlink ref="M3" location="'Cover Sheet'!A1" display="BACK to COVER SHEET" xr:uid="{00000000-0004-0000-1D00-000000000000}"/>
    <hyperlink ref="C22" location="'T3.5 Laminate Test'!A1" display="T3.5_Laminate" xr:uid="{00000000-0004-0000-1D00-000001000000}"/>
    <hyperlink ref="E22" location="'T3.5 Laminate Test'!A1" display="T3.5_Laminate" xr:uid="{00000000-0004-0000-1D00-000002000000}"/>
    <hyperlink ref="G22" location="'T3.5 Laminate Test'!A1" display="T3.5_Laminate" xr:uid="{00000000-0004-0000-1D00-000003000000}"/>
    <hyperlink ref="I22" location="'T3.5 Laminate Test'!A1" display="T3.5_Laminate" xr:uid="{00000000-0004-0000-1D00-000004000000}"/>
    <hyperlink ref="K22" location="'T3.5 Laminate Test'!A1" display="T3.5_Laminate" xr:uid="{00000000-0004-0000-1D00-000005000000}"/>
    <hyperlink ref="B34" location="'Monocoque Attachments Guidance'!A1" display="Link to guidance notes" xr:uid="{00000000-0004-0000-1D00-000006000000}"/>
    <hyperlink ref="B35" location="'Front Hoop Attachment Guidance'!A1" display="Link to guidance notes: Front Hoop attachments" xr:uid="{00000000-0004-0000-1D00-000007000000}"/>
  </hyperlinks>
  <pageMargins left="0.75" right="0.75" top="1" bottom="1"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70C0"/>
  </sheetPr>
  <dimension ref="A1:AB1000"/>
  <sheetViews>
    <sheetView showGridLines="0" workbookViewId="0"/>
  </sheetViews>
  <sheetFormatPr baseColWidth="10" defaultColWidth="12.5703125" defaultRowHeight="15" customHeight="1"/>
  <cols>
    <col min="1" max="1" width="4.42578125" customWidth="1"/>
    <col min="2" max="2" width="31.42578125" customWidth="1"/>
    <col min="3" max="4" width="7" customWidth="1"/>
    <col min="5" max="10" width="11.42578125" customWidth="1"/>
    <col min="11" max="11" width="31.42578125" customWidth="1"/>
    <col min="12" max="13" width="7" customWidth="1"/>
    <col min="14" max="19" width="11.42578125" customWidth="1"/>
    <col min="20" max="20" width="31.42578125" customWidth="1"/>
    <col min="21" max="22" width="7" customWidth="1"/>
    <col min="23" max="28" width="11.42578125" customWidth="1"/>
  </cols>
  <sheetData>
    <row r="1" spans="2:28" ht="12.75" customHeight="1">
      <c r="B1" s="213" t="s">
        <v>756</v>
      </c>
    </row>
    <row r="2" spans="2:28" ht="12.75" customHeight="1">
      <c r="B2" s="213"/>
    </row>
    <row r="3" spans="2:28" ht="12.75" customHeight="1">
      <c r="B3" s="67" t="s">
        <v>757</v>
      </c>
      <c r="F3" s="416" t="str">
        <f>IF('T3.12 T3.5 Ft Bulkhead'!F2="tubing only","N/A","YES")</f>
        <v>N/A</v>
      </c>
      <c r="I3" s="39" t="s">
        <v>252</v>
      </c>
      <c r="K3" s="39"/>
    </row>
    <row r="4" spans="2:28" ht="12.75" customHeight="1">
      <c r="B4" s="67" t="s">
        <v>758</v>
      </c>
      <c r="F4" s="417" t="s">
        <v>168</v>
      </c>
      <c r="K4" s="39"/>
    </row>
    <row r="5" spans="2:28" ht="12.75" customHeight="1">
      <c r="B5" s="67" t="s">
        <v>759</v>
      </c>
      <c r="F5" s="418" t="s">
        <v>142</v>
      </c>
      <c r="K5" s="39"/>
    </row>
    <row r="6" spans="2:28" ht="12.75" customHeight="1"/>
    <row r="7" spans="2:28" ht="12.75" customHeight="1">
      <c r="B7" s="142"/>
      <c r="C7" s="143"/>
      <c r="D7" s="143"/>
      <c r="E7" s="143"/>
      <c r="F7" s="143"/>
      <c r="G7" s="143"/>
      <c r="H7" s="143"/>
      <c r="I7" s="143"/>
      <c r="J7" s="144"/>
      <c r="K7" s="143"/>
      <c r="L7" s="143"/>
      <c r="M7" s="143"/>
      <c r="N7" s="143"/>
      <c r="O7" s="143"/>
      <c r="P7" s="143"/>
      <c r="Q7" s="143"/>
      <c r="R7" s="143"/>
      <c r="S7" s="143"/>
      <c r="T7" s="142"/>
      <c r="U7" s="143"/>
      <c r="V7" s="143"/>
      <c r="W7" s="143"/>
      <c r="X7" s="143"/>
      <c r="Y7" s="143"/>
      <c r="Z7" s="143"/>
      <c r="AA7" s="143"/>
      <c r="AB7" s="144"/>
    </row>
    <row r="8" spans="2:28" ht="12.75" customHeight="1">
      <c r="B8" s="95"/>
      <c r="C8" s="64"/>
      <c r="D8" s="64"/>
      <c r="E8" s="64"/>
      <c r="F8" s="64"/>
      <c r="G8" s="64"/>
      <c r="H8" s="64"/>
      <c r="I8" s="64"/>
      <c r="J8" s="96"/>
      <c r="K8" s="64"/>
      <c r="L8" s="64"/>
      <c r="M8" s="64"/>
      <c r="N8" s="64"/>
      <c r="O8" s="64"/>
      <c r="P8" s="64"/>
      <c r="Q8" s="64"/>
      <c r="R8" s="64"/>
      <c r="S8" s="64"/>
      <c r="T8" s="95"/>
      <c r="U8" s="64"/>
      <c r="V8" s="64"/>
      <c r="W8" s="64"/>
      <c r="X8" s="64"/>
      <c r="Y8" s="64"/>
      <c r="Z8" s="64"/>
      <c r="AA8" s="64"/>
      <c r="AB8" s="96"/>
    </row>
    <row r="9" spans="2:28" ht="12.75" customHeight="1">
      <c r="B9" s="95"/>
      <c r="C9" s="64"/>
      <c r="D9" s="64"/>
      <c r="E9" s="64"/>
      <c r="F9" s="64"/>
      <c r="G9" s="64"/>
      <c r="H9" s="64"/>
      <c r="I9" s="64"/>
      <c r="J9" s="96"/>
      <c r="K9" s="64"/>
      <c r="L9" s="64"/>
      <c r="M9" s="64"/>
      <c r="N9" s="64"/>
      <c r="O9" s="64"/>
      <c r="P9" s="64"/>
      <c r="Q9" s="64"/>
      <c r="R9" s="64"/>
      <c r="S9" s="64"/>
      <c r="T9" s="95"/>
      <c r="U9" s="64"/>
      <c r="V9" s="64"/>
      <c r="W9" s="64"/>
      <c r="X9" s="64"/>
      <c r="Y9" s="64"/>
      <c r="Z9" s="64"/>
      <c r="AA9" s="64"/>
      <c r="AB9" s="96"/>
    </row>
    <row r="10" spans="2:28" ht="12.75" customHeight="1">
      <c r="B10" s="95"/>
      <c r="C10" s="64"/>
      <c r="D10" s="64"/>
      <c r="E10" s="64"/>
      <c r="F10" s="64"/>
      <c r="G10" s="64"/>
      <c r="H10" s="64"/>
      <c r="I10" s="64"/>
      <c r="J10" s="96"/>
      <c r="K10" s="64"/>
      <c r="L10" s="64"/>
      <c r="M10" s="64"/>
      <c r="N10" s="64"/>
      <c r="O10" s="64"/>
      <c r="P10" s="64"/>
      <c r="Q10" s="64"/>
      <c r="R10" s="64"/>
      <c r="S10" s="64"/>
      <c r="T10" s="95"/>
      <c r="U10" s="64"/>
      <c r="V10" s="64"/>
      <c r="W10" s="64"/>
      <c r="X10" s="64"/>
      <c r="Y10" s="64"/>
      <c r="Z10" s="64"/>
      <c r="AA10" s="64"/>
      <c r="AB10" s="96"/>
    </row>
    <row r="11" spans="2:28" ht="12.75" customHeight="1">
      <c r="B11" s="95"/>
      <c r="C11" s="64"/>
      <c r="D11" s="64"/>
      <c r="E11" s="64"/>
      <c r="F11" s="64"/>
      <c r="G11" s="64"/>
      <c r="H11" s="64"/>
      <c r="I11" s="64"/>
      <c r="J11" s="96"/>
      <c r="K11" s="64"/>
      <c r="L11" s="64"/>
      <c r="M11" s="64"/>
      <c r="N11" s="64"/>
      <c r="O11" s="64"/>
      <c r="P11" s="64"/>
      <c r="Q11" s="64"/>
      <c r="R11" s="64"/>
      <c r="S11" s="64"/>
      <c r="T11" s="95"/>
      <c r="U11" s="64"/>
      <c r="V11" s="64"/>
      <c r="W11" s="64"/>
      <c r="X11" s="64"/>
      <c r="Y11" s="64"/>
      <c r="Z11" s="64"/>
      <c r="AA11" s="64"/>
      <c r="AB11" s="96"/>
    </row>
    <row r="12" spans="2:28" ht="12.75" customHeight="1">
      <c r="B12" s="95"/>
      <c r="C12" s="64" t="s">
        <v>760</v>
      </c>
      <c r="D12" s="64"/>
      <c r="E12" s="64"/>
      <c r="F12" s="64"/>
      <c r="G12" s="64"/>
      <c r="H12" s="64"/>
      <c r="I12" s="64"/>
      <c r="J12" s="96"/>
      <c r="K12" s="64"/>
      <c r="L12" s="64" t="s">
        <v>761</v>
      </c>
      <c r="M12" s="64"/>
      <c r="N12" s="64"/>
      <c r="O12" s="64"/>
      <c r="P12" s="64"/>
      <c r="Q12" s="64"/>
      <c r="R12" s="64"/>
      <c r="S12" s="64"/>
      <c r="T12" s="95"/>
      <c r="U12" s="64" t="s">
        <v>761</v>
      </c>
      <c r="V12" s="64"/>
      <c r="W12" s="64"/>
      <c r="X12" s="64"/>
      <c r="Y12" s="64"/>
      <c r="Z12" s="64"/>
      <c r="AA12" s="64"/>
      <c r="AB12" s="96"/>
    </row>
    <row r="13" spans="2:28" ht="12.75" customHeight="1">
      <c r="B13" s="95"/>
      <c r="C13" s="64" t="s">
        <v>762</v>
      </c>
      <c r="D13" s="64"/>
      <c r="E13" s="64"/>
      <c r="F13" s="64"/>
      <c r="G13" s="64"/>
      <c r="H13" s="64"/>
      <c r="I13" s="64"/>
      <c r="J13" s="96"/>
      <c r="K13" s="64"/>
      <c r="L13" s="64" t="s">
        <v>763</v>
      </c>
      <c r="M13" s="64"/>
      <c r="N13" s="64"/>
      <c r="O13" s="64"/>
      <c r="P13" s="64"/>
      <c r="Q13" s="64"/>
      <c r="R13" s="64"/>
      <c r="S13" s="64"/>
      <c r="T13" s="95"/>
      <c r="U13" s="64" t="s">
        <v>763</v>
      </c>
      <c r="V13" s="64"/>
      <c r="W13" s="64"/>
      <c r="X13" s="64"/>
      <c r="Y13" s="64"/>
      <c r="Z13" s="64"/>
      <c r="AA13" s="64"/>
      <c r="AB13" s="96"/>
    </row>
    <row r="14" spans="2:28" ht="12.75" customHeight="1">
      <c r="B14" s="95"/>
      <c r="C14" s="64"/>
      <c r="D14" s="64"/>
      <c r="E14" s="64"/>
      <c r="F14" s="64"/>
      <c r="G14" s="64"/>
      <c r="H14" s="64"/>
      <c r="I14" s="64"/>
      <c r="J14" s="96"/>
      <c r="K14" s="64"/>
      <c r="L14" s="64"/>
      <c r="M14" s="64"/>
      <c r="N14" s="64"/>
      <c r="O14" s="64"/>
      <c r="P14" s="64"/>
      <c r="Q14" s="64"/>
      <c r="R14" s="64"/>
      <c r="S14" s="64"/>
      <c r="T14" s="95"/>
      <c r="U14" s="64"/>
      <c r="V14" s="64"/>
      <c r="W14" s="64"/>
      <c r="X14" s="64"/>
      <c r="Y14" s="64"/>
      <c r="Z14" s="64"/>
      <c r="AA14" s="64"/>
      <c r="AB14" s="96"/>
    </row>
    <row r="15" spans="2:28" ht="12.75" customHeight="1">
      <c r="B15" s="95"/>
      <c r="C15" s="64"/>
      <c r="D15" s="64"/>
      <c r="E15" s="64"/>
      <c r="F15" s="64"/>
      <c r="G15" s="64"/>
      <c r="H15" s="64"/>
      <c r="I15" s="64"/>
      <c r="J15" s="96"/>
      <c r="K15" s="64"/>
      <c r="L15" s="64"/>
      <c r="M15" s="64"/>
      <c r="N15" s="64"/>
      <c r="O15" s="64"/>
      <c r="P15" s="64"/>
      <c r="Q15" s="64"/>
      <c r="R15" s="64"/>
      <c r="S15" s="64"/>
      <c r="T15" s="95"/>
      <c r="U15" s="64"/>
      <c r="V15" s="64"/>
      <c r="W15" s="64"/>
      <c r="X15" s="64"/>
      <c r="Y15" s="64"/>
      <c r="Z15" s="64"/>
      <c r="AA15" s="64"/>
      <c r="AB15" s="96"/>
    </row>
    <row r="16" spans="2:28" ht="12.75" customHeight="1">
      <c r="B16" s="95"/>
      <c r="C16" s="64"/>
      <c r="D16" s="64"/>
      <c r="E16" s="64"/>
      <c r="F16" s="64"/>
      <c r="G16" s="64"/>
      <c r="H16" s="64"/>
      <c r="I16" s="64"/>
      <c r="J16" s="96"/>
      <c r="K16" s="64"/>
      <c r="L16" s="64"/>
      <c r="M16" s="64"/>
      <c r="N16" s="64"/>
      <c r="O16" s="64"/>
      <c r="P16" s="64"/>
      <c r="Q16" s="64"/>
      <c r="R16" s="64"/>
      <c r="S16" s="64"/>
      <c r="T16" s="95"/>
      <c r="U16" s="64"/>
      <c r="V16" s="64"/>
      <c r="W16" s="64"/>
      <c r="X16" s="64"/>
      <c r="Y16" s="64"/>
      <c r="Z16" s="64"/>
      <c r="AA16" s="64"/>
      <c r="AB16" s="96"/>
    </row>
    <row r="17" spans="2:28" ht="12.75" customHeight="1">
      <c r="B17" s="95"/>
      <c r="C17" s="64"/>
      <c r="D17" s="64"/>
      <c r="E17" s="64"/>
      <c r="F17" s="64"/>
      <c r="G17" s="64"/>
      <c r="H17" s="64"/>
      <c r="I17" s="64"/>
      <c r="J17" s="96"/>
      <c r="K17" s="64"/>
      <c r="L17" s="64"/>
      <c r="M17" s="64"/>
      <c r="N17" s="64"/>
      <c r="O17" s="64"/>
      <c r="P17" s="64"/>
      <c r="Q17" s="64"/>
      <c r="R17" s="64"/>
      <c r="S17" s="64"/>
      <c r="T17" s="95"/>
      <c r="U17" s="64"/>
      <c r="V17" s="64"/>
      <c r="W17" s="64"/>
      <c r="X17" s="64"/>
      <c r="Y17" s="64"/>
      <c r="Z17" s="64"/>
      <c r="AA17" s="64"/>
      <c r="AB17" s="96"/>
    </row>
    <row r="18" spans="2:28" ht="12.75" customHeight="1">
      <c r="B18" s="95"/>
      <c r="C18" s="64"/>
      <c r="D18" s="64"/>
      <c r="E18" s="64"/>
      <c r="F18" s="64"/>
      <c r="G18" s="64"/>
      <c r="H18" s="64"/>
      <c r="I18" s="64"/>
      <c r="J18" s="96"/>
      <c r="K18" s="64"/>
      <c r="L18" s="64"/>
      <c r="M18" s="64"/>
      <c r="N18" s="64"/>
      <c r="O18" s="64"/>
      <c r="P18" s="64"/>
      <c r="Q18" s="64"/>
      <c r="R18" s="64"/>
      <c r="S18" s="64"/>
      <c r="T18" s="95"/>
      <c r="U18" s="64"/>
      <c r="V18" s="64"/>
      <c r="W18" s="64"/>
      <c r="X18" s="64"/>
      <c r="Y18" s="64"/>
      <c r="Z18" s="64"/>
      <c r="AA18" s="64"/>
      <c r="AB18" s="96"/>
    </row>
    <row r="19" spans="2:28" ht="12.75" customHeight="1">
      <c r="B19" s="95"/>
      <c r="C19" s="64"/>
      <c r="D19" s="64"/>
      <c r="E19" s="64"/>
      <c r="F19" s="64"/>
      <c r="G19" s="64"/>
      <c r="H19" s="64"/>
      <c r="I19" s="64"/>
      <c r="J19" s="96"/>
      <c r="K19" s="64"/>
      <c r="L19" s="64"/>
      <c r="M19" s="64"/>
      <c r="N19" s="64"/>
      <c r="O19" s="64"/>
      <c r="P19" s="64"/>
      <c r="Q19" s="64"/>
      <c r="R19" s="64"/>
      <c r="S19" s="64"/>
      <c r="T19" s="95"/>
      <c r="U19" s="64"/>
      <c r="V19" s="64"/>
      <c r="W19" s="64"/>
      <c r="X19" s="64"/>
      <c r="Y19" s="64"/>
      <c r="Z19" s="64"/>
      <c r="AA19" s="64"/>
      <c r="AB19" s="96"/>
    </row>
    <row r="20" spans="2:28" ht="12.75" customHeight="1">
      <c r="B20" s="95"/>
      <c r="C20" s="64"/>
      <c r="D20" s="64"/>
      <c r="E20" s="64"/>
      <c r="F20" s="64"/>
      <c r="G20" s="64"/>
      <c r="H20" s="64"/>
      <c r="I20" s="64"/>
      <c r="J20" s="96"/>
      <c r="K20" s="64"/>
      <c r="L20" s="64"/>
      <c r="M20" s="64"/>
      <c r="N20" s="64"/>
      <c r="O20" s="64"/>
      <c r="P20" s="64"/>
      <c r="Q20" s="64"/>
      <c r="R20" s="64"/>
      <c r="S20" s="64"/>
      <c r="T20" s="95"/>
      <c r="U20" s="64"/>
      <c r="V20" s="64"/>
      <c r="W20" s="64"/>
      <c r="X20" s="64"/>
      <c r="Y20" s="64"/>
      <c r="Z20" s="64"/>
      <c r="AA20" s="64"/>
      <c r="AB20" s="96"/>
    </row>
    <row r="21" spans="2:28" ht="12.75" customHeight="1">
      <c r="B21" s="95"/>
      <c r="C21" s="64"/>
      <c r="D21" s="64"/>
      <c r="E21" s="64"/>
      <c r="F21" s="64"/>
      <c r="G21" s="64"/>
      <c r="H21" s="64"/>
      <c r="I21" s="64"/>
      <c r="J21" s="96"/>
      <c r="K21" s="64"/>
      <c r="L21" s="64"/>
      <c r="M21" s="64"/>
      <c r="N21" s="64"/>
      <c r="O21" s="64"/>
      <c r="P21" s="64"/>
      <c r="Q21" s="64"/>
      <c r="R21" s="64"/>
      <c r="S21" s="64"/>
      <c r="T21" s="95"/>
      <c r="U21" s="64"/>
      <c r="V21" s="64"/>
      <c r="W21" s="64"/>
      <c r="X21" s="64"/>
      <c r="Y21" s="64"/>
      <c r="Z21" s="64"/>
      <c r="AA21" s="64"/>
      <c r="AB21" s="96"/>
    </row>
    <row r="22" spans="2:28" ht="12.75" customHeight="1">
      <c r="B22" s="100"/>
      <c r="C22" s="101"/>
      <c r="D22" s="101"/>
      <c r="E22" s="101"/>
      <c r="F22" s="101"/>
      <c r="G22" s="101"/>
      <c r="H22" s="101"/>
      <c r="I22" s="101"/>
      <c r="J22" s="150"/>
      <c r="K22" s="101"/>
      <c r="L22" s="101"/>
      <c r="M22" s="101"/>
      <c r="N22" s="101"/>
      <c r="O22" s="101"/>
      <c r="P22" s="101"/>
      <c r="Q22" s="101"/>
      <c r="R22" s="101"/>
      <c r="S22" s="101"/>
      <c r="T22" s="100"/>
      <c r="U22" s="101"/>
      <c r="V22" s="101"/>
      <c r="W22" s="101"/>
      <c r="X22" s="101"/>
      <c r="Y22" s="101"/>
      <c r="Z22" s="101"/>
      <c r="AA22" s="101"/>
      <c r="AB22" s="150"/>
    </row>
    <row r="23" spans="2:28" ht="12.75" customHeight="1"/>
    <row r="24" spans="2:28" ht="12.75" customHeight="1">
      <c r="B24" s="412" t="s">
        <v>764</v>
      </c>
      <c r="C24" s="713" t="str">
        <f>IF('T3.12 T3.5 Ft Bulkhead'!F2="tubing only","N/A",IF(AND(D29="PASS",D30="PASS",D31="PASS",D48="PASS",D44="PASS",D49="PASS",D50="pass"),"PASS",IF(AND(D29="PASS",D30="PASS",D31="PASS",D48="N/A",D44="PASS",D49="PASS",D50="pass"),"PASS",IF(AND(OR(D29="PASS",D29="CHECK"),OR(D30="PASS",D30="CHECK"),D31="PASS",OR(D48="N/A",D48="PASS"),D44="PASS",D49="PASS",D50="pass"),"CHECK","FAIL"))))</f>
        <v>N/A</v>
      </c>
      <c r="D24" s="588"/>
      <c r="E24" s="727"/>
      <c r="F24" s="709"/>
      <c r="G24" s="728"/>
      <c r="H24" s="709"/>
      <c r="I24" s="143"/>
      <c r="J24" s="144"/>
      <c r="K24" s="412" t="s">
        <v>765</v>
      </c>
      <c r="L24" s="713" t="str">
        <f>IF($F$4="NO","N/A",IF(AND(M29="PASS",M30="PASS",M31="PASS",M40="PASS",M50="PASS",M57="PASS",M58="PASS",M59 ="PASS",M60="PASS"),"PASS",IF(AND(OR(M29="PASS",M29="CHECK"),OR(M30="PASS",M30="CHECK"),M31="PASS",M40="PASS",M50="PASS",M57="PASS",M58="PASS",M59 ="PASS",M60="PASS"),"CHECK","FAIL")))</f>
        <v>FAIL</v>
      </c>
      <c r="M24" s="588"/>
      <c r="N24" s="143"/>
      <c r="O24" s="143"/>
      <c r="P24" s="143"/>
      <c r="Q24" s="143"/>
      <c r="R24" s="143"/>
      <c r="S24" s="143"/>
      <c r="T24" s="412" t="s">
        <v>765</v>
      </c>
      <c r="U24" s="713" t="str">
        <f>IF($F$4="NO","N/A",IF(AND(V29="PASS",V30="PASS",V31="PASS",V40="PASS",V50="PASS",V57="PASS",V58="PASS",V59 ="PASS",V60="PASS"),"PASS",IF(AND(OR(V29="PASS",V29="CHECK"),OR(V30="PASS",V30="CHECK"),V31="PASS",V40="PASS",V50="PASS",V57="PASS",V58="PASS",V59 ="PASS",V60="PASS"),"CHECK","FAIL")))</f>
        <v>FAIL</v>
      </c>
      <c r="V24" s="588"/>
      <c r="W24" s="143"/>
      <c r="X24" s="143"/>
      <c r="Y24" s="143"/>
      <c r="Z24" s="143"/>
      <c r="AA24" s="143"/>
      <c r="AB24" s="144"/>
    </row>
    <row r="25" spans="2:28" ht="12.75" customHeight="1">
      <c r="B25" s="732"/>
      <c r="C25" s="595"/>
      <c r="D25" s="596"/>
      <c r="E25" s="419"/>
      <c r="F25" s="64"/>
      <c r="G25" s="64"/>
      <c r="H25" s="64"/>
      <c r="I25" s="64"/>
      <c r="J25" s="96"/>
      <c r="K25" s="732"/>
      <c r="L25" s="595"/>
      <c r="M25" s="596"/>
      <c r="N25" s="64"/>
      <c r="O25" s="64"/>
      <c r="P25" s="64"/>
      <c r="Q25" s="64"/>
      <c r="R25" s="64"/>
      <c r="S25" s="64"/>
      <c r="T25" s="732"/>
      <c r="U25" s="595"/>
      <c r="V25" s="596"/>
      <c r="W25" s="64"/>
      <c r="X25" s="64"/>
      <c r="Y25" s="64"/>
      <c r="Z25" s="64"/>
      <c r="AA25" s="64"/>
      <c r="AB25" s="96"/>
    </row>
    <row r="26" spans="2:28" ht="12.75" customHeight="1">
      <c r="B26" s="420" t="s">
        <v>766</v>
      </c>
      <c r="C26" s="421"/>
      <c r="D26" s="397"/>
      <c r="E26" s="419"/>
      <c r="F26" s="64"/>
      <c r="G26" s="64"/>
      <c r="H26" s="64"/>
      <c r="I26" s="64"/>
      <c r="J26" s="96"/>
      <c r="K26" s="420" t="s">
        <v>766</v>
      </c>
      <c r="L26" s="421"/>
      <c r="M26" s="397"/>
      <c r="N26" s="64"/>
      <c r="O26" s="64"/>
      <c r="P26" s="64"/>
      <c r="Q26" s="64"/>
      <c r="R26" s="64"/>
      <c r="S26" s="64"/>
      <c r="T26" s="420" t="s">
        <v>766</v>
      </c>
      <c r="U26" s="421"/>
      <c r="V26" s="397"/>
      <c r="W26" s="64"/>
      <c r="X26" s="64"/>
      <c r="Y26" s="64"/>
      <c r="Z26" s="64"/>
      <c r="AA26" s="64"/>
      <c r="AB26" s="96"/>
    </row>
    <row r="27" spans="2:28" ht="12.75" customHeight="1">
      <c r="B27" s="251" t="s">
        <v>767</v>
      </c>
      <c r="C27" s="422">
        <f>IF($C$26&gt;0,ROUNDUP(C26/200,0),4)</f>
        <v>4</v>
      </c>
      <c r="D27" s="397"/>
      <c r="E27" s="419"/>
      <c r="F27" s="64"/>
      <c r="G27" s="64"/>
      <c r="H27" s="64"/>
      <c r="I27" s="64"/>
      <c r="J27" s="96"/>
      <c r="K27" s="251" t="s">
        <v>767</v>
      </c>
      <c r="L27" s="422">
        <f>IF(ROUNDUP(L26/200,0)&gt;=2,ROUNDUP(L26/200,0),2)</f>
        <v>2</v>
      </c>
      <c r="M27" s="397"/>
      <c r="N27" s="64"/>
      <c r="O27" s="64"/>
      <c r="P27" s="64"/>
      <c r="Q27" s="64"/>
      <c r="R27" s="64"/>
      <c r="S27" s="64"/>
      <c r="T27" s="251" t="s">
        <v>767</v>
      </c>
      <c r="U27" s="422">
        <f>IF(ROUNDUP(U26/200,0)&gt;=2,ROUNDUP(U26/200,0),2)</f>
        <v>2</v>
      </c>
      <c r="V27" s="397"/>
      <c r="W27" s="64"/>
      <c r="X27" s="64"/>
      <c r="Y27" s="64"/>
      <c r="Z27" s="64"/>
      <c r="AA27" s="64"/>
      <c r="AB27" s="96"/>
    </row>
    <row r="28" spans="2:28" ht="12.75" customHeight="1">
      <c r="B28" s="586"/>
      <c r="C28" s="587"/>
      <c r="D28" s="588"/>
      <c r="E28" s="419"/>
      <c r="F28" s="64"/>
      <c r="G28" s="64"/>
      <c r="H28" s="64"/>
      <c r="I28" s="64"/>
      <c r="J28" s="96"/>
      <c r="K28" s="586"/>
      <c r="L28" s="587"/>
      <c r="M28" s="588"/>
      <c r="N28" s="64"/>
      <c r="O28" s="64"/>
      <c r="P28" s="64"/>
      <c r="Q28" s="64"/>
      <c r="R28" s="64"/>
      <c r="S28" s="64"/>
      <c r="T28" s="586"/>
      <c r="U28" s="587"/>
      <c r="V28" s="588"/>
      <c r="W28" s="64"/>
      <c r="X28" s="64"/>
      <c r="Y28" s="64"/>
      <c r="Z28" s="64"/>
      <c r="AA28" s="64"/>
      <c r="AB28" s="96"/>
    </row>
    <row r="29" spans="2:28" ht="12.75" customHeight="1">
      <c r="B29" s="382" t="s">
        <v>729</v>
      </c>
      <c r="C29" s="423">
        <v>8</v>
      </c>
      <c r="D29" s="393" t="str">
        <f>IF(C29&gt;=8,"PASS",IF(AND(C29&lt;8,C30&gt;=10),"CHECK",IF(OR(AND(C29&lt;8,C30&lt;C27),AND(C29&lt;6,C30&lt;10)),"FAIL","FAIL")))</f>
        <v>PASS</v>
      </c>
      <c r="E29" s="424"/>
      <c r="F29" s="425"/>
      <c r="G29" s="426"/>
      <c r="H29" s="425"/>
      <c r="I29" s="64"/>
      <c r="J29" s="96"/>
      <c r="K29" s="382" t="s">
        <v>729</v>
      </c>
      <c r="L29" s="423"/>
      <c r="M29" s="393" t="str">
        <f>IF(L29&gt;=8,"PASS",IF(AND(L29&lt;8,L30&gt;=10),"CHECK",IF(OR(AND(L29&lt;8,L30&lt;L27),AND(L29&lt;6,L30&lt;10)),"FAIL","FAIL")))</f>
        <v>FAIL</v>
      </c>
      <c r="N29" s="64"/>
      <c r="O29" s="64"/>
      <c r="P29" s="64"/>
      <c r="Q29" s="64"/>
      <c r="R29" s="64"/>
      <c r="S29" s="64"/>
      <c r="T29" s="382" t="s">
        <v>729</v>
      </c>
      <c r="U29" s="423"/>
      <c r="V29" s="393" t="str">
        <f>IF(U29&gt;=8,"PASS",IF(AND(U29&lt;8,U30&gt;=10),"CHECK",IF(OR(AND(U29&lt;8,U30&lt;U27),AND(U29&lt;6,U30&lt;10)),"FAIL","FAIL")))</f>
        <v>FAIL</v>
      </c>
      <c r="W29" s="64"/>
      <c r="X29" s="64"/>
      <c r="Y29" s="64"/>
      <c r="Z29" s="64"/>
      <c r="AA29" s="64"/>
      <c r="AB29" s="96"/>
    </row>
    <row r="30" spans="2:28" ht="12.75" customHeight="1">
      <c r="B30" s="382" t="s">
        <v>730</v>
      </c>
      <c r="C30" s="142">
        <v>8</v>
      </c>
      <c r="D30" s="393" t="str">
        <f>IF(AND(C30&gt;=C27,C29&gt;=8),"PASS",IF(C30&lt;C27,"FAIL",IF(AND(C30&gt;C27,C29&lt;8),"CHECK",IF(AND(C30&gt;=C27,C29&lt;8),"FAIL","FAIL"))))</f>
        <v>PASS</v>
      </c>
      <c r="E30" s="64"/>
      <c r="F30" s="425"/>
      <c r="G30" s="64"/>
      <c r="H30" s="425"/>
      <c r="I30" s="64"/>
      <c r="J30" s="96"/>
      <c r="K30" s="382" t="s">
        <v>730</v>
      </c>
      <c r="L30" s="142"/>
      <c r="M30" s="393" t="str">
        <f>IF(AND(L30&gt;=L27,L29&gt;=8),"PASS",IF(L30&lt;L27,"FAIL",IF(AND(L30&gt;L27,L29&lt;8),"CHECK",IF(AND(L30&gt;=L27,L29&lt;8),"FAIL","FAIL"))))</f>
        <v>FAIL</v>
      </c>
      <c r="N30" s="64"/>
      <c r="O30" s="64"/>
      <c r="P30" s="64"/>
      <c r="Q30" s="64"/>
      <c r="R30" s="64"/>
      <c r="S30" s="64"/>
      <c r="T30" s="382" t="s">
        <v>730</v>
      </c>
      <c r="U30" s="142"/>
      <c r="V30" s="393" t="str">
        <f>IF(AND(U30&gt;=U27,U29&gt;=8),"PASS",IF(U30&lt;U27,"FAIL",IF(AND(U30&gt;U27,U29&lt;8),"CHECK",IF(AND(U30&gt;=U27,U29&lt;8),"FAIL","FAIL"))))</f>
        <v>FAIL</v>
      </c>
      <c r="W30" s="64"/>
      <c r="X30" s="64"/>
      <c r="Y30" s="64"/>
      <c r="Z30" s="64"/>
      <c r="AA30" s="64"/>
      <c r="AB30" s="96"/>
    </row>
    <row r="31" spans="2:28" ht="12.75" customHeight="1">
      <c r="B31" s="382" t="s">
        <v>768</v>
      </c>
      <c r="C31" s="103"/>
      <c r="D31" s="393" t="str">
        <f>IFERROR(IF(AND(C30&gt;=C27,C31&lt;=(1.2*C26/C30),C31&gt;=30),"PASS","FAIL"),"FAIL")</f>
        <v>FAIL</v>
      </c>
      <c r="E31" s="64"/>
      <c r="F31" s="98"/>
      <c r="G31" s="64"/>
      <c r="H31" s="98"/>
      <c r="I31" s="64"/>
      <c r="J31" s="96"/>
      <c r="K31" s="382" t="s">
        <v>768</v>
      </c>
      <c r="L31" s="103"/>
      <c r="M31" s="393" t="str">
        <f>IFERROR(IF(AND(L30&gt;=L27,L31&lt;=(1.05*L26/L27),L31&gt;=30),"PASS","FAIL"),"FAIL")</f>
        <v>FAIL</v>
      </c>
      <c r="N31" s="64"/>
      <c r="O31" s="64"/>
      <c r="P31" s="64"/>
      <c r="Q31" s="64"/>
      <c r="R31" s="64"/>
      <c r="S31" s="64"/>
      <c r="T31" s="382" t="s">
        <v>769</v>
      </c>
      <c r="U31" s="103"/>
      <c r="V31" s="393" t="str">
        <f>IFERROR(IF(AND(U30&gt;=U27,U31&lt;=(1.05*U26/U27),U31&gt;=30),"PASS","FAIL"),"FAIL")</f>
        <v>FAIL</v>
      </c>
      <c r="W31" s="64"/>
      <c r="X31" s="64"/>
      <c r="Y31" s="64"/>
      <c r="Z31" s="64"/>
      <c r="AA31" s="64"/>
      <c r="AB31" s="96"/>
    </row>
    <row r="32" spans="2:28" ht="12.75" customHeight="1">
      <c r="B32" s="382"/>
      <c r="C32" s="37"/>
      <c r="D32" s="395"/>
      <c r="E32" s="64"/>
      <c r="F32" s="98"/>
      <c r="G32" s="64"/>
      <c r="H32" s="98"/>
      <c r="I32" s="64"/>
      <c r="J32" s="96"/>
      <c r="K32" s="382"/>
      <c r="L32" s="37"/>
      <c r="M32" s="395"/>
      <c r="N32" s="64"/>
      <c r="O32" s="64"/>
      <c r="P32" s="64"/>
      <c r="Q32" s="64"/>
      <c r="R32" s="64"/>
      <c r="S32" s="64"/>
      <c r="T32" s="382"/>
      <c r="U32" s="37"/>
      <c r="V32" s="395"/>
      <c r="W32" s="64"/>
      <c r="X32" s="64"/>
      <c r="Y32" s="64"/>
      <c r="Z32" s="64"/>
      <c r="AA32" s="64"/>
      <c r="AB32" s="96"/>
    </row>
    <row r="33" spans="2:28" ht="12.75" customHeight="1">
      <c r="B33" s="733"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595"/>
      <c r="D33" s="596"/>
      <c r="E33" s="64"/>
      <c r="F33" s="98"/>
      <c r="G33" s="64"/>
      <c r="H33" s="98"/>
      <c r="I33" s="64"/>
      <c r="J33" s="96"/>
      <c r="K33" s="733" t="str">
        <f>IF(AND($M$29="PASS",$M$30="PASS",$M$31="PASS"),"General design O.K - now, fill out attachment characteristics below:",IF(M31="FAIL",IF(OR(M29="FAIL",M30="FAIL"),"Proof of equivalence required","Check distribution of bolts and elaborate below."),"Proof of equivalence required"))</f>
        <v>Proof of equivalence required</v>
      </c>
      <c r="L33" s="595"/>
      <c r="M33" s="596"/>
      <c r="N33" s="64"/>
      <c r="O33" s="64"/>
      <c r="P33" s="64"/>
      <c r="Q33" s="64"/>
      <c r="R33" s="64"/>
      <c r="S33" s="64"/>
      <c r="T33" s="733" t="str">
        <f>IF(AND(V$29="PASS",V$30="PASS",$V$31="PASS"),"General design O.K - now, fill out attachment characteristics below:",IF(V31="FAIL",IF(OR(V29="FAIL",V30="FAIL"),"Proof of equivalence required","Check distribution of bolts and elaborate below."),"Proof of equivalence required"))</f>
        <v>Proof of equivalence required</v>
      </c>
      <c r="U33" s="595"/>
      <c r="V33" s="596"/>
      <c r="W33" s="64"/>
      <c r="X33" s="64"/>
      <c r="Y33" s="64"/>
      <c r="Z33" s="64"/>
      <c r="AA33" s="64"/>
      <c r="AB33" s="96"/>
    </row>
    <row r="34" spans="2:28" ht="12.75" customHeight="1">
      <c r="B34" s="597"/>
      <c r="C34" s="598"/>
      <c r="D34" s="599"/>
      <c r="E34" s="64"/>
      <c r="F34" s="98" t="s">
        <v>770</v>
      </c>
      <c r="G34" s="64"/>
      <c r="H34" s="98"/>
      <c r="I34" s="64"/>
      <c r="J34" s="96"/>
      <c r="K34" s="597"/>
      <c r="L34" s="598"/>
      <c r="M34" s="599"/>
      <c r="N34" s="64"/>
      <c r="O34" s="64"/>
      <c r="P34" s="64"/>
      <c r="Q34" s="64"/>
      <c r="R34" s="64"/>
      <c r="S34" s="64"/>
      <c r="T34" s="597"/>
      <c r="U34" s="598"/>
      <c r="V34" s="599"/>
      <c r="W34" s="64"/>
      <c r="X34" s="64"/>
      <c r="Y34" s="64"/>
      <c r="Z34" s="64"/>
      <c r="AA34" s="64"/>
      <c r="AB34" s="96"/>
    </row>
    <row r="35" spans="2:28" ht="12.75" customHeight="1">
      <c r="B35" s="427"/>
      <c r="C35" s="428"/>
      <c r="D35" s="429"/>
      <c r="E35" s="64"/>
      <c r="F35" s="98"/>
      <c r="G35" s="64"/>
      <c r="H35" s="98"/>
      <c r="I35" s="64"/>
      <c r="J35" s="96"/>
      <c r="K35" s="427"/>
      <c r="L35" s="428"/>
      <c r="M35" s="429"/>
      <c r="N35" s="64"/>
      <c r="O35" s="64"/>
      <c r="P35" s="64"/>
      <c r="Q35" s="64"/>
      <c r="R35" s="64"/>
      <c r="S35" s="64"/>
      <c r="T35" s="427"/>
      <c r="U35" s="428"/>
      <c r="V35" s="429"/>
      <c r="W35" s="64"/>
      <c r="X35" s="64"/>
      <c r="Y35" s="64"/>
      <c r="Z35" s="64"/>
      <c r="AA35" s="64"/>
      <c r="AB35" s="96"/>
    </row>
    <row r="36" spans="2:28" ht="12.75" customHeight="1">
      <c r="B36" s="430"/>
      <c r="C36" s="63"/>
      <c r="D36" s="431"/>
      <c r="E36" s="64"/>
      <c r="F36" s="98"/>
      <c r="G36" s="64"/>
      <c r="H36" s="98"/>
      <c r="I36" s="64"/>
      <c r="J36" s="96"/>
      <c r="K36" s="729" t="s">
        <v>771</v>
      </c>
      <c r="L36" s="587"/>
      <c r="M36" s="588"/>
      <c r="N36" s="64"/>
      <c r="O36" s="64"/>
      <c r="P36" s="64"/>
      <c r="Q36" s="64"/>
      <c r="R36" s="64"/>
      <c r="S36" s="64"/>
      <c r="T36" s="729" t="s">
        <v>771</v>
      </c>
      <c r="U36" s="587"/>
      <c r="V36" s="588"/>
      <c r="W36" s="64"/>
      <c r="X36" s="64"/>
      <c r="Y36" s="64"/>
      <c r="Z36" s="64"/>
      <c r="AA36" s="64"/>
      <c r="AB36" s="96"/>
    </row>
    <row r="37" spans="2:28" ht="12.75" customHeight="1">
      <c r="B37" s="430"/>
      <c r="C37" s="63"/>
      <c r="D37" s="431"/>
      <c r="E37" s="64"/>
      <c r="F37" s="98"/>
      <c r="G37" s="64"/>
      <c r="H37" s="98"/>
      <c r="I37" s="64"/>
      <c r="J37" s="96"/>
      <c r="K37" s="243" t="s">
        <v>739</v>
      </c>
      <c r="L37" s="730" t="s">
        <v>205</v>
      </c>
      <c r="M37" s="588"/>
      <c r="N37" s="64"/>
      <c r="O37" s="64"/>
      <c r="P37" s="64"/>
      <c r="Q37" s="64"/>
      <c r="R37" s="64"/>
      <c r="S37" s="64"/>
      <c r="T37" s="243" t="s">
        <v>739</v>
      </c>
      <c r="U37" s="730" t="s">
        <v>205</v>
      </c>
      <c r="V37" s="588"/>
      <c r="W37" s="64"/>
      <c r="X37" s="64"/>
      <c r="Y37" s="64"/>
      <c r="Z37" s="64"/>
      <c r="AA37" s="64"/>
      <c r="AB37" s="96"/>
    </row>
    <row r="38" spans="2:28" ht="12.75" customHeight="1">
      <c r="B38" s="430"/>
      <c r="C38" s="63"/>
      <c r="D38" s="431"/>
      <c r="E38" s="64"/>
      <c r="F38" s="98"/>
      <c r="G38" s="64"/>
      <c r="H38" s="98"/>
      <c r="I38" s="64"/>
      <c r="J38" s="96"/>
      <c r="K38" s="243" t="s">
        <v>741</v>
      </c>
      <c r="L38" s="731" t="s">
        <v>220</v>
      </c>
      <c r="M38" s="588"/>
      <c r="N38" s="64"/>
      <c r="O38" s="64"/>
      <c r="P38" s="64"/>
      <c r="Q38" s="64"/>
      <c r="R38" s="64"/>
      <c r="S38" s="64"/>
      <c r="T38" s="243" t="s">
        <v>741</v>
      </c>
      <c r="U38" s="731" t="s">
        <v>220</v>
      </c>
      <c r="V38" s="588"/>
      <c r="W38" s="64"/>
      <c r="X38" s="64"/>
      <c r="Y38" s="64"/>
      <c r="Z38" s="64"/>
      <c r="AA38" s="64"/>
      <c r="AB38" s="96"/>
    </row>
    <row r="39" spans="2:28" ht="12.75" customHeight="1">
      <c r="B39" s="243" t="s">
        <v>772</v>
      </c>
      <c r="C39" s="432">
        <f>'T3.16.3 IA AI Plate'!D19</f>
        <v>1.5</v>
      </c>
      <c r="D39" s="397"/>
      <c r="E39" s="64"/>
      <c r="F39" s="433"/>
      <c r="G39" s="64"/>
      <c r="H39" s="98"/>
      <c r="I39" s="64"/>
      <c r="J39" s="96"/>
      <c r="K39" s="243" t="s">
        <v>773</v>
      </c>
      <c r="L39" s="401">
        <v>200</v>
      </c>
      <c r="M39" s="397"/>
      <c r="N39" s="64"/>
      <c r="O39" s="64"/>
      <c r="P39" s="64"/>
      <c r="Q39" s="64"/>
      <c r="R39" s="64"/>
      <c r="S39" s="64"/>
      <c r="T39" s="243" t="s">
        <v>773</v>
      </c>
      <c r="U39" s="401">
        <v>200</v>
      </c>
      <c r="V39" s="397"/>
      <c r="W39" s="64"/>
      <c r="X39" s="64"/>
      <c r="Y39" s="64"/>
      <c r="Z39" s="64"/>
      <c r="AA39" s="64"/>
      <c r="AB39" s="96"/>
    </row>
    <row r="40" spans="2:28" ht="12.75" customHeight="1">
      <c r="B40" s="251" t="s">
        <v>774</v>
      </c>
      <c r="C40" s="434"/>
      <c r="D40" s="435"/>
      <c r="E40" s="64"/>
      <c r="F40" s="98"/>
      <c r="G40" s="64"/>
      <c r="H40" s="98"/>
      <c r="I40" s="64"/>
      <c r="J40" s="96"/>
      <c r="K40" s="243" t="s">
        <v>775</v>
      </c>
      <c r="L40" s="401">
        <v>2</v>
      </c>
      <c r="M40" s="397" t="str">
        <f>IF(L40&gt;=2,"PASS","FAIL")</f>
        <v>PASS</v>
      </c>
      <c r="N40" s="64"/>
      <c r="O40" s="64"/>
      <c r="P40" s="64"/>
      <c r="Q40" s="64"/>
      <c r="R40" s="64"/>
      <c r="S40" s="64"/>
      <c r="T40" s="243" t="s">
        <v>775</v>
      </c>
      <c r="U40" s="401">
        <v>2</v>
      </c>
      <c r="V40" s="397" t="str">
        <f>IF(U40&gt;=2,"PASS","FAIL")</f>
        <v>PASS</v>
      </c>
      <c r="W40" s="64"/>
      <c r="X40" s="64"/>
      <c r="Y40" s="64"/>
      <c r="Z40" s="64"/>
      <c r="AA40" s="64"/>
      <c r="AB40" s="96"/>
    </row>
    <row r="41" spans="2:28" ht="12.75" customHeight="1">
      <c r="B41" s="243" t="s">
        <v>744</v>
      </c>
      <c r="C41" s="436">
        <f>'T3.12 T3.5 Ft Bulkhead'!$F$24</f>
        <v>0</v>
      </c>
      <c r="D41" s="397"/>
      <c r="E41" s="64"/>
      <c r="F41" s="98"/>
      <c r="G41" s="64"/>
      <c r="H41" s="98"/>
      <c r="I41" s="64"/>
      <c r="J41" s="96"/>
      <c r="K41" s="243" t="s">
        <v>735</v>
      </c>
      <c r="L41" s="401">
        <v>200</v>
      </c>
      <c r="M41" s="397"/>
      <c r="N41" s="64"/>
      <c r="O41" s="64"/>
      <c r="P41" s="64"/>
      <c r="Q41" s="64"/>
      <c r="R41" s="64"/>
      <c r="S41" s="64"/>
      <c r="T41" s="243" t="s">
        <v>735</v>
      </c>
      <c r="U41" s="401">
        <v>200</v>
      </c>
      <c r="V41" s="397"/>
      <c r="W41" s="64"/>
      <c r="X41" s="64"/>
      <c r="Y41" s="64"/>
      <c r="Z41" s="64"/>
      <c r="AA41" s="64"/>
      <c r="AB41" s="96"/>
    </row>
    <row r="42" spans="2:28" ht="12.75" customHeight="1">
      <c r="B42" s="243" t="s">
        <v>735</v>
      </c>
      <c r="C42" s="413"/>
      <c r="D42" s="397"/>
      <c r="E42" s="64"/>
      <c r="F42" s="98"/>
      <c r="G42" s="64"/>
      <c r="H42" s="98"/>
      <c r="I42" s="64"/>
      <c r="J42" s="96"/>
      <c r="K42" s="243" t="s">
        <v>738</v>
      </c>
      <c r="L42" s="401">
        <v>60</v>
      </c>
      <c r="M42" s="393"/>
      <c r="N42" s="64"/>
      <c r="O42" s="64"/>
      <c r="P42" s="64"/>
      <c r="Q42" s="64"/>
      <c r="R42" s="64"/>
      <c r="S42" s="64"/>
      <c r="T42" s="243" t="s">
        <v>738</v>
      </c>
      <c r="U42" s="401">
        <v>60</v>
      </c>
      <c r="V42" s="397"/>
      <c r="W42" s="64"/>
      <c r="X42" s="64"/>
      <c r="Y42" s="64"/>
      <c r="Z42" s="64"/>
      <c r="AA42" s="64"/>
      <c r="AB42" s="96"/>
    </row>
    <row r="43" spans="2:28" ht="12.75" customHeight="1">
      <c r="B43" s="243" t="s">
        <v>744</v>
      </c>
      <c r="C43" s="436">
        <f>'T3.12 T3.5 Ft Bulkhead'!$F$23</f>
        <v>0</v>
      </c>
      <c r="D43" s="397"/>
      <c r="E43" s="426"/>
      <c r="F43" s="425"/>
      <c r="G43" s="426"/>
      <c r="H43" s="425"/>
      <c r="I43" s="64"/>
      <c r="J43" s="96"/>
      <c r="K43" s="243" t="s">
        <v>744</v>
      </c>
      <c r="L43" s="223">
        <v>2</v>
      </c>
      <c r="M43" s="405" t="str">
        <f>IF(L43&lt;0.4*L44,"FAIL, see T3.4.4","")</f>
        <v/>
      </c>
      <c r="N43" s="64"/>
      <c r="O43" s="64"/>
      <c r="P43" s="64"/>
      <c r="Q43" s="64"/>
      <c r="R43" s="64"/>
      <c r="S43" s="64"/>
      <c r="T43" s="243" t="s">
        <v>744</v>
      </c>
      <c r="U43" s="223">
        <v>2</v>
      </c>
      <c r="V43" s="405" t="str">
        <f>IF(U43&lt;0.4*U44,"FAIL, see T3.4.4","")</f>
        <v/>
      </c>
      <c r="W43" s="64"/>
      <c r="X43" s="64"/>
      <c r="Y43" s="64"/>
      <c r="Z43" s="64"/>
      <c r="AA43" s="64"/>
      <c r="AB43" s="96"/>
    </row>
    <row r="44" spans="2:28" ht="12.75" customHeight="1">
      <c r="B44" s="243" t="s">
        <v>736</v>
      </c>
      <c r="C44" s="223"/>
      <c r="D44" s="397" t="str">
        <f>IF(C44&gt;=2,"PASS","FAIL")</f>
        <v>FAIL</v>
      </c>
      <c r="E44" s="426"/>
      <c r="F44" s="425"/>
      <c r="G44" s="426"/>
      <c r="H44" s="425"/>
      <c r="I44" s="64"/>
      <c r="J44" s="96"/>
      <c r="K44" s="243" t="s">
        <v>744</v>
      </c>
      <c r="L44" s="223">
        <v>2</v>
      </c>
      <c r="M44" s="405" t="str">
        <f>IF(L44&lt;0.4*L43,"FAIL, see T3.4.4","")</f>
        <v/>
      </c>
      <c r="N44" s="64"/>
      <c r="O44" s="64"/>
      <c r="P44" s="64"/>
      <c r="Q44" s="64"/>
      <c r="R44" s="64"/>
      <c r="S44" s="64"/>
      <c r="T44" s="243" t="s">
        <v>744</v>
      </c>
      <c r="U44" s="223">
        <v>2</v>
      </c>
      <c r="V44" s="405" t="str">
        <f>IF(U44&lt;0.4*U43,"FAIL, see T3.4.4","")</f>
        <v/>
      </c>
      <c r="W44" s="64"/>
      <c r="X44" s="64"/>
      <c r="Y44" s="64"/>
      <c r="Z44" s="64"/>
      <c r="AA44" s="64"/>
      <c r="AB44" s="96"/>
    </row>
    <row r="45" spans="2:28" ht="12.75" customHeight="1">
      <c r="B45" s="243" t="s">
        <v>737</v>
      </c>
      <c r="C45" s="223"/>
      <c r="D45" s="47"/>
      <c r="E45" s="426"/>
      <c r="F45" s="425"/>
      <c r="G45" s="426"/>
      <c r="H45" s="425"/>
      <c r="I45" s="64"/>
      <c r="J45" s="96"/>
      <c r="K45" s="243" t="s">
        <v>742</v>
      </c>
      <c r="L45" s="401">
        <v>50</v>
      </c>
      <c r="M45" s="437"/>
      <c r="N45" s="64"/>
      <c r="O45" s="64"/>
      <c r="P45" s="64"/>
      <c r="Q45" s="64"/>
      <c r="R45" s="64"/>
      <c r="S45" s="64"/>
      <c r="T45" s="243" t="s">
        <v>742</v>
      </c>
      <c r="U45" s="401">
        <v>50</v>
      </c>
      <c r="V45" s="391"/>
      <c r="W45" s="64"/>
      <c r="X45" s="64"/>
      <c r="Y45" s="64"/>
      <c r="Z45" s="64"/>
      <c r="AA45" s="64"/>
      <c r="AB45" s="96"/>
    </row>
    <row r="46" spans="2:28" ht="12.75" customHeight="1">
      <c r="B46" s="243" t="s">
        <v>738</v>
      </c>
      <c r="C46" s="413"/>
      <c r="D46" s="397"/>
      <c r="E46" s="426"/>
      <c r="F46" s="425"/>
      <c r="G46" s="426"/>
      <c r="H46" s="425"/>
      <c r="I46" s="64"/>
      <c r="J46" s="96"/>
      <c r="K46" s="729" t="s">
        <v>776</v>
      </c>
      <c r="L46" s="587"/>
      <c r="M46" s="588"/>
      <c r="N46" s="64"/>
      <c r="O46" s="64"/>
      <c r="P46" s="64"/>
      <c r="Q46" s="64"/>
      <c r="R46" s="64"/>
      <c r="S46" s="64"/>
      <c r="T46" s="729" t="s">
        <v>776</v>
      </c>
      <c r="U46" s="587"/>
      <c r="V46" s="588"/>
      <c r="W46" s="64"/>
      <c r="X46" s="64"/>
      <c r="Y46" s="64"/>
      <c r="Z46" s="64"/>
      <c r="AA46" s="64"/>
      <c r="AB46" s="96"/>
    </row>
    <row r="47" spans="2:28" ht="12.75" customHeight="1">
      <c r="B47" s="243" t="s">
        <v>742</v>
      </c>
      <c r="C47" s="407">
        <f>'T3.12 T3.5 Ft Bulkhead'!$F$13/1000000</f>
        <v>0</v>
      </c>
      <c r="D47" s="397"/>
      <c r="E47" s="426"/>
      <c r="F47" s="425"/>
      <c r="G47" s="426"/>
      <c r="H47" s="425"/>
      <c r="I47" s="64"/>
      <c r="J47" s="96"/>
      <c r="K47" s="243" t="s">
        <v>739</v>
      </c>
      <c r="L47" s="730" t="s">
        <v>205</v>
      </c>
      <c r="M47" s="588"/>
      <c r="N47" s="64"/>
      <c r="O47" s="64"/>
      <c r="P47" s="64"/>
      <c r="Q47" s="64"/>
      <c r="R47" s="64"/>
      <c r="S47" s="64"/>
      <c r="T47" s="243" t="s">
        <v>739</v>
      </c>
      <c r="U47" s="730" t="s">
        <v>205</v>
      </c>
      <c r="V47" s="588"/>
      <c r="W47" s="64"/>
      <c r="X47" s="64"/>
      <c r="Y47" s="64"/>
      <c r="Z47" s="64"/>
      <c r="AA47" s="64"/>
      <c r="AB47" s="96"/>
    </row>
    <row r="48" spans="2:28" ht="12.75" customHeight="1">
      <c r="B48" s="243" t="s">
        <v>746</v>
      </c>
      <c r="C48" s="407">
        <f>IF('T3.16.3 IA AI Plate'!D8="Alternative AIP","N/A",C39*C40*'T3.16.3 IA AI Plate'!D15/1000000000)</f>
        <v>0</v>
      </c>
      <c r="D48" s="397" t="str">
        <f>IF('T3.16.3 IA AI Plate'!D8="Alternative AIP","N/A",IF(C48&gt;=23,"PASS","FAIL"))</f>
        <v>FAIL</v>
      </c>
      <c r="E48" s="64"/>
      <c r="F48" s="425"/>
      <c r="G48" s="64"/>
      <c r="H48" s="425"/>
      <c r="I48" s="64"/>
      <c r="J48" s="96"/>
      <c r="K48" s="243" t="s">
        <v>741</v>
      </c>
      <c r="L48" s="731" t="s">
        <v>220</v>
      </c>
      <c r="M48" s="588"/>
      <c r="N48" s="64"/>
      <c r="O48" s="64"/>
      <c r="P48" s="64"/>
      <c r="Q48" s="64"/>
      <c r="R48" s="64"/>
      <c r="S48" s="64"/>
      <c r="T48" s="243" t="s">
        <v>741</v>
      </c>
      <c r="U48" s="731" t="s">
        <v>220</v>
      </c>
      <c r="V48" s="588"/>
      <c r="W48" s="64"/>
      <c r="X48" s="64"/>
      <c r="Y48" s="64"/>
      <c r="Z48" s="64"/>
      <c r="AA48" s="64"/>
      <c r="AB48" s="96"/>
    </row>
    <row r="49" spans="1:28" ht="12.75" customHeight="1">
      <c r="B49" s="243" t="s">
        <v>746</v>
      </c>
      <c r="C49" s="407">
        <f>((C41*C42)+(C43*C45))*C47*0.001</f>
        <v>0</v>
      </c>
      <c r="D49" s="397" t="str">
        <f t="shared" ref="D49:D50" si="0">IF(C49&gt;=23,"PASS","FAIL")</f>
        <v>FAIL</v>
      </c>
      <c r="E49" s="64"/>
      <c r="F49" s="98"/>
      <c r="G49" s="64"/>
      <c r="H49" s="98"/>
      <c r="I49" s="64"/>
      <c r="J49" s="96"/>
      <c r="K49" s="243" t="s">
        <v>773</v>
      </c>
      <c r="L49" s="401">
        <v>200</v>
      </c>
      <c r="M49" s="397"/>
      <c r="N49" s="64"/>
      <c r="O49" s="64"/>
      <c r="P49" s="64"/>
      <c r="Q49" s="64"/>
      <c r="R49" s="64"/>
      <c r="S49" s="64"/>
      <c r="T49" s="243" t="s">
        <v>773</v>
      </c>
      <c r="U49" s="401">
        <v>200</v>
      </c>
      <c r="V49" s="397"/>
      <c r="W49" s="64"/>
      <c r="X49" s="64"/>
      <c r="Y49" s="64"/>
      <c r="Z49" s="64"/>
      <c r="AA49" s="64"/>
      <c r="AB49" s="96"/>
    </row>
    <row r="50" spans="1:28" ht="12.75" customHeight="1">
      <c r="B50" s="43" t="s">
        <v>747</v>
      </c>
      <c r="C50" s="403">
        <f>C47*2*C46*(C41+C43)*0.001</f>
        <v>0</v>
      </c>
      <c r="D50" s="397" t="str">
        <f t="shared" si="0"/>
        <v>FAIL</v>
      </c>
      <c r="E50" s="426"/>
      <c r="F50" s="425"/>
      <c r="G50" s="426"/>
      <c r="H50" s="425"/>
      <c r="I50" s="426"/>
      <c r="J50" s="438"/>
      <c r="K50" s="243" t="s">
        <v>775</v>
      </c>
      <c r="L50" s="401">
        <v>2</v>
      </c>
      <c r="M50" s="397" t="str">
        <f>IF(L50&gt;=2,"PASS","FAIL")</f>
        <v>PASS</v>
      </c>
      <c r="N50" s="64"/>
      <c r="O50" s="64"/>
      <c r="P50" s="64"/>
      <c r="Q50" s="64"/>
      <c r="R50" s="64"/>
      <c r="S50" s="64"/>
      <c r="T50" s="243" t="s">
        <v>775</v>
      </c>
      <c r="U50" s="401">
        <v>2</v>
      </c>
      <c r="V50" s="397" t="str">
        <f>IF(U50&gt;=2,"PASS","FAIL")</f>
        <v>PASS</v>
      </c>
      <c r="W50" s="64"/>
      <c r="X50" s="64"/>
      <c r="Y50" s="64"/>
      <c r="Z50" s="64"/>
      <c r="AA50" s="64"/>
      <c r="AB50" s="96"/>
    </row>
    <row r="51" spans="1:28" ht="12.75" customHeight="1">
      <c r="B51" s="721" t="s">
        <v>777</v>
      </c>
      <c r="C51" s="595"/>
      <c r="D51" s="596"/>
      <c r="E51" s="426"/>
      <c r="F51" s="425"/>
      <c r="G51" s="426"/>
      <c r="H51" s="425"/>
      <c r="I51" s="64"/>
      <c r="J51" s="64"/>
      <c r="K51" s="243" t="s">
        <v>735</v>
      </c>
      <c r="L51" s="401">
        <v>200</v>
      </c>
      <c r="M51" s="397"/>
      <c r="N51" s="64"/>
      <c r="O51" s="64"/>
      <c r="P51" s="64"/>
      <c r="Q51" s="64"/>
      <c r="R51" s="64"/>
      <c r="S51" s="64"/>
      <c r="T51" s="243" t="s">
        <v>735</v>
      </c>
      <c r="U51" s="401">
        <v>200</v>
      </c>
      <c r="V51" s="397"/>
      <c r="W51" s="64"/>
      <c r="X51" s="64"/>
      <c r="Y51" s="64"/>
      <c r="Z51" s="64"/>
      <c r="AA51" s="64"/>
      <c r="AB51" s="96"/>
    </row>
    <row r="52" spans="1:28" ht="12.75" customHeight="1">
      <c r="B52" s="600"/>
      <c r="C52" s="601"/>
      <c r="D52" s="602"/>
      <c r="E52" s="426"/>
      <c r="F52" s="425"/>
      <c r="G52" s="426"/>
      <c r="H52" s="425"/>
      <c r="I52" s="64"/>
      <c r="J52" s="64"/>
      <c r="K52" s="243" t="s">
        <v>738</v>
      </c>
      <c r="L52" s="401">
        <v>60</v>
      </c>
      <c r="M52" s="397"/>
      <c r="N52" s="64"/>
      <c r="O52" s="64"/>
      <c r="P52" s="64"/>
      <c r="Q52" s="64"/>
      <c r="R52" s="64"/>
      <c r="S52" s="64"/>
      <c r="T52" s="243" t="s">
        <v>738</v>
      </c>
      <c r="U52" s="401">
        <v>60</v>
      </c>
      <c r="V52" s="397"/>
      <c r="W52" s="64"/>
      <c r="X52" s="64"/>
      <c r="Y52" s="64"/>
      <c r="Z52" s="64"/>
      <c r="AA52" s="64"/>
      <c r="AB52" s="96"/>
    </row>
    <row r="53" spans="1:28" ht="12.75" customHeight="1">
      <c r="B53" s="95"/>
      <c r="C53" s="64"/>
      <c r="D53" s="64"/>
      <c r="E53" s="426"/>
      <c r="F53" s="425"/>
      <c r="G53" s="426"/>
      <c r="H53" s="425"/>
      <c r="I53" s="64"/>
      <c r="J53" s="64"/>
      <c r="K53" s="243" t="s">
        <v>744</v>
      </c>
      <c r="L53" s="223">
        <v>2</v>
      </c>
      <c r="M53" s="405" t="str">
        <f>IF(L53&lt;0.4*L54,"FAIL, see T3.4.4","")</f>
        <v/>
      </c>
      <c r="N53" s="64"/>
      <c r="O53" s="64"/>
      <c r="P53" s="64"/>
      <c r="Q53" s="64"/>
      <c r="R53" s="64"/>
      <c r="S53" s="64"/>
      <c r="T53" s="243" t="s">
        <v>744</v>
      </c>
      <c r="U53" s="223">
        <v>2</v>
      </c>
      <c r="V53" s="405" t="str">
        <f>IF(U53&lt;0.4*U54,"FAIL, see T3.4.4","")</f>
        <v/>
      </c>
      <c r="W53" s="64"/>
      <c r="X53" s="64"/>
      <c r="Y53" s="64"/>
      <c r="Z53" s="64"/>
      <c r="AA53" s="64"/>
      <c r="AB53" s="96"/>
    </row>
    <row r="54" spans="1:28" ht="12.75" customHeight="1">
      <c r="A54" s="34"/>
      <c r="B54" s="95"/>
      <c r="C54" s="64"/>
      <c r="D54" s="64"/>
      <c r="E54" s="64"/>
      <c r="F54" s="64"/>
      <c r="G54" s="64"/>
      <c r="H54" s="64"/>
      <c r="I54" s="64"/>
      <c r="J54" s="64"/>
      <c r="K54" s="243" t="s">
        <v>744</v>
      </c>
      <c r="L54" s="223">
        <v>2</v>
      </c>
      <c r="M54" s="405" t="str">
        <f>IF(L54&lt;0.4*L53,"FAIL, see T3.4.4","")</f>
        <v/>
      </c>
      <c r="N54" s="64"/>
      <c r="O54" s="64"/>
      <c r="P54" s="64"/>
      <c r="Q54" s="64"/>
      <c r="R54" s="64"/>
      <c r="S54" s="64"/>
      <c r="T54" s="243" t="s">
        <v>744</v>
      </c>
      <c r="U54" s="223">
        <v>2</v>
      </c>
      <c r="V54" s="405" t="str">
        <f>IF(U54&lt;0.4*U53,"FAIL, see T3.4.4","")</f>
        <v/>
      </c>
      <c r="W54" s="64"/>
      <c r="X54" s="64"/>
      <c r="Y54" s="64"/>
      <c r="Z54" s="64"/>
      <c r="AA54" s="64"/>
      <c r="AB54" s="96"/>
    </row>
    <row r="55" spans="1:28" ht="12.75" customHeight="1">
      <c r="A55" s="34"/>
      <c r="B55" s="95"/>
      <c r="C55" s="64"/>
      <c r="D55" s="64"/>
      <c r="E55" s="64"/>
      <c r="F55" s="64"/>
      <c r="G55" s="64"/>
      <c r="H55" s="64"/>
      <c r="I55" s="64"/>
      <c r="J55" s="64"/>
      <c r="K55" s="243" t="s">
        <v>742</v>
      </c>
      <c r="L55" s="401">
        <v>50</v>
      </c>
      <c r="M55" s="391"/>
      <c r="N55" s="64"/>
      <c r="O55" s="64"/>
      <c r="P55" s="64"/>
      <c r="Q55" s="64"/>
      <c r="R55" s="64"/>
      <c r="S55" s="64"/>
      <c r="T55" s="243" t="s">
        <v>742</v>
      </c>
      <c r="U55" s="401">
        <v>50</v>
      </c>
      <c r="V55" s="391"/>
      <c r="W55" s="64"/>
      <c r="X55" s="64"/>
      <c r="Y55" s="64"/>
      <c r="Z55" s="64"/>
      <c r="AA55" s="64"/>
      <c r="AB55" s="96"/>
    </row>
    <row r="56" spans="1:28" ht="12.75" customHeight="1">
      <c r="A56" s="34"/>
      <c r="B56" s="95"/>
      <c r="C56" s="64"/>
      <c r="D56" s="64"/>
      <c r="E56" s="64"/>
      <c r="F56" s="64"/>
      <c r="G56" s="64"/>
      <c r="H56" s="64"/>
      <c r="I56" s="64"/>
      <c r="J56" s="64"/>
      <c r="K56" s="384"/>
      <c r="L56" s="389"/>
      <c r="M56" s="439"/>
      <c r="N56" s="64"/>
      <c r="O56" s="64"/>
      <c r="P56" s="64"/>
      <c r="Q56" s="64"/>
      <c r="R56" s="64"/>
      <c r="S56" s="64"/>
      <c r="T56" s="384"/>
      <c r="U56" s="389"/>
      <c r="V56" s="439"/>
      <c r="W56" s="64"/>
      <c r="X56" s="64"/>
      <c r="Y56" s="64"/>
      <c r="Z56" s="64"/>
      <c r="AA56" s="64"/>
      <c r="AB56" s="96"/>
    </row>
    <row r="57" spans="1:28" ht="12.75" customHeight="1">
      <c r="A57" s="34"/>
      <c r="B57" s="95"/>
      <c r="C57" s="64"/>
      <c r="D57" s="64"/>
      <c r="E57" s="64"/>
      <c r="F57" s="64"/>
      <c r="G57" s="64"/>
      <c r="H57" s="64"/>
      <c r="I57" s="64"/>
      <c r="J57" s="64"/>
      <c r="K57" s="243" t="s">
        <v>746</v>
      </c>
      <c r="L57" s="407">
        <f>IF(OR(L37="Steel",L37="Aluminium 1",L37="Aluminium 2"),L39*L43*L45*0.001,(L39*L43+L41*L44)*L45*0.001)</f>
        <v>40</v>
      </c>
      <c r="M57" s="397" t="str">
        <f t="shared" ref="M57:M60" si="1">IF(L57&gt;=30,"PASS","FAIL")</f>
        <v>PASS</v>
      </c>
      <c r="N57" s="64"/>
      <c r="O57" s="64"/>
      <c r="P57" s="64"/>
      <c r="Q57" s="64"/>
      <c r="R57" s="64"/>
      <c r="S57" s="64"/>
      <c r="T57" s="243" t="s">
        <v>746</v>
      </c>
      <c r="U57" s="407">
        <f>IF(OR(U37="Steel",U37="Aluminium 1",U37="Aluminium 2"),U39*U43*U45*0.001,(U39*U43+U41*U44)*U45*0.001)</f>
        <v>40</v>
      </c>
      <c r="V57" s="397" t="str">
        <f t="shared" ref="V57:V60" si="2">IF(U57&gt;=30,"PASS","FAIL")</f>
        <v>PASS</v>
      </c>
      <c r="W57" s="64"/>
      <c r="X57" s="64"/>
      <c r="Y57" s="64"/>
      <c r="Z57" s="64"/>
      <c r="AA57" s="64"/>
      <c r="AB57" s="96"/>
    </row>
    <row r="58" spans="1:28" ht="12.75" customHeight="1">
      <c r="A58" s="34"/>
      <c r="B58" s="95"/>
      <c r="C58" s="64"/>
      <c r="D58" s="64"/>
      <c r="E58" s="64"/>
      <c r="F58" s="64"/>
      <c r="G58" s="64"/>
      <c r="H58" s="64"/>
      <c r="I58" s="64"/>
      <c r="J58" s="440"/>
      <c r="K58" s="243" t="s">
        <v>746</v>
      </c>
      <c r="L58" s="407">
        <f>IF(OR(L47="Steel",L47="Aluminium 1",L47="Aluminium 2"),L49*L53*L55*0.001,((L49*L54)+(L51*L53))*L55*0.001)</f>
        <v>40</v>
      </c>
      <c r="M58" s="397" t="str">
        <f t="shared" si="1"/>
        <v>PASS</v>
      </c>
      <c r="N58" s="64"/>
      <c r="O58" s="64"/>
      <c r="P58" s="64"/>
      <c r="Q58" s="64"/>
      <c r="R58" s="64"/>
      <c r="S58" s="64"/>
      <c r="T58" s="243" t="s">
        <v>746</v>
      </c>
      <c r="U58" s="407">
        <f>IF(OR(U47="Steel",U47="Aluminium 1",U47="Aluminium 2"),U49*U53*U55*0.001,((U49*U54)+(U51*U53))*U55*0.001)</f>
        <v>40</v>
      </c>
      <c r="V58" s="397" t="str">
        <f t="shared" si="2"/>
        <v>PASS</v>
      </c>
      <c r="W58" s="64"/>
      <c r="X58" s="64"/>
      <c r="Y58" s="64"/>
      <c r="Z58" s="64"/>
      <c r="AA58" s="64"/>
      <c r="AB58" s="96"/>
    </row>
    <row r="59" spans="1:28" ht="12.75" customHeight="1">
      <c r="A59" s="34"/>
      <c r="B59" s="95"/>
      <c r="C59" s="64"/>
      <c r="D59" s="64"/>
      <c r="E59" s="64"/>
      <c r="F59" s="64"/>
      <c r="G59" s="64"/>
      <c r="H59" s="64"/>
      <c r="I59" s="64"/>
      <c r="J59" s="64"/>
      <c r="K59" s="224" t="s">
        <v>747</v>
      </c>
      <c r="L59" s="441">
        <f>IF(OR(L37="Steel",L37="Aluminium 1",L37="Aluminium 2"),L43*L42*L45*2*0.001,(L43+L44)*L42*L45*2*0.001)</f>
        <v>24</v>
      </c>
      <c r="M59" s="397" t="str">
        <f t="shared" si="1"/>
        <v>FAIL</v>
      </c>
      <c r="N59" s="64"/>
      <c r="O59" s="64"/>
      <c r="P59" s="64"/>
      <c r="Q59" s="64"/>
      <c r="R59" s="64"/>
      <c r="S59" s="64"/>
      <c r="T59" s="224" t="s">
        <v>747</v>
      </c>
      <c r="U59" s="441">
        <f>IF(OR(U37="Steel",U37="Aluminium 1",U37="Aluminium 2"),U43*U42*U45*2*0.001,(U43+U44)*U42*U45*2*0.001)</f>
        <v>24</v>
      </c>
      <c r="V59" s="397" t="str">
        <f t="shared" si="2"/>
        <v>FAIL</v>
      </c>
      <c r="W59" s="64"/>
      <c r="X59" s="64"/>
      <c r="Y59" s="64"/>
      <c r="Z59" s="64"/>
      <c r="AA59" s="64"/>
      <c r="AB59" s="96"/>
    </row>
    <row r="60" spans="1:28" ht="12.75" customHeight="1">
      <c r="A60" s="34"/>
      <c r="B60" s="95"/>
      <c r="C60" s="64"/>
      <c r="D60" s="64"/>
      <c r="E60" s="64"/>
      <c r="F60" s="64"/>
      <c r="G60" s="64"/>
      <c r="H60" s="64"/>
      <c r="I60" s="64"/>
      <c r="J60" s="64"/>
      <c r="K60" s="224" t="s">
        <v>747</v>
      </c>
      <c r="L60" s="409">
        <f>IF(OR(L47="Steel",L47="Aluminium 1",L47="Aluminium 2"),L53*L52*L55*2*0.001,(L53+L54)*L52*L55*2*0.001)</f>
        <v>24</v>
      </c>
      <c r="M60" s="393" t="str">
        <f t="shared" si="1"/>
        <v>FAIL</v>
      </c>
      <c r="N60" s="64"/>
      <c r="O60" s="64"/>
      <c r="P60" s="64"/>
      <c r="Q60" s="64"/>
      <c r="R60" s="64"/>
      <c r="S60" s="64"/>
      <c r="T60" s="224" t="s">
        <v>747</v>
      </c>
      <c r="U60" s="409">
        <f>IF(OR(U47="Steel",U47="Aluminium 1",U47="Aluminium 2"),U53*U52*U55*2*0.001,(U53+U54)*U52*U55*2*0.001)</f>
        <v>24</v>
      </c>
      <c r="V60" s="393" t="str">
        <f t="shared" si="2"/>
        <v>FAIL</v>
      </c>
      <c r="W60" s="64"/>
      <c r="X60" s="64"/>
      <c r="Y60" s="64"/>
      <c r="Z60" s="64"/>
      <c r="AA60" s="64"/>
      <c r="AB60" s="96"/>
    </row>
    <row r="61" spans="1:28" ht="12.75" customHeight="1">
      <c r="A61" s="34"/>
      <c r="B61" s="95"/>
      <c r="C61" s="64"/>
      <c r="D61" s="64"/>
      <c r="E61" s="64"/>
      <c r="F61" s="64"/>
      <c r="G61" s="64"/>
      <c r="H61" s="64"/>
      <c r="I61" s="64"/>
      <c r="J61" s="64"/>
      <c r="K61" s="721" t="s">
        <v>777</v>
      </c>
      <c r="L61" s="595"/>
      <c r="M61" s="596"/>
      <c r="N61" s="64"/>
      <c r="O61" s="64"/>
      <c r="P61" s="64"/>
      <c r="Q61" s="64"/>
      <c r="R61" s="64"/>
      <c r="S61" s="64"/>
      <c r="T61" s="721" t="s">
        <v>777</v>
      </c>
      <c r="U61" s="595"/>
      <c r="V61" s="596"/>
      <c r="W61" s="64"/>
      <c r="X61" s="64"/>
      <c r="Y61" s="64"/>
      <c r="Z61" s="64"/>
      <c r="AA61" s="64"/>
      <c r="AB61" s="96"/>
    </row>
    <row r="62" spans="1:28" ht="12.75" customHeight="1">
      <c r="A62" s="34"/>
      <c r="B62" s="95"/>
      <c r="C62" s="64"/>
      <c r="D62" s="64"/>
      <c r="E62" s="64"/>
      <c r="F62" s="64"/>
      <c r="G62" s="64"/>
      <c r="H62" s="64"/>
      <c r="I62" s="64"/>
      <c r="J62" s="64"/>
      <c r="K62" s="600"/>
      <c r="L62" s="601"/>
      <c r="M62" s="602"/>
      <c r="N62" s="64"/>
      <c r="O62" s="64"/>
      <c r="P62" s="64"/>
      <c r="Q62" s="64"/>
      <c r="R62" s="64"/>
      <c r="S62" s="64"/>
      <c r="T62" s="600"/>
      <c r="U62" s="601"/>
      <c r="V62" s="602"/>
      <c r="W62" s="64"/>
      <c r="X62" s="64"/>
      <c r="Y62" s="64"/>
      <c r="Z62" s="64"/>
      <c r="AA62" s="64"/>
      <c r="AB62" s="96"/>
    </row>
    <row r="63" spans="1:28" ht="12.75" customHeight="1">
      <c r="A63" s="34"/>
      <c r="B63" s="95"/>
      <c r="C63" s="64"/>
      <c r="D63" s="64"/>
      <c r="E63" s="64"/>
      <c r="F63" s="64"/>
      <c r="G63" s="64"/>
      <c r="H63" s="64"/>
      <c r="I63" s="64"/>
      <c r="J63" s="64"/>
      <c r="K63" s="95"/>
      <c r="L63" s="64"/>
      <c r="M63" s="64"/>
      <c r="N63" s="64"/>
      <c r="O63" s="64"/>
      <c r="P63" s="64"/>
      <c r="Q63" s="64"/>
      <c r="R63" s="64"/>
      <c r="S63" s="64"/>
      <c r="T63" s="95"/>
      <c r="U63" s="64"/>
      <c r="V63" s="64"/>
      <c r="W63" s="64"/>
      <c r="X63" s="64"/>
      <c r="Y63" s="64"/>
      <c r="Z63" s="64"/>
      <c r="AA63" s="64"/>
      <c r="AB63" s="96"/>
    </row>
    <row r="64" spans="1:28" ht="12.75" customHeight="1">
      <c r="A64" s="34"/>
      <c r="B64" s="95"/>
      <c r="C64" s="64"/>
      <c r="D64" s="64"/>
      <c r="E64" s="64"/>
      <c r="F64" s="64"/>
      <c r="G64" s="64"/>
      <c r="H64" s="64"/>
      <c r="I64" s="64"/>
      <c r="J64" s="425"/>
      <c r="K64" s="95"/>
      <c r="L64" s="64"/>
      <c r="M64" s="64"/>
      <c r="N64" s="64"/>
      <c r="O64" s="64"/>
      <c r="P64" s="64"/>
      <c r="Q64" s="64"/>
      <c r="R64" s="64"/>
      <c r="S64" s="64"/>
      <c r="T64" s="95"/>
      <c r="U64" s="64"/>
      <c r="V64" s="64"/>
      <c r="W64" s="64"/>
      <c r="X64" s="64"/>
      <c r="Y64" s="64"/>
      <c r="Z64" s="64"/>
      <c r="AA64" s="64"/>
      <c r="AB64" s="96"/>
    </row>
    <row r="65" spans="1:28" ht="12.75" customHeight="1">
      <c r="A65" s="34"/>
      <c r="B65" s="95"/>
      <c r="C65" s="64"/>
      <c r="D65" s="64"/>
      <c r="E65" s="64"/>
      <c r="F65" s="64"/>
      <c r="G65" s="64"/>
      <c r="H65" s="64"/>
      <c r="I65" s="64"/>
      <c r="J65" s="64"/>
      <c r="K65" s="95"/>
      <c r="L65" s="64"/>
      <c r="M65" s="64"/>
      <c r="N65" s="64"/>
      <c r="O65" s="64"/>
      <c r="P65" s="64"/>
      <c r="Q65" s="64"/>
      <c r="R65" s="64"/>
      <c r="S65" s="64"/>
      <c r="T65" s="95"/>
      <c r="U65" s="64"/>
      <c r="V65" s="64"/>
      <c r="W65" s="64"/>
      <c r="X65" s="64"/>
      <c r="Y65" s="64"/>
      <c r="Z65" s="64"/>
      <c r="AA65" s="64"/>
      <c r="AB65" s="96"/>
    </row>
    <row r="66" spans="1:28" ht="12.75" customHeight="1">
      <c r="A66" s="34"/>
      <c r="B66" s="95"/>
      <c r="C66" s="64"/>
      <c r="D66" s="64"/>
      <c r="E66" s="64"/>
      <c r="F66" s="64"/>
      <c r="G66" s="64"/>
      <c r="H66" s="64"/>
      <c r="I66" s="64"/>
      <c r="J66" s="64"/>
      <c r="K66" s="95"/>
      <c r="L66" s="64"/>
      <c r="M66" s="64"/>
      <c r="N66" s="64"/>
      <c r="O66" s="64"/>
      <c r="P66" s="64"/>
      <c r="Q66" s="64"/>
      <c r="R66" s="64"/>
      <c r="S66" s="64"/>
      <c r="T66" s="95"/>
      <c r="U66" s="64"/>
      <c r="V66" s="64"/>
      <c r="W66" s="64"/>
      <c r="X66" s="64"/>
      <c r="Y66" s="64"/>
      <c r="Z66" s="64"/>
      <c r="AA66" s="64"/>
      <c r="AB66" s="96"/>
    </row>
    <row r="67" spans="1:28" ht="12.75" customHeight="1">
      <c r="A67" s="34"/>
      <c r="B67" s="95"/>
      <c r="C67" s="64"/>
      <c r="D67" s="64"/>
      <c r="E67" s="64"/>
      <c r="F67" s="64"/>
      <c r="G67" s="64"/>
      <c r="H67" s="64"/>
      <c r="I67" s="64"/>
      <c r="J67" s="64"/>
      <c r="K67" s="95"/>
      <c r="L67" s="64"/>
      <c r="M67" s="64"/>
      <c r="N67" s="64"/>
      <c r="O67" s="64"/>
      <c r="P67" s="64"/>
      <c r="Q67" s="64"/>
      <c r="R67" s="64"/>
      <c r="S67" s="64"/>
      <c r="T67" s="95"/>
      <c r="U67" s="64"/>
      <c r="V67" s="64"/>
      <c r="W67" s="64"/>
      <c r="X67" s="64"/>
      <c r="Y67" s="64"/>
      <c r="Z67" s="64"/>
      <c r="AA67" s="64"/>
      <c r="AB67" s="96"/>
    </row>
    <row r="68" spans="1:28" ht="12.75" customHeight="1">
      <c r="A68" s="34"/>
      <c r="B68" s="95"/>
      <c r="C68" s="64"/>
      <c r="D68" s="64"/>
      <c r="E68" s="64"/>
      <c r="F68" s="64"/>
      <c r="G68" s="64"/>
      <c r="H68" s="64"/>
      <c r="I68" s="64"/>
      <c r="J68" s="425"/>
      <c r="K68" s="95"/>
      <c r="L68" s="64"/>
      <c r="M68" s="64"/>
      <c r="N68" s="64"/>
      <c r="O68" s="64"/>
      <c r="P68" s="64"/>
      <c r="Q68" s="64"/>
      <c r="R68" s="64"/>
      <c r="S68" s="64"/>
      <c r="T68" s="95"/>
      <c r="U68" s="64"/>
      <c r="V68" s="64"/>
      <c r="W68" s="64"/>
      <c r="X68" s="64"/>
      <c r="Y68" s="64"/>
      <c r="Z68" s="64"/>
      <c r="AA68" s="64"/>
      <c r="AB68" s="96"/>
    </row>
    <row r="69" spans="1:28" ht="12.75" customHeight="1">
      <c r="A69" s="34"/>
      <c r="B69" s="95"/>
      <c r="C69" s="64"/>
      <c r="D69" s="64"/>
      <c r="E69" s="64"/>
      <c r="F69" s="64"/>
      <c r="G69" s="64"/>
      <c r="H69" s="64"/>
      <c r="I69" s="64"/>
      <c r="J69" s="64"/>
      <c r="K69" s="95"/>
      <c r="L69" s="64"/>
      <c r="M69" s="64"/>
      <c r="N69" s="64"/>
      <c r="O69" s="64"/>
      <c r="P69" s="64"/>
      <c r="Q69" s="64"/>
      <c r="R69" s="64"/>
      <c r="S69" s="64"/>
      <c r="T69" s="95"/>
      <c r="U69" s="64"/>
      <c r="V69" s="64"/>
      <c r="W69" s="64"/>
      <c r="X69" s="64"/>
      <c r="Y69" s="64"/>
      <c r="Z69" s="64"/>
      <c r="AA69" s="64"/>
      <c r="AB69" s="96"/>
    </row>
    <row r="70" spans="1:28" ht="12.75" customHeight="1">
      <c r="A70" s="34"/>
      <c r="B70" s="95"/>
      <c r="C70" s="64"/>
      <c r="D70" s="64"/>
      <c r="E70" s="64"/>
      <c r="F70" s="64"/>
      <c r="G70" s="64"/>
      <c r="H70" s="64"/>
      <c r="I70" s="64"/>
      <c r="J70" s="64"/>
      <c r="K70" s="95"/>
      <c r="L70" s="64"/>
      <c r="M70" s="64"/>
      <c r="N70" s="64"/>
      <c r="O70" s="64"/>
      <c r="P70" s="64"/>
      <c r="Q70" s="64"/>
      <c r="R70" s="64"/>
      <c r="S70" s="64"/>
      <c r="T70" s="95"/>
      <c r="U70" s="64"/>
      <c r="V70" s="64"/>
      <c r="W70" s="64"/>
      <c r="X70" s="64"/>
      <c r="Y70" s="64"/>
      <c r="Z70" s="64"/>
      <c r="AA70" s="64"/>
      <c r="AB70" s="96"/>
    </row>
    <row r="71" spans="1:28" ht="12.75" customHeight="1">
      <c r="A71" s="34"/>
      <c r="B71" s="95"/>
      <c r="C71" s="64"/>
      <c r="D71" s="64"/>
      <c r="E71" s="64"/>
      <c r="F71" s="64"/>
      <c r="G71" s="64"/>
      <c r="H71" s="64"/>
      <c r="I71" s="64"/>
      <c r="J71" s="64"/>
      <c r="K71" s="95"/>
      <c r="L71" s="64"/>
      <c r="M71" s="64"/>
      <c r="N71" s="64"/>
      <c r="O71" s="64"/>
      <c r="P71" s="64"/>
      <c r="Q71" s="64"/>
      <c r="R71" s="64"/>
      <c r="S71" s="64"/>
      <c r="T71" s="95"/>
      <c r="U71" s="64"/>
      <c r="V71" s="64"/>
      <c r="W71" s="64"/>
      <c r="X71" s="64"/>
      <c r="Y71" s="64"/>
      <c r="Z71" s="64"/>
      <c r="AA71" s="64"/>
      <c r="AB71" s="96"/>
    </row>
    <row r="72" spans="1:28" ht="12.75" customHeight="1">
      <c r="A72" s="34"/>
      <c r="B72" s="95"/>
      <c r="C72" s="64"/>
      <c r="D72" s="64"/>
      <c r="E72" s="64"/>
      <c r="F72" s="64"/>
      <c r="G72" s="64"/>
      <c r="H72" s="64"/>
      <c r="I72" s="64"/>
      <c r="J72" s="64"/>
      <c r="K72" s="95"/>
      <c r="L72" s="64"/>
      <c r="M72" s="64"/>
      <c r="N72" s="64"/>
      <c r="O72" s="64"/>
      <c r="P72" s="64"/>
      <c r="Q72" s="64"/>
      <c r="R72" s="64"/>
      <c r="S72" s="64"/>
      <c r="T72" s="95"/>
      <c r="U72" s="64"/>
      <c r="V72" s="64"/>
      <c r="W72" s="64"/>
      <c r="X72" s="64"/>
      <c r="Y72" s="64"/>
      <c r="Z72" s="64"/>
      <c r="AA72" s="64"/>
      <c r="AB72" s="96"/>
    </row>
    <row r="73" spans="1:28" ht="12.75" customHeight="1">
      <c r="A73" s="34"/>
      <c r="B73" s="95"/>
      <c r="C73" s="64"/>
      <c r="D73" s="64"/>
      <c r="E73" s="64"/>
      <c r="F73" s="64"/>
      <c r="G73" s="64"/>
      <c r="H73" s="64"/>
      <c r="I73" s="64"/>
      <c r="J73" s="64"/>
      <c r="K73" s="95"/>
      <c r="L73" s="64"/>
      <c r="M73" s="64"/>
      <c r="N73" s="64"/>
      <c r="O73" s="64"/>
      <c r="P73" s="64"/>
      <c r="Q73" s="64"/>
      <c r="R73" s="64"/>
      <c r="S73" s="64"/>
      <c r="T73" s="95"/>
      <c r="U73" s="64"/>
      <c r="V73" s="64"/>
      <c r="W73" s="64"/>
      <c r="X73" s="64"/>
      <c r="Y73" s="64"/>
      <c r="Z73" s="64"/>
      <c r="AA73" s="64"/>
      <c r="AB73" s="96"/>
    </row>
    <row r="74" spans="1:28" ht="12.75" customHeight="1">
      <c r="A74" s="34"/>
      <c r="B74" s="95"/>
      <c r="C74" s="64"/>
      <c r="D74" s="64"/>
      <c r="E74" s="64"/>
      <c r="F74" s="64"/>
      <c r="G74" s="64"/>
      <c r="H74" s="64"/>
      <c r="I74" s="64"/>
      <c r="J74" s="64"/>
      <c r="K74" s="95"/>
      <c r="L74" s="64"/>
      <c r="M74" s="64"/>
      <c r="N74" s="64"/>
      <c r="O74" s="64"/>
      <c r="P74" s="64"/>
      <c r="Q74" s="64"/>
      <c r="R74" s="64"/>
      <c r="S74" s="64"/>
      <c r="T74" s="95"/>
      <c r="U74" s="64"/>
      <c r="V74" s="64"/>
      <c r="W74" s="64"/>
      <c r="X74" s="64"/>
      <c r="Y74" s="64"/>
      <c r="Z74" s="64"/>
      <c r="AA74" s="64"/>
      <c r="AB74" s="96"/>
    </row>
    <row r="75" spans="1:28" ht="12.75" customHeight="1">
      <c r="A75" s="34"/>
      <c r="B75" s="95"/>
      <c r="C75" s="64"/>
      <c r="D75" s="64"/>
      <c r="E75" s="64"/>
      <c r="F75" s="64"/>
      <c r="G75" s="64"/>
      <c r="H75" s="64"/>
      <c r="I75" s="64"/>
      <c r="J75" s="64"/>
      <c r="K75" s="95"/>
      <c r="L75" s="64"/>
      <c r="M75" s="64"/>
      <c r="N75" s="64"/>
      <c r="O75" s="64"/>
      <c r="P75" s="64"/>
      <c r="Q75" s="64"/>
      <c r="R75" s="64"/>
      <c r="S75" s="64"/>
      <c r="T75" s="95"/>
      <c r="U75" s="64"/>
      <c r="V75" s="64"/>
      <c r="W75" s="64"/>
      <c r="X75" s="64"/>
      <c r="Y75" s="64"/>
      <c r="Z75" s="64"/>
      <c r="AA75" s="64"/>
      <c r="AB75" s="96"/>
    </row>
    <row r="76" spans="1:28" ht="12.75" customHeight="1">
      <c r="A76" s="34"/>
      <c r="B76" s="95"/>
      <c r="C76" s="64"/>
      <c r="D76" s="64"/>
      <c r="E76" s="64"/>
      <c r="F76" s="64"/>
      <c r="G76" s="64"/>
      <c r="H76" s="64"/>
      <c r="I76" s="64"/>
      <c r="J76" s="64"/>
      <c r="K76" s="95"/>
      <c r="L76" s="64"/>
      <c r="M76" s="64"/>
      <c r="N76" s="64"/>
      <c r="O76" s="64"/>
      <c r="P76" s="64"/>
      <c r="Q76" s="64"/>
      <c r="R76" s="64"/>
      <c r="S76" s="64"/>
      <c r="T76" s="95"/>
      <c r="U76" s="64"/>
      <c r="V76" s="64"/>
      <c r="W76" s="64"/>
      <c r="X76" s="64"/>
      <c r="Y76" s="64"/>
      <c r="Z76" s="64"/>
      <c r="AA76" s="64"/>
      <c r="AB76" s="96"/>
    </row>
    <row r="77" spans="1:28" ht="12.75" customHeight="1">
      <c r="A77" s="34"/>
      <c r="B77" s="95"/>
      <c r="C77" s="64"/>
      <c r="D77" s="64"/>
      <c r="E77" s="64"/>
      <c r="F77" s="64"/>
      <c r="G77" s="64"/>
      <c r="H77" s="64"/>
      <c r="I77" s="64"/>
      <c r="J77" s="64"/>
      <c r="K77" s="95"/>
      <c r="L77" s="64"/>
      <c r="M77" s="64"/>
      <c r="N77" s="64"/>
      <c r="O77" s="64"/>
      <c r="P77" s="64"/>
      <c r="Q77" s="64"/>
      <c r="R77" s="64"/>
      <c r="S77" s="64"/>
      <c r="T77" s="95"/>
      <c r="U77" s="64"/>
      <c r="V77" s="64"/>
      <c r="W77" s="64"/>
      <c r="X77" s="64"/>
      <c r="Y77" s="64"/>
      <c r="Z77" s="64"/>
      <c r="AA77" s="64"/>
      <c r="AB77" s="96"/>
    </row>
    <row r="78" spans="1:28" ht="12.75" customHeight="1">
      <c r="A78" s="34"/>
      <c r="B78" s="95"/>
      <c r="C78" s="64"/>
      <c r="D78" s="64"/>
      <c r="E78" s="64"/>
      <c r="F78" s="64"/>
      <c r="G78" s="64"/>
      <c r="H78" s="64"/>
      <c r="I78" s="64"/>
      <c r="J78" s="64"/>
      <c r="K78" s="95"/>
      <c r="L78" s="64"/>
      <c r="M78" s="64"/>
      <c r="N78" s="64"/>
      <c r="O78" s="64"/>
      <c r="P78" s="64"/>
      <c r="Q78" s="64"/>
      <c r="R78" s="64"/>
      <c r="S78" s="64"/>
      <c r="T78" s="95"/>
      <c r="U78" s="64"/>
      <c r="V78" s="64"/>
      <c r="W78" s="64"/>
      <c r="X78" s="64"/>
      <c r="Y78" s="64"/>
      <c r="Z78" s="64"/>
      <c r="AA78" s="64"/>
      <c r="AB78" s="96"/>
    </row>
    <row r="79" spans="1:28" ht="12.75" customHeight="1">
      <c r="A79" s="34"/>
      <c r="B79" s="95"/>
      <c r="C79" s="64"/>
      <c r="D79" s="64"/>
      <c r="E79" s="64"/>
      <c r="F79" s="64"/>
      <c r="G79" s="64"/>
      <c r="H79" s="64"/>
      <c r="I79" s="64"/>
      <c r="J79" s="64"/>
      <c r="K79" s="95"/>
      <c r="L79" s="64"/>
      <c r="M79" s="64"/>
      <c r="N79" s="64"/>
      <c r="O79" s="64"/>
      <c r="P79" s="64"/>
      <c r="Q79" s="64"/>
      <c r="R79" s="64"/>
      <c r="S79" s="64"/>
      <c r="T79" s="95"/>
      <c r="U79" s="64"/>
      <c r="V79" s="64"/>
      <c r="W79" s="64"/>
      <c r="X79" s="64"/>
      <c r="Y79" s="64"/>
      <c r="Z79" s="64"/>
      <c r="AA79" s="64"/>
      <c r="AB79" s="96"/>
    </row>
    <row r="80" spans="1:28" ht="12.75" customHeight="1">
      <c r="A80" s="34"/>
      <c r="B80" s="95"/>
      <c r="C80" s="64"/>
      <c r="D80" s="64"/>
      <c r="E80" s="64"/>
      <c r="F80" s="64"/>
      <c r="G80" s="64"/>
      <c r="H80" s="64"/>
      <c r="I80" s="64"/>
      <c r="J80" s="64"/>
      <c r="K80" s="95"/>
      <c r="L80" s="64"/>
      <c r="M80" s="64"/>
      <c r="N80" s="64"/>
      <c r="O80" s="64"/>
      <c r="P80" s="64"/>
      <c r="Q80" s="64"/>
      <c r="R80" s="64"/>
      <c r="S80" s="64"/>
      <c r="T80" s="95"/>
      <c r="U80" s="64"/>
      <c r="V80" s="64"/>
      <c r="W80" s="64"/>
      <c r="X80" s="64"/>
      <c r="Y80" s="64"/>
      <c r="Z80" s="64"/>
      <c r="AA80" s="64"/>
      <c r="AB80" s="96"/>
    </row>
    <row r="81" spans="1:28" ht="12.75" customHeight="1">
      <c r="A81" s="34"/>
      <c r="B81" s="95"/>
      <c r="C81" s="64"/>
      <c r="D81" s="64"/>
      <c r="E81" s="64"/>
      <c r="F81" s="64"/>
      <c r="G81" s="64"/>
      <c r="H81" s="64"/>
      <c r="I81" s="64"/>
      <c r="J81" s="64"/>
      <c r="K81" s="95"/>
      <c r="L81" s="64"/>
      <c r="M81" s="64"/>
      <c r="N81" s="64"/>
      <c r="O81" s="64"/>
      <c r="P81" s="64"/>
      <c r="Q81" s="64"/>
      <c r="R81" s="64"/>
      <c r="S81" s="64"/>
      <c r="T81" s="95"/>
      <c r="U81" s="64"/>
      <c r="V81" s="64"/>
      <c r="W81" s="64"/>
      <c r="X81" s="64"/>
      <c r="Y81" s="64"/>
      <c r="Z81" s="64"/>
      <c r="AA81" s="64"/>
      <c r="AB81" s="96"/>
    </row>
    <row r="82" spans="1:28" ht="12.75" customHeight="1">
      <c r="A82" s="34"/>
      <c r="B82" s="95"/>
      <c r="C82" s="64"/>
      <c r="D82" s="64"/>
      <c r="E82" s="64"/>
      <c r="F82" s="64"/>
      <c r="G82" s="64"/>
      <c r="H82" s="64"/>
      <c r="I82" s="64"/>
      <c r="J82" s="64"/>
      <c r="K82" s="95"/>
      <c r="L82" s="64"/>
      <c r="M82" s="64"/>
      <c r="N82" s="64"/>
      <c r="O82" s="64"/>
      <c r="P82" s="64"/>
      <c r="Q82" s="64"/>
      <c r="R82" s="64"/>
      <c r="S82" s="64"/>
      <c r="T82" s="95"/>
      <c r="U82" s="64"/>
      <c r="V82" s="64"/>
      <c r="W82" s="64"/>
      <c r="X82" s="64"/>
      <c r="Y82" s="64"/>
      <c r="Z82" s="64"/>
      <c r="AA82" s="64"/>
      <c r="AB82" s="96"/>
    </row>
    <row r="83" spans="1:28" ht="12.75" customHeight="1">
      <c r="A83" s="34"/>
      <c r="B83" s="95"/>
      <c r="C83" s="64"/>
      <c r="D83" s="64"/>
      <c r="E83" s="64"/>
      <c r="F83" s="64"/>
      <c r="G83" s="64"/>
      <c r="H83" s="64"/>
      <c r="I83" s="64"/>
      <c r="J83" s="64"/>
      <c r="K83" s="95"/>
      <c r="L83" s="64"/>
      <c r="M83" s="64"/>
      <c r="N83" s="64"/>
      <c r="O83" s="64"/>
      <c r="P83" s="64"/>
      <c r="Q83" s="64"/>
      <c r="R83" s="64"/>
      <c r="S83" s="64"/>
      <c r="T83" s="95"/>
      <c r="U83" s="64"/>
      <c r="V83" s="64"/>
      <c r="W83" s="64"/>
      <c r="X83" s="64"/>
      <c r="Y83" s="64"/>
      <c r="Z83" s="64"/>
      <c r="AA83" s="64"/>
      <c r="AB83" s="96"/>
    </row>
    <row r="84" spans="1:28" ht="12.75" customHeight="1">
      <c r="A84" s="34"/>
      <c r="B84" s="95"/>
      <c r="C84" s="64"/>
      <c r="D84" s="64"/>
      <c r="E84" s="64"/>
      <c r="F84" s="64"/>
      <c r="G84" s="64"/>
      <c r="H84" s="64"/>
      <c r="I84" s="64"/>
      <c r="J84" s="64"/>
      <c r="K84" s="95"/>
      <c r="L84" s="64"/>
      <c r="M84" s="64"/>
      <c r="N84" s="64"/>
      <c r="O84" s="64"/>
      <c r="P84" s="64"/>
      <c r="Q84" s="64"/>
      <c r="R84" s="64"/>
      <c r="S84" s="64"/>
      <c r="T84" s="95"/>
      <c r="U84" s="64"/>
      <c r="V84" s="64"/>
      <c r="W84" s="64"/>
      <c r="X84" s="64"/>
      <c r="Y84" s="64"/>
      <c r="Z84" s="64"/>
      <c r="AA84" s="64"/>
      <c r="AB84" s="96"/>
    </row>
    <row r="85" spans="1:28" ht="12.75" customHeight="1">
      <c r="A85" s="34"/>
      <c r="B85" s="95"/>
      <c r="C85" s="64"/>
      <c r="D85" s="64"/>
      <c r="E85" s="64"/>
      <c r="F85" s="64"/>
      <c r="G85" s="64"/>
      <c r="H85" s="64"/>
      <c r="I85" s="64"/>
      <c r="J85" s="64"/>
      <c r="K85" s="95"/>
      <c r="L85" s="64"/>
      <c r="M85" s="64"/>
      <c r="N85" s="64"/>
      <c r="O85" s="64"/>
      <c r="P85" s="64"/>
      <c r="Q85" s="64"/>
      <c r="R85" s="64"/>
      <c r="S85" s="64"/>
      <c r="T85" s="95"/>
      <c r="U85" s="64"/>
      <c r="V85" s="64"/>
      <c r="W85" s="64"/>
      <c r="X85" s="64"/>
      <c r="Y85" s="64"/>
      <c r="Z85" s="64"/>
      <c r="AA85" s="64"/>
      <c r="AB85" s="96"/>
    </row>
    <row r="86" spans="1:28" ht="12.75" customHeight="1">
      <c r="A86" s="34"/>
      <c r="B86" s="95"/>
      <c r="C86" s="64"/>
      <c r="D86" s="64"/>
      <c r="E86" s="64"/>
      <c r="F86" s="64"/>
      <c r="G86" s="64"/>
      <c r="H86" s="64"/>
      <c r="I86" s="64"/>
      <c r="J86" s="64"/>
      <c r="K86" s="95"/>
      <c r="L86" s="64"/>
      <c r="M86" s="64"/>
      <c r="N86" s="64"/>
      <c r="O86" s="64"/>
      <c r="P86" s="64"/>
      <c r="Q86" s="64"/>
      <c r="R86" s="64"/>
      <c r="S86" s="64"/>
      <c r="T86" s="95"/>
      <c r="U86" s="64"/>
      <c r="V86" s="64"/>
      <c r="W86" s="64"/>
      <c r="X86" s="64"/>
      <c r="Y86" s="64"/>
      <c r="Z86" s="64"/>
      <c r="AA86" s="64"/>
      <c r="AB86" s="96"/>
    </row>
    <row r="87" spans="1:28" ht="12.75" customHeight="1">
      <c r="A87" s="34"/>
      <c r="B87" s="95"/>
      <c r="C87" s="64"/>
      <c r="D87" s="64"/>
      <c r="E87" s="64"/>
      <c r="F87" s="64"/>
      <c r="G87" s="64"/>
      <c r="H87" s="64"/>
      <c r="I87" s="64"/>
      <c r="J87" s="64"/>
      <c r="K87" s="95"/>
      <c r="L87" s="64"/>
      <c r="M87" s="64"/>
      <c r="N87" s="64"/>
      <c r="O87" s="64"/>
      <c r="P87" s="64"/>
      <c r="Q87" s="64"/>
      <c r="R87" s="64"/>
      <c r="S87" s="64"/>
      <c r="T87" s="95"/>
      <c r="U87" s="64"/>
      <c r="V87" s="64"/>
      <c r="W87" s="64"/>
      <c r="X87" s="64"/>
      <c r="Y87" s="64"/>
      <c r="Z87" s="64"/>
      <c r="AA87" s="64"/>
      <c r="AB87" s="96"/>
    </row>
    <row r="88" spans="1:28" ht="12.75" customHeight="1">
      <c r="A88" s="34"/>
      <c r="B88" s="95"/>
      <c r="C88" s="64"/>
      <c r="D88" s="64"/>
      <c r="E88" s="64"/>
      <c r="F88" s="64"/>
      <c r="G88" s="64"/>
      <c r="H88" s="64"/>
      <c r="I88" s="64"/>
      <c r="J88" s="64"/>
      <c r="K88" s="95"/>
      <c r="L88" s="64"/>
      <c r="M88" s="64"/>
      <c r="N88" s="64"/>
      <c r="O88" s="64"/>
      <c r="P88" s="64"/>
      <c r="Q88" s="64"/>
      <c r="R88" s="64"/>
      <c r="S88" s="64"/>
      <c r="T88" s="95"/>
      <c r="U88" s="64"/>
      <c r="V88" s="64"/>
      <c r="W88" s="64"/>
      <c r="X88" s="64"/>
      <c r="Y88" s="64"/>
      <c r="Z88" s="64"/>
      <c r="AA88" s="64"/>
      <c r="AB88" s="96"/>
    </row>
    <row r="89" spans="1:28" ht="12.75" customHeight="1">
      <c r="A89" s="34"/>
      <c r="B89" s="95"/>
      <c r="C89" s="64"/>
      <c r="D89" s="64"/>
      <c r="E89" s="64"/>
      <c r="F89" s="64"/>
      <c r="G89" s="64"/>
      <c r="H89" s="64"/>
      <c r="I89" s="64"/>
      <c r="J89" s="64"/>
      <c r="K89" s="95"/>
      <c r="L89" s="64"/>
      <c r="M89" s="64"/>
      <c r="N89" s="64"/>
      <c r="O89" s="64"/>
      <c r="P89" s="64"/>
      <c r="Q89" s="64"/>
      <c r="R89" s="64"/>
      <c r="S89" s="64"/>
      <c r="T89" s="95"/>
      <c r="U89" s="64"/>
      <c r="V89" s="64"/>
      <c r="W89" s="64"/>
      <c r="X89" s="64"/>
      <c r="Y89" s="64"/>
      <c r="Z89" s="64"/>
      <c r="AA89" s="64"/>
      <c r="AB89" s="96"/>
    </row>
    <row r="90" spans="1:28" ht="12.75" customHeight="1">
      <c r="A90" s="34"/>
      <c r="B90" s="95"/>
      <c r="C90" s="64"/>
      <c r="D90" s="64"/>
      <c r="E90" s="64"/>
      <c r="F90" s="64"/>
      <c r="G90" s="64"/>
      <c r="H90" s="64"/>
      <c r="I90" s="64"/>
      <c r="J90" s="64"/>
      <c r="K90" s="95"/>
      <c r="L90" s="64"/>
      <c r="M90" s="64"/>
      <c r="N90" s="64"/>
      <c r="O90" s="64"/>
      <c r="P90" s="64"/>
      <c r="Q90" s="64"/>
      <c r="R90" s="64"/>
      <c r="S90" s="64"/>
      <c r="T90" s="95"/>
      <c r="U90" s="64"/>
      <c r="V90" s="64"/>
      <c r="W90" s="64"/>
      <c r="X90" s="64"/>
      <c r="Y90" s="64"/>
      <c r="Z90" s="64"/>
      <c r="AA90" s="64"/>
      <c r="AB90" s="96"/>
    </row>
    <row r="91" spans="1:28" ht="12.75" customHeight="1">
      <c r="A91" s="34"/>
      <c r="B91" s="95"/>
      <c r="C91" s="64"/>
      <c r="D91" s="64"/>
      <c r="E91" s="64"/>
      <c r="F91" s="64"/>
      <c r="G91" s="64"/>
      <c r="H91" s="64"/>
      <c r="I91" s="64"/>
      <c r="J91" s="64"/>
      <c r="K91" s="95"/>
      <c r="L91" s="64"/>
      <c r="M91" s="64"/>
      <c r="N91" s="64"/>
      <c r="O91" s="64"/>
      <c r="P91" s="64"/>
      <c r="Q91" s="64"/>
      <c r="R91" s="64"/>
      <c r="S91" s="64"/>
      <c r="T91" s="95"/>
      <c r="U91" s="64"/>
      <c r="V91" s="64"/>
      <c r="W91" s="64"/>
      <c r="X91" s="64"/>
      <c r="Y91" s="64"/>
      <c r="Z91" s="64"/>
      <c r="AA91" s="64"/>
      <c r="AB91" s="96"/>
    </row>
    <row r="92" spans="1:28" ht="12.75" customHeight="1">
      <c r="A92" s="34"/>
      <c r="B92" s="95"/>
      <c r="C92" s="64"/>
      <c r="D92" s="64"/>
      <c r="E92" s="64"/>
      <c r="F92" s="64"/>
      <c r="G92" s="64"/>
      <c r="H92" s="64"/>
      <c r="I92" s="64"/>
      <c r="J92" s="64"/>
      <c r="K92" s="95"/>
      <c r="L92" s="64"/>
      <c r="M92" s="64"/>
      <c r="N92" s="64"/>
      <c r="O92" s="64"/>
      <c r="P92" s="64"/>
      <c r="Q92" s="64"/>
      <c r="R92" s="64"/>
      <c r="S92" s="64"/>
      <c r="T92" s="95"/>
      <c r="U92" s="64"/>
      <c r="V92" s="64"/>
      <c r="W92" s="64"/>
      <c r="X92" s="64"/>
      <c r="Y92" s="64"/>
      <c r="Z92" s="64"/>
      <c r="AA92" s="64"/>
      <c r="AB92" s="96"/>
    </row>
    <row r="93" spans="1:28" ht="12.75" customHeight="1">
      <c r="A93" s="34"/>
      <c r="B93" s="95"/>
      <c r="C93" s="64"/>
      <c r="D93" s="64"/>
      <c r="E93" s="64"/>
      <c r="F93" s="64"/>
      <c r="G93" s="64"/>
      <c r="H93" s="64"/>
      <c r="I93" s="64"/>
      <c r="J93" s="64"/>
      <c r="K93" s="95"/>
      <c r="L93" s="64"/>
      <c r="M93" s="64"/>
      <c r="N93" s="64"/>
      <c r="O93" s="64"/>
      <c r="P93" s="64"/>
      <c r="Q93" s="64"/>
      <c r="R93" s="64"/>
      <c r="S93" s="64"/>
      <c r="T93" s="95"/>
      <c r="U93" s="64"/>
      <c r="V93" s="64"/>
      <c r="W93" s="64"/>
      <c r="X93" s="64"/>
      <c r="Y93" s="64"/>
      <c r="Z93" s="64"/>
      <c r="AA93" s="64"/>
      <c r="AB93" s="96"/>
    </row>
    <row r="94" spans="1:28" ht="12.75" customHeight="1">
      <c r="A94" s="34"/>
      <c r="B94" s="95"/>
      <c r="C94" s="64"/>
      <c r="D94" s="64"/>
      <c r="E94" s="64"/>
      <c r="F94" s="64"/>
      <c r="G94" s="64"/>
      <c r="H94" s="64"/>
      <c r="I94" s="64"/>
      <c r="J94" s="64"/>
      <c r="K94" s="95"/>
      <c r="L94" s="64"/>
      <c r="M94" s="64"/>
      <c r="N94" s="64"/>
      <c r="O94" s="64"/>
      <c r="P94" s="64"/>
      <c r="Q94" s="64"/>
      <c r="R94" s="64"/>
      <c r="S94" s="64"/>
      <c r="T94" s="95"/>
      <c r="U94" s="64"/>
      <c r="V94" s="64"/>
      <c r="W94" s="64"/>
      <c r="X94" s="64"/>
      <c r="Y94" s="64"/>
      <c r="Z94" s="64"/>
      <c r="AA94" s="64"/>
      <c r="AB94" s="96"/>
    </row>
    <row r="95" spans="1:28" ht="12.75" customHeight="1">
      <c r="A95" s="34"/>
      <c r="B95" s="95"/>
      <c r="C95" s="64"/>
      <c r="D95" s="64"/>
      <c r="E95" s="64"/>
      <c r="F95" s="64"/>
      <c r="G95" s="64"/>
      <c r="H95" s="64"/>
      <c r="I95" s="64"/>
      <c r="J95" s="64"/>
      <c r="K95" s="95"/>
      <c r="L95" s="64"/>
      <c r="M95" s="64"/>
      <c r="N95" s="64"/>
      <c r="O95" s="64"/>
      <c r="P95" s="64"/>
      <c r="Q95" s="64"/>
      <c r="R95" s="64"/>
      <c r="S95" s="64"/>
      <c r="T95" s="95"/>
      <c r="U95" s="64"/>
      <c r="V95" s="64"/>
      <c r="W95" s="64"/>
      <c r="X95" s="64"/>
      <c r="Y95" s="64"/>
      <c r="Z95" s="64"/>
      <c r="AA95" s="64"/>
      <c r="AB95" s="96"/>
    </row>
    <row r="96" spans="1:28" ht="12.75" customHeight="1">
      <c r="A96" s="34"/>
      <c r="B96" s="95"/>
      <c r="C96" s="64"/>
      <c r="D96" s="64"/>
      <c r="E96" s="64"/>
      <c r="F96" s="64"/>
      <c r="G96" s="64"/>
      <c r="H96" s="64"/>
      <c r="I96" s="64"/>
      <c r="J96" s="64"/>
      <c r="K96" s="95"/>
      <c r="L96" s="64"/>
      <c r="M96" s="64"/>
      <c r="N96" s="64"/>
      <c r="O96" s="64"/>
      <c r="P96" s="64"/>
      <c r="Q96" s="64"/>
      <c r="R96" s="64"/>
      <c r="S96" s="64"/>
      <c r="T96" s="95"/>
      <c r="U96" s="64"/>
      <c r="V96" s="64"/>
      <c r="W96" s="64"/>
      <c r="X96" s="64"/>
      <c r="Y96" s="64"/>
      <c r="Z96" s="64"/>
      <c r="AA96" s="64"/>
      <c r="AB96" s="96"/>
    </row>
    <row r="97" spans="1:28" ht="12.75" customHeight="1">
      <c r="A97" s="34"/>
      <c r="B97" s="95"/>
      <c r="C97" s="64"/>
      <c r="D97" s="64"/>
      <c r="E97" s="64"/>
      <c r="F97" s="64"/>
      <c r="G97" s="64"/>
      <c r="H97" s="64"/>
      <c r="I97" s="64"/>
      <c r="J97" s="64"/>
      <c r="K97" s="95"/>
      <c r="L97" s="64"/>
      <c r="M97" s="64"/>
      <c r="N97" s="64"/>
      <c r="O97" s="64"/>
      <c r="P97" s="64"/>
      <c r="Q97" s="64"/>
      <c r="R97" s="64"/>
      <c r="S97" s="64"/>
      <c r="T97" s="95"/>
      <c r="U97" s="64"/>
      <c r="V97" s="64"/>
      <c r="W97" s="64"/>
      <c r="X97" s="64"/>
      <c r="Y97" s="64"/>
      <c r="Z97" s="64"/>
      <c r="AA97" s="64"/>
      <c r="AB97" s="96"/>
    </row>
    <row r="98" spans="1:28" ht="12.75" customHeight="1">
      <c r="A98" s="34"/>
      <c r="B98" s="95"/>
      <c r="C98" s="64"/>
      <c r="D98" s="64"/>
      <c r="E98" s="64"/>
      <c r="F98" s="64"/>
      <c r="G98" s="64"/>
      <c r="H98" s="64"/>
      <c r="I98" s="64"/>
      <c r="J98" s="64"/>
      <c r="K98" s="95"/>
      <c r="L98" s="64"/>
      <c r="M98" s="64"/>
      <c r="N98" s="64"/>
      <c r="O98" s="64"/>
      <c r="P98" s="64"/>
      <c r="Q98" s="64"/>
      <c r="R98" s="64"/>
      <c r="S98" s="64"/>
      <c r="T98" s="95"/>
      <c r="U98" s="64"/>
      <c r="V98" s="64"/>
      <c r="W98" s="64"/>
      <c r="X98" s="64"/>
      <c r="Y98" s="64"/>
      <c r="Z98" s="64"/>
      <c r="AA98" s="64"/>
      <c r="AB98" s="96"/>
    </row>
    <row r="99" spans="1:28" ht="12.75" customHeight="1">
      <c r="A99" s="34"/>
      <c r="B99" s="95"/>
      <c r="C99" s="64"/>
      <c r="D99" s="64"/>
      <c r="E99" s="64"/>
      <c r="F99" s="64"/>
      <c r="G99" s="64"/>
      <c r="H99" s="64"/>
      <c r="I99" s="64"/>
      <c r="J99" s="64"/>
      <c r="K99" s="95"/>
      <c r="L99" s="64"/>
      <c r="M99" s="64"/>
      <c r="N99" s="64"/>
      <c r="O99" s="64"/>
      <c r="P99" s="64"/>
      <c r="Q99" s="64"/>
      <c r="R99" s="64"/>
      <c r="S99" s="64"/>
      <c r="T99" s="95"/>
      <c r="U99" s="64"/>
      <c r="V99" s="64"/>
      <c r="W99" s="64"/>
      <c r="X99" s="64"/>
      <c r="Y99" s="64"/>
      <c r="Z99" s="64"/>
      <c r="AA99" s="64"/>
      <c r="AB99" s="96"/>
    </row>
    <row r="100" spans="1:28" ht="12.75" customHeight="1">
      <c r="A100" s="34"/>
      <c r="B100" s="95"/>
      <c r="C100" s="64"/>
      <c r="D100" s="64"/>
      <c r="E100" s="64"/>
      <c r="F100" s="64"/>
      <c r="G100" s="64"/>
      <c r="H100" s="64"/>
      <c r="I100" s="64"/>
      <c r="J100" s="64"/>
      <c r="K100" s="95"/>
      <c r="L100" s="64"/>
      <c r="M100" s="64"/>
      <c r="N100" s="64"/>
      <c r="O100" s="64"/>
      <c r="P100" s="64"/>
      <c r="Q100" s="64"/>
      <c r="R100" s="64"/>
      <c r="S100" s="64"/>
      <c r="T100" s="95"/>
      <c r="U100" s="64"/>
      <c r="V100" s="64"/>
      <c r="W100" s="64"/>
      <c r="X100" s="64"/>
      <c r="Y100" s="64"/>
      <c r="Z100" s="64"/>
      <c r="AA100" s="64"/>
      <c r="AB100" s="96"/>
    </row>
    <row r="101" spans="1:28" ht="12.75" customHeight="1">
      <c r="A101" s="34"/>
      <c r="B101" s="95"/>
      <c r="C101" s="64"/>
      <c r="D101" s="64"/>
      <c r="E101" s="64"/>
      <c r="F101" s="64"/>
      <c r="G101" s="64"/>
      <c r="H101" s="64"/>
      <c r="I101" s="64"/>
      <c r="J101" s="64"/>
      <c r="K101" s="95"/>
      <c r="L101" s="64"/>
      <c r="M101" s="64"/>
      <c r="N101" s="64"/>
      <c r="O101" s="64"/>
      <c r="P101" s="64"/>
      <c r="Q101" s="64"/>
      <c r="R101" s="64"/>
      <c r="S101" s="64"/>
      <c r="T101" s="95"/>
      <c r="U101" s="64"/>
      <c r="V101" s="64"/>
      <c r="W101" s="64"/>
      <c r="X101" s="64"/>
      <c r="Y101" s="64"/>
      <c r="Z101" s="64"/>
      <c r="AA101" s="64"/>
      <c r="AB101" s="96"/>
    </row>
    <row r="102" spans="1:28" ht="12.75" customHeight="1">
      <c r="A102" s="34"/>
      <c r="B102" s="95"/>
      <c r="C102" s="64"/>
      <c r="D102" s="64"/>
      <c r="E102" s="64"/>
      <c r="F102" s="64"/>
      <c r="G102" s="64"/>
      <c r="H102" s="64"/>
      <c r="I102" s="64"/>
      <c r="J102" s="64"/>
      <c r="K102" s="95"/>
      <c r="L102" s="64"/>
      <c r="M102" s="64"/>
      <c r="N102" s="64"/>
      <c r="O102" s="64"/>
      <c r="P102" s="64"/>
      <c r="Q102" s="64"/>
      <c r="R102" s="64"/>
      <c r="S102" s="64"/>
      <c r="T102" s="95"/>
      <c r="U102" s="64"/>
      <c r="V102" s="64"/>
      <c r="W102" s="64"/>
      <c r="X102" s="64"/>
      <c r="Y102" s="64"/>
      <c r="Z102" s="64"/>
      <c r="AA102" s="64"/>
      <c r="AB102" s="96"/>
    </row>
    <row r="103" spans="1:28" ht="12.75" customHeight="1">
      <c r="A103" s="34"/>
      <c r="B103" s="95"/>
      <c r="C103" s="64"/>
      <c r="D103" s="64"/>
      <c r="E103" s="64"/>
      <c r="F103" s="64"/>
      <c r="G103" s="64"/>
      <c r="H103" s="64"/>
      <c r="I103" s="64"/>
      <c r="J103" s="64"/>
      <c r="K103" s="95"/>
      <c r="L103" s="64"/>
      <c r="M103" s="64"/>
      <c r="N103" s="64"/>
      <c r="O103" s="64"/>
      <c r="P103" s="64"/>
      <c r="Q103" s="64"/>
      <c r="R103" s="64"/>
      <c r="S103" s="64"/>
      <c r="T103" s="95"/>
      <c r="U103" s="64"/>
      <c r="V103" s="64"/>
      <c r="W103" s="64"/>
      <c r="X103" s="64"/>
      <c r="Y103" s="64"/>
      <c r="Z103" s="64"/>
      <c r="AA103" s="64"/>
      <c r="AB103" s="96"/>
    </row>
    <row r="104" spans="1:28" ht="12.75" customHeight="1">
      <c r="A104" s="34"/>
      <c r="B104" s="95"/>
      <c r="C104" s="64"/>
      <c r="D104" s="64"/>
      <c r="E104" s="64"/>
      <c r="F104" s="64"/>
      <c r="G104" s="64"/>
      <c r="H104" s="64"/>
      <c r="I104" s="64"/>
      <c r="J104" s="64"/>
      <c r="K104" s="95"/>
      <c r="L104" s="64"/>
      <c r="M104" s="64"/>
      <c r="N104" s="64"/>
      <c r="O104" s="64"/>
      <c r="P104" s="64"/>
      <c r="Q104" s="64"/>
      <c r="R104" s="64"/>
      <c r="S104" s="64"/>
      <c r="T104" s="95"/>
      <c r="U104" s="64"/>
      <c r="V104" s="64"/>
      <c r="W104" s="64"/>
      <c r="X104" s="64"/>
      <c r="Y104" s="64"/>
      <c r="Z104" s="64"/>
      <c r="AA104" s="64"/>
      <c r="AB104" s="96"/>
    </row>
    <row r="105" spans="1:28" ht="12.75" customHeight="1">
      <c r="A105" s="34"/>
      <c r="B105" s="95"/>
      <c r="C105" s="64"/>
      <c r="D105" s="64"/>
      <c r="E105" s="64"/>
      <c r="F105" s="64"/>
      <c r="G105" s="64"/>
      <c r="H105" s="64"/>
      <c r="I105" s="64"/>
      <c r="J105" s="64"/>
      <c r="K105" s="95"/>
      <c r="L105" s="64"/>
      <c r="M105" s="64"/>
      <c r="N105" s="64"/>
      <c r="O105" s="64"/>
      <c r="P105" s="64"/>
      <c r="Q105" s="64"/>
      <c r="R105" s="64"/>
      <c r="S105" s="64"/>
      <c r="T105" s="95"/>
      <c r="U105" s="64"/>
      <c r="V105" s="64"/>
      <c r="W105" s="64"/>
      <c r="X105" s="64"/>
      <c r="Y105" s="64"/>
      <c r="Z105" s="64"/>
      <c r="AA105" s="64"/>
      <c r="AB105" s="96"/>
    </row>
    <row r="106" spans="1:28" ht="12.75" customHeight="1">
      <c r="A106" s="34"/>
      <c r="B106" s="95"/>
      <c r="C106" s="64"/>
      <c r="D106" s="64"/>
      <c r="E106" s="64"/>
      <c r="F106" s="64"/>
      <c r="G106" s="64"/>
      <c r="H106" s="64"/>
      <c r="I106" s="64"/>
      <c r="J106" s="64"/>
      <c r="K106" s="95"/>
      <c r="L106" s="64"/>
      <c r="M106" s="64"/>
      <c r="N106" s="64"/>
      <c r="O106" s="64"/>
      <c r="P106" s="64"/>
      <c r="Q106" s="64"/>
      <c r="R106" s="64"/>
      <c r="S106" s="64"/>
      <c r="T106" s="95"/>
      <c r="U106" s="64"/>
      <c r="V106" s="64"/>
      <c r="W106" s="64"/>
      <c r="X106" s="64"/>
      <c r="Y106" s="64"/>
      <c r="Z106" s="64"/>
      <c r="AA106" s="64"/>
      <c r="AB106" s="96"/>
    </row>
    <row r="107" spans="1:28" ht="12.75" customHeight="1">
      <c r="A107" s="34"/>
      <c r="B107" s="95"/>
      <c r="C107" s="64"/>
      <c r="D107" s="64"/>
      <c r="E107" s="64"/>
      <c r="F107" s="64"/>
      <c r="G107" s="64"/>
      <c r="H107" s="64"/>
      <c r="I107" s="64"/>
      <c r="J107" s="64"/>
      <c r="K107" s="95"/>
      <c r="L107" s="64"/>
      <c r="M107" s="64"/>
      <c r="N107" s="64"/>
      <c r="O107" s="64"/>
      <c r="P107" s="64"/>
      <c r="Q107" s="64"/>
      <c r="R107" s="64"/>
      <c r="S107" s="64"/>
      <c r="T107" s="95"/>
      <c r="U107" s="64"/>
      <c r="V107" s="64"/>
      <c r="W107" s="64"/>
      <c r="X107" s="64"/>
      <c r="Y107" s="64"/>
      <c r="Z107" s="64"/>
      <c r="AA107" s="64"/>
      <c r="AB107" s="96"/>
    </row>
    <row r="108" spans="1:28" ht="12.75" customHeight="1">
      <c r="A108" s="34"/>
      <c r="B108" s="95"/>
      <c r="C108" s="64"/>
      <c r="D108" s="64"/>
      <c r="E108" s="64"/>
      <c r="F108" s="64"/>
      <c r="G108" s="64"/>
      <c r="H108" s="64"/>
      <c r="I108" s="64"/>
      <c r="J108" s="64"/>
      <c r="K108" s="95"/>
      <c r="L108" s="64"/>
      <c r="M108" s="64"/>
      <c r="N108" s="64"/>
      <c r="O108" s="64"/>
      <c r="P108" s="64"/>
      <c r="Q108" s="64"/>
      <c r="R108" s="64"/>
      <c r="S108" s="64"/>
      <c r="T108" s="95"/>
      <c r="U108" s="64"/>
      <c r="V108" s="64"/>
      <c r="W108" s="64"/>
      <c r="X108" s="64"/>
      <c r="Y108" s="64"/>
      <c r="Z108" s="64"/>
      <c r="AA108" s="64"/>
      <c r="AB108" s="96"/>
    </row>
    <row r="109" spans="1:28" ht="12.75" customHeight="1">
      <c r="A109" s="34"/>
      <c r="B109" s="95"/>
      <c r="C109" s="64"/>
      <c r="D109" s="64"/>
      <c r="E109" s="64"/>
      <c r="F109" s="64"/>
      <c r="G109" s="64"/>
      <c r="H109" s="64"/>
      <c r="I109" s="64"/>
      <c r="J109" s="64"/>
      <c r="K109" s="95"/>
      <c r="L109" s="64"/>
      <c r="M109" s="64"/>
      <c r="N109" s="64"/>
      <c r="O109" s="64"/>
      <c r="P109" s="64"/>
      <c r="Q109" s="64"/>
      <c r="R109" s="64"/>
      <c r="S109" s="64"/>
      <c r="T109" s="95"/>
      <c r="U109" s="64"/>
      <c r="V109" s="64"/>
      <c r="W109" s="64"/>
      <c r="X109" s="64"/>
      <c r="Y109" s="64"/>
      <c r="Z109" s="64"/>
      <c r="AA109" s="64"/>
      <c r="AB109" s="96"/>
    </row>
    <row r="110" spans="1:28" ht="12.75" customHeight="1">
      <c r="A110" s="34"/>
      <c r="B110" s="95"/>
      <c r="C110" s="64"/>
      <c r="D110" s="64"/>
      <c r="E110" s="64"/>
      <c r="F110" s="64"/>
      <c r="G110" s="64"/>
      <c r="H110" s="64"/>
      <c r="I110" s="64"/>
      <c r="J110" s="64"/>
      <c r="K110" s="95"/>
      <c r="L110" s="64"/>
      <c r="M110" s="64"/>
      <c r="N110" s="64"/>
      <c r="O110" s="64"/>
      <c r="P110" s="64"/>
      <c r="Q110" s="64"/>
      <c r="R110" s="64"/>
      <c r="S110" s="64"/>
      <c r="T110" s="95"/>
      <c r="U110" s="64"/>
      <c r="V110" s="64"/>
      <c r="W110" s="64"/>
      <c r="X110" s="64"/>
      <c r="Y110" s="64"/>
      <c r="Z110" s="64"/>
      <c r="AA110" s="64"/>
      <c r="AB110" s="96"/>
    </row>
    <row r="111" spans="1:28" ht="12.75" customHeight="1">
      <c r="A111" s="34"/>
      <c r="B111" s="95"/>
      <c r="C111" s="64"/>
      <c r="D111" s="64"/>
      <c r="E111" s="64"/>
      <c r="F111" s="64"/>
      <c r="G111" s="64"/>
      <c r="H111" s="64"/>
      <c r="I111" s="64"/>
      <c r="J111" s="64"/>
      <c r="K111" s="95"/>
      <c r="L111" s="64"/>
      <c r="M111" s="64"/>
      <c r="N111" s="64"/>
      <c r="O111" s="64"/>
      <c r="P111" s="64"/>
      <c r="Q111" s="64"/>
      <c r="R111" s="64"/>
      <c r="S111" s="64"/>
      <c r="T111" s="95"/>
      <c r="U111" s="64"/>
      <c r="V111" s="64"/>
      <c r="W111" s="64"/>
      <c r="X111" s="64"/>
      <c r="Y111" s="64"/>
      <c r="Z111" s="64"/>
      <c r="AA111" s="64"/>
      <c r="AB111" s="96"/>
    </row>
    <row r="112" spans="1:28" ht="12.75" customHeight="1">
      <c r="A112" s="34"/>
      <c r="B112" s="95"/>
      <c r="C112" s="64"/>
      <c r="D112" s="64"/>
      <c r="E112" s="64"/>
      <c r="F112" s="64"/>
      <c r="G112" s="64"/>
      <c r="H112" s="64"/>
      <c r="I112" s="64"/>
      <c r="J112" s="64"/>
      <c r="K112" s="95"/>
      <c r="L112" s="64"/>
      <c r="M112" s="64"/>
      <c r="N112" s="64"/>
      <c r="O112" s="64"/>
      <c r="P112" s="64"/>
      <c r="Q112" s="64"/>
      <c r="R112" s="64"/>
      <c r="S112" s="64"/>
      <c r="T112" s="95"/>
      <c r="U112" s="64"/>
      <c r="V112" s="64"/>
      <c r="W112" s="64"/>
      <c r="X112" s="64"/>
      <c r="Y112" s="64"/>
      <c r="Z112" s="64"/>
      <c r="AA112" s="64"/>
      <c r="AB112" s="96"/>
    </row>
    <row r="113" spans="1:28" ht="12.75" customHeight="1">
      <c r="A113" s="34"/>
      <c r="B113" s="95"/>
      <c r="C113" s="64"/>
      <c r="D113" s="64"/>
      <c r="E113" s="64"/>
      <c r="F113" s="64"/>
      <c r="G113" s="64"/>
      <c r="H113" s="64"/>
      <c r="I113" s="64"/>
      <c r="J113" s="64"/>
      <c r="K113" s="95"/>
      <c r="L113" s="64"/>
      <c r="M113" s="64"/>
      <c r="N113" s="64"/>
      <c r="O113" s="64"/>
      <c r="P113" s="64"/>
      <c r="Q113" s="64"/>
      <c r="R113" s="64"/>
      <c r="S113" s="64"/>
      <c r="T113" s="95"/>
      <c r="U113" s="64"/>
      <c r="V113" s="64"/>
      <c r="W113" s="64"/>
      <c r="X113" s="64"/>
      <c r="Y113" s="64"/>
      <c r="Z113" s="64"/>
      <c r="AA113" s="64"/>
      <c r="AB113" s="96"/>
    </row>
    <row r="114" spans="1:28" ht="12.75" customHeight="1">
      <c r="A114" s="34"/>
      <c r="B114" s="95"/>
      <c r="C114" s="64"/>
      <c r="D114" s="64"/>
      <c r="E114" s="64"/>
      <c r="F114" s="64"/>
      <c r="G114" s="64"/>
      <c r="H114" s="64"/>
      <c r="I114" s="64"/>
      <c r="J114" s="64"/>
      <c r="K114" s="95"/>
      <c r="L114" s="64"/>
      <c r="M114" s="64"/>
      <c r="N114" s="64"/>
      <c r="O114" s="64"/>
      <c r="P114" s="64"/>
      <c r="Q114" s="64"/>
      <c r="R114" s="64"/>
      <c r="S114" s="64"/>
      <c r="T114" s="95"/>
      <c r="U114" s="64"/>
      <c r="V114" s="64"/>
      <c r="W114" s="64"/>
      <c r="X114" s="64"/>
      <c r="Y114" s="64"/>
      <c r="Z114" s="64"/>
      <c r="AA114" s="64"/>
      <c r="AB114" s="96"/>
    </row>
    <row r="115" spans="1:28" ht="12.75" customHeight="1">
      <c r="A115" s="34"/>
      <c r="B115" s="95"/>
      <c r="C115" s="64"/>
      <c r="D115" s="64"/>
      <c r="E115" s="64"/>
      <c r="F115" s="64"/>
      <c r="G115" s="64"/>
      <c r="H115" s="64"/>
      <c r="I115" s="64"/>
      <c r="J115" s="64"/>
      <c r="K115" s="95"/>
      <c r="L115" s="64"/>
      <c r="M115" s="64"/>
      <c r="N115" s="64"/>
      <c r="O115" s="64"/>
      <c r="P115" s="64"/>
      <c r="Q115" s="64"/>
      <c r="R115" s="64"/>
      <c r="S115" s="64"/>
      <c r="T115" s="95"/>
      <c r="U115" s="64"/>
      <c r="V115" s="64"/>
      <c r="W115" s="64"/>
      <c r="X115" s="64"/>
      <c r="Y115" s="64"/>
      <c r="Z115" s="64"/>
      <c r="AA115" s="64"/>
      <c r="AB115" s="96"/>
    </row>
    <row r="116" spans="1:28" ht="12.75" customHeight="1">
      <c r="A116" s="34"/>
      <c r="B116" s="95"/>
      <c r="C116" s="64"/>
      <c r="D116" s="64"/>
      <c r="E116" s="64"/>
      <c r="F116" s="64"/>
      <c r="G116" s="64"/>
      <c r="H116" s="64"/>
      <c r="I116" s="64"/>
      <c r="J116" s="64"/>
      <c r="K116" s="95"/>
      <c r="L116" s="64"/>
      <c r="M116" s="64"/>
      <c r="N116" s="64"/>
      <c r="O116" s="64"/>
      <c r="P116" s="64"/>
      <c r="Q116" s="64"/>
      <c r="R116" s="64"/>
      <c r="S116" s="64"/>
      <c r="T116" s="95"/>
      <c r="U116" s="64"/>
      <c r="V116" s="64"/>
      <c r="W116" s="64"/>
      <c r="X116" s="64"/>
      <c r="Y116" s="64"/>
      <c r="Z116" s="64"/>
      <c r="AA116" s="64"/>
      <c r="AB116" s="96"/>
    </row>
    <row r="117" spans="1:28" ht="12.75" customHeight="1">
      <c r="A117" s="34"/>
      <c r="B117" s="95"/>
      <c r="C117" s="64"/>
      <c r="D117" s="64"/>
      <c r="E117" s="64"/>
      <c r="F117" s="64"/>
      <c r="G117" s="64"/>
      <c r="H117" s="64"/>
      <c r="I117" s="64"/>
      <c r="J117" s="64"/>
      <c r="K117" s="95"/>
      <c r="L117" s="64"/>
      <c r="M117" s="64"/>
      <c r="N117" s="64"/>
      <c r="O117" s="64"/>
      <c r="P117" s="64"/>
      <c r="Q117" s="64"/>
      <c r="R117" s="64"/>
      <c r="S117" s="64"/>
      <c r="T117" s="95"/>
      <c r="U117" s="64"/>
      <c r="V117" s="64"/>
      <c r="W117" s="64"/>
      <c r="X117" s="64"/>
      <c r="Y117" s="64"/>
      <c r="Z117" s="64"/>
      <c r="AA117" s="64"/>
      <c r="AB117" s="96"/>
    </row>
    <row r="118" spans="1:28" ht="12.75" customHeight="1">
      <c r="A118" s="34"/>
      <c r="B118" s="95"/>
      <c r="C118" s="64"/>
      <c r="D118" s="64"/>
      <c r="E118" s="64"/>
      <c r="F118" s="64"/>
      <c r="G118" s="64"/>
      <c r="H118" s="64"/>
      <c r="I118" s="64"/>
      <c r="J118" s="64"/>
      <c r="K118" s="95"/>
      <c r="L118" s="64"/>
      <c r="M118" s="64"/>
      <c r="N118" s="64"/>
      <c r="O118" s="64"/>
      <c r="P118" s="64"/>
      <c r="Q118" s="64"/>
      <c r="R118" s="64"/>
      <c r="S118" s="64"/>
      <c r="T118" s="95"/>
      <c r="U118" s="64"/>
      <c r="V118" s="64"/>
      <c r="W118" s="64"/>
      <c r="X118" s="64"/>
      <c r="Y118" s="64"/>
      <c r="Z118" s="64"/>
      <c r="AA118" s="64"/>
      <c r="AB118" s="96"/>
    </row>
    <row r="119" spans="1:28" ht="12.75" customHeight="1">
      <c r="A119" s="34"/>
      <c r="B119" s="95"/>
      <c r="C119" s="64"/>
      <c r="D119" s="64"/>
      <c r="E119" s="64"/>
      <c r="F119" s="64"/>
      <c r="G119" s="64"/>
      <c r="H119" s="64"/>
      <c r="I119" s="64"/>
      <c r="J119" s="64"/>
      <c r="K119" s="95"/>
      <c r="L119" s="64"/>
      <c r="M119" s="64"/>
      <c r="N119" s="64"/>
      <c r="O119" s="64"/>
      <c r="P119" s="64"/>
      <c r="Q119" s="64"/>
      <c r="R119" s="64"/>
      <c r="S119" s="64"/>
      <c r="T119" s="95"/>
      <c r="U119" s="64"/>
      <c r="V119" s="64"/>
      <c r="W119" s="64"/>
      <c r="X119" s="64"/>
      <c r="Y119" s="64"/>
      <c r="Z119" s="64"/>
      <c r="AA119" s="64"/>
      <c r="AB119" s="96"/>
    </row>
    <row r="120" spans="1:28" ht="12.75" customHeight="1">
      <c r="A120" s="34"/>
      <c r="B120" s="100"/>
      <c r="C120" s="101"/>
      <c r="D120" s="101"/>
      <c r="E120" s="101"/>
      <c r="F120" s="101"/>
      <c r="G120" s="101"/>
      <c r="H120" s="101"/>
      <c r="I120" s="101"/>
      <c r="J120" s="101"/>
      <c r="K120" s="100"/>
      <c r="L120" s="101"/>
      <c r="M120" s="101"/>
      <c r="N120" s="101"/>
      <c r="O120" s="101"/>
      <c r="P120" s="101"/>
      <c r="Q120" s="101"/>
      <c r="R120" s="101"/>
      <c r="S120" s="101"/>
      <c r="T120" s="100"/>
      <c r="U120" s="101"/>
      <c r="V120" s="101"/>
      <c r="W120" s="101"/>
      <c r="X120" s="101"/>
      <c r="Y120" s="101"/>
      <c r="Z120" s="101"/>
      <c r="AA120" s="101"/>
      <c r="AB120" s="150"/>
    </row>
    <row r="121" spans="1:2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row>
    <row r="122" spans="1:2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row>
    <row r="123" spans="1:2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row>
    <row r="124" spans="1:2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row>
    <row r="125" spans="1:2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row>
    <row r="126" spans="1:2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row>
    <row r="127" spans="1:2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row>
    <row r="128" spans="1:2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row>
    <row r="129" spans="1:2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row>
    <row r="130" spans="1:2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row>
    <row r="131" spans="1:2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row>
    <row r="132" spans="1:2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row>
    <row r="133" spans="1:2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row>
    <row r="134" spans="1:2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row>
    <row r="135" spans="1:2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row>
    <row r="136" spans="1:2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row>
    <row r="137" spans="1:2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row>
    <row r="138" spans="1:2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row>
    <row r="139" spans="1:2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row>
    <row r="140" spans="1:2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row>
    <row r="141" spans="1:2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row>
    <row r="142" spans="1:2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row>
    <row r="143" spans="1:2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row>
    <row r="144" spans="1:2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row>
    <row r="145" spans="1:2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row>
    <row r="146" spans="1:2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row>
    <row r="147" spans="1:2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row>
    <row r="148" spans="1:2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row>
    <row r="149" spans="1:2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row>
    <row r="150" spans="1:2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row>
    <row r="151" spans="1:2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row>
    <row r="152" spans="1:2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row>
    <row r="153" spans="1:2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row>
    <row r="154" spans="1:2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row>
    <row r="155" spans="1:2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row>
    <row r="156" spans="1:2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row>
    <row r="157" spans="1:2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row>
    <row r="158" spans="1:2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row>
    <row r="159" spans="1:2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row>
    <row r="160" spans="1:2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row>
    <row r="161" spans="1:2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row>
    <row r="162" spans="1:2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row>
    <row r="163" spans="1:2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row>
    <row r="164" spans="1:2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row>
    <row r="165" spans="1:2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row>
    <row r="166" spans="1:2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row>
    <row r="167" spans="1:2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row>
    <row r="168" spans="1:2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29">
    <mergeCell ref="B51:D52"/>
    <mergeCell ref="K61:M62"/>
    <mergeCell ref="L37:M37"/>
    <mergeCell ref="U37:V37"/>
    <mergeCell ref="L38:M38"/>
    <mergeCell ref="U38:V38"/>
    <mergeCell ref="K46:M46"/>
    <mergeCell ref="T46:V46"/>
    <mergeCell ref="U47:V47"/>
    <mergeCell ref="U48:V48"/>
    <mergeCell ref="B25:D25"/>
    <mergeCell ref="B28:D28"/>
    <mergeCell ref="K28:M28"/>
    <mergeCell ref="T28:V28"/>
    <mergeCell ref="B33:D34"/>
    <mergeCell ref="K33:M34"/>
    <mergeCell ref="K25:M25"/>
    <mergeCell ref="T25:V25"/>
    <mergeCell ref="T33:V34"/>
    <mergeCell ref="T36:V36"/>
    <mergeCell ref="T61:V62"/>
    <mergeCell ref="K36:M36"/>
    <mergeCell ref="L47:M47"/>
    <mergeCell ref="L48:M48"/>
    <mergeCell ref="C24:D24"/>
    <mergeCell ref="E24:F24"/>
    <mergeCell ref="G24:H24"/>
    <mergeCell ref="L24:M24"/>
    <mergeCell ref="U24:V24"/>
  </mergeCells>
  <conditionalFormatting sqref="C24:D24">
    <cfRule type="expression" dxfId="107" priority="1" stopIfTrue="1">
      <formula>C24="CHECK"</formula>
    </cfRule>
  </conditionalFormatting>
  <conditionalFormatting sqref="C24:F24">
    <cfRule type="expression" dxfId="106" priority="2" stopIfTrue="1">
      <formula>C24="PASS"</formula>
    </cfRule>
    <cfRule type="expression" dxfId="105" priority="3" stopIfTrue="1">
      <formula>C24="FAIL"</formula>
    </cfRule>
    <cfRule type="expression" dxfId="104" priority="4" stopIfTrue="1">
      <formula>C24="N/A"</formula>
    </cfRule>
  </conditionalFormatting>
  <conditionalFormatting sqref="D26:D27">
    <cfRule type="expression" dxfId="103" priority="5" stopIfTrue="1">
      <formula>D26="PASS"</formula>
    </cfRule>
    <cfRule type="expression" dxfId="102" priority="6" stopIfTrue="1">
      <formula>D26="FAIL"</formula>
    </cfRule>
  </conditionalFormatting>
  <conditionalFormatting sqref="D29:D30">
    <cfRule type="expression" dxfId="101" priority="7">
      <formula>D29="CHECK"</formula>
    </cfRule>
  </conditionalFormatting>
  <conditionalFormatting sqref="D29:D32 F29:F30 D39 F43 D44 F48 F52:F53 V57:V60">
    <cfRule type="expression" dxfId="100" priority="8" stopIfTrue="1">
      <formula>D29="PASS"</formula>
    </cfRule>
  </conditionalFormatting>
  <conditionalFormatting sqref="D48:D50">
    <cfRule type="expression" dxfId="99" priority="9" stopIfTrue="1">
      <formula>D48="PASS"</formula>
    </cfRule>
    <cfRule type="expression" dxfId="98" priority="10" stopIfTrue="1">
      <formula>D48="FAIL"</formula>
    </cfRule>
  </conditionalFormatting>
  <conditionalFormatting sqref="F3:F5">
    <cfRule type="expression" dxfId="97" priority="11" stopIfTrue="1">
      <formula>F3="PASS"</formula>
    </cfRule>
    <cfRule type="expression" dxfId="96" priority="12" stopIfTrue="1">
      <formula>F3="FAIL"</formula>
    </cfRule>
    <cfRule type="expression" dxfId="95" priority="13" stopIfTrue="1">
      <formula>F3="N/A"</formula>
    </cfRule>
  </conditionalFormatting>
  <conditionalFormatting sqref="F29:F30 D29:D32 D39 F43 D44 F48 F52:F53 V57:V60">
    <cfRule type="expression" dxfId="94" priority="14" stopIfTrue="1">
      <formula>D29="FAIL"</formula>
    </cfRule>
  </conditionalFormatting>
  <conditionalFormatting sqref="L41">
    <cfRule type="expression" dxfId="93" priority="15">
      <formula>OR(L37="Steel",L37="Aluminium 1",L37="Aluminium 2")</formula>
    </cfRule>
  </conditionalFormatting>
  <conditionalFormatting sqref="L43">
    <cfRule type="expression" dxfId="92" priority="16">
      <formula>L43&lt;0.4*L44</formula>
    </cfRule>
  </conditionalFormatting>
  <conditionalFormatting sqref="L44">
    <cfRule type="expression" dxfId="91" priority="17">
      <formula>L44&lt;0.4*L43</formula>
    </cfRule>
  </conditionalFormatting>
  <conditionalFormatting sqref="L51">
    <cfRule type="expression" dxfId="90" priority="18">
      <formula>OR(L47="Steel",L47="Aluminium 1",L47="Aluminium 2")</formula>
    </cfRule>
  </conditionalFormatting>
  <conditionalFormatting sqref="L53">
    <cfRule type="expression" dxfId="89" priority="19">
      <formula>L53&lt;0.4*L54</formula>
    </cfRule>
  </conditionalFormatting>
  <conditionalFormatting sqref="L54">
    <cfRule type="expression" dxfId="88" priority="20">
      <formula>L54&lt;0.4*L53</formula>
    </cfRule>
  </conditionalFormatting>
  <conditionalFormatting sqref="L24:M24">
    <cfRule type="expression" dxfId="87" priority="21">
      <formula>L24="CHECK"</formula>
    </cfRule>
    <cfRule type="expression" dxfId="86" priority="22">
      <formula>L24="N/A"</formula>
    </cfRule>
    <cfRule type="expression" dxfId="85" priority="23" stopIfTrue="1">
      <formula>L24="PASS"</formula>
    </cfRule>
    <cfRule type="expression" dxfId="84" priority="24" stopIfTrue="1">
      <formula>L24="FAIL"</formula>
    </cfRule>
  </conditionalFormatting>
  <conditionalFormatting sqref="M26:M27">
    <cfRule type="expression" dxfId="83" priority="25" stopIfTrue="1">
      <formula>M26="PASS"</formula>
    </cfRule>
    <cfRule type="expression" dxfId="82" priority="26" stopIfTrue="1">
      <formula>M26="FAIL"</formula>
    </cfRule>
  </conditionalFormatting>
  <conditionalFormatting sqref="M29:M30">
    <cfRule type="expression" dxfId="81" priority="27">
      <formula>M29="CHECK"</formula>
    </cfRule>
  </conditionalFormatting>
  <conditionalFormatting sqref="M29:M32">
    <cfRule type="expression" dxfId="80" priority="28" stopIfTrue="1">
      <formula>M29="PASS"</formula>
    </cfRule>
    <cfRule type="expression" dxfId="79" priority="29" stopIfTrue="1">
      <formula>M29="FAIL"</formula>
    </cfRule>
  </conditionalFormatting>
  <conditionalFormatting sqref="M40">
    <cfRule type="expression" dxfId="78" priority="32" stopIfTrue="1">
      <formula>M40="PASS"</formula>
    </cfRule>
    <cfRule type="expression" dxfId="77" priority="33" stopIfTrue="1">
      <formula>M40="FAIL"</formula>
    </cfRule>
  </conditionalFormatting>
  <conditionalFormatting sqref="M50">
    <cfRule type="expression" dxfId="76" priority="34" stopIfTrue="1">
      <formula>M50="PASS"</formula>
    </cfRule>
    <cfRule type="expression" dxfId="75" priority="35" stopIfTrue="1">
      <formula>M50="FAIL"</formula>
    </cfRule>
  </conditionalFormatting>
  <conditionalFormatting sqref="M57:M60">
    <cfRule type="expression" dxfId="74" priority="36" stopIfTrue="1">
      <formula>M57="PASS"</formula>
    </cfRule>
    <cfRule type="expression" dxfId="73" priority="37" stopIfTrue="1">
      <formula>M57="FAIL"</formula>
    </cfRule>
  </conditionalFormatting>
  <conditionalFormatting sqref="U41">
    <cfRule type="expression" dxfId="72" priority="38">
      <formula>OR(U37="Steel",U37="Aluminium 1",U37="Aluminium 2")</formula>
    </cfRule>
  </conditionalFormatting>
  <conditionalFormatting sqref="U43">
    <cfRule type="expression" dxfId="71" priority="39">
      <formula>U43&lt;0.4*U44</formula>
    </cfRule>
  </conditionalFormatting>
  <conditionalFormatting sqref="U44">
    <cfRule type="expression" dxfId="70" priority="40">
      <formula>U44&lt;0.4*U43</formula>
    </cfRule>
  </conditionalFormatting>
  <conditionalFormatting sqref="U51">
    <cfRule type="expression" dxfId="69" priority="41">
      <formula>OR(U47="Steel",U47="Aluminium 1",U47="Aluminium 2")</formula>
    </cfRule>
  </conditionalFormatting>
  <conditionalFormatting sqref="U53">
    <cfRule type="expression" dxfId="68" priority="42">
      <formula>U53&lt;0.4*U54</formula>
    </cfRule>
  </conditionalFormatting>
  <conditionalFormatting sqref="U54">
    <cfRule type="expression" dxfId="67" priority="43">
      <formula>U54&lt;0.4*U53</formula>
    </cfRule>
  </conditionalFormatting>
  <conditionalFormatting sqref="U24:V24">
    <cfRule type="expression" dxfId="66" priority="44">
      <formula>U24="CHECK"</formula>
    </cfRule>
    <cfRule type="expression" dxfId="65" priority="45">
      <formula>U24="N/A"</formula>
    </cfRule>
    <cfRule type="expression" dxfId="64" priority="46" stopIfTrue="1">
      <formula>U24="PASS"</formula>
    </cfRule>
    <cfRule type="expression" dxfId="63" priority="47" stopIfTrue="1">
      <formula>U24="FAIL"</formula>
    </cfRule>
  </conditionalFormatting>
  <conditionalFormatting sqref="V26:V27">
    <cfRule type="expression" dxfId="62" priority="48" stopIfTrue="1">
      <formula>V26="PASS"</formula>
    </cfRule>
    <cfRule type="expression" dxfId="61" priority="49" stopIfTrue="1">
      <formula>V26="FAIL"</formula>
    </cfRule>
  </conditionalFormatting>
  <conditionalFormatting sqref="V29:V30">
    <cfRule type="expression" dxfId="60" priority="50">
      <formula>V29="CHECK"</formula>
    </cfRule>
  </conditionalFormatting>
  <conditionalFormatting sqref="V29:V32">
    <cfRule type="expression" dxfId="59" priority="51" stopIfTrue="1">
      <formula>V29="PASS"</formula>
    </cfRule>
    <cfRule type="expression" dxfId="58" priority="52" stopIfTrue="1">
      <formula>V29="FAIL"</formula>
    </cfRule>
  </conditionalFormatting>
  <conditionalFormatting sqref="V40">
    <cfRule type="expression" dxfId="57" priority="55" stopIfTrue="1">
      <formula>V40="PASS"</formula>
    </cfRule>
    <cfRule type="expression" dxfId="56" priority="56" stopIfTrue="1">
      <formula>V40="FAIL"</formula>
    </cfRule>
  </conditionalFormatting>
  <conditionalFormatting sqref="V50">
    <cfRule type="expression" dxfId="55" priority="57" stopIfTrue="1">
      <formula>V50="PASS"</formula>
    </cfRule>
    <cfRule type="expression" dxfId="54" priority="58" stopIfTrue="1">
      <formula>V50="FAIL"</formula>
    </cfRule>
  </conditionalFormatting>
  <dataValidations count="2">
    <dataValidation type="list" allowBlank="1" showErrorMessage="1" sqref="L37 U37 L47 U47" xr:uid="{00000000-0002-0000-1E00-000000000000}">
      <formula1>Material</formula1>
    </dataValidation>
    <dataValidation type="list" allowBlank="1" showErrorMessage="1" sqref="F4:F5" xr:uid="{00000000-0002-0000-1E00-000001000000}">
      <formula1>"Yes,No"</formula1>
    </dataValidation>
  </dataValidations>
  <hyperlinks>
    <hyperlink ref="I3" location="'Cover Sheet'!A1" display="BACK to COVER SHEET" xr:uid="{00000000-0004-0000-1E00-000000000000}"/>
    <hyperlink ref="L38" location="'T3.5 Laminate Test'!A1" display="T3.5_Laminate" xr:uid="{00000000-0004-0000-1E00-000001000000}"/>
    <hyperlink ref="U38" location="'T3.5 Laminate Test'!A1" display="T3.5_Laminate" xr:uid="{00000000-0004-0000-1E00-000002000000}"/>
    <hyperlink ref="L48" location="'T3.5 Laminate Test'!A1" display="T3.5_Laminate" xr:uid="{00000000-0004-0000-1E00-000003000000}"/>
    <hyperlink ref="U48" location="'T3.5 Laminate Test'!A1" display="T3.5_Laminate" xr:uid="{00000000-0004-0000-1E00-000004000000}"/>
  </hyperlinks>
  <pageMargins left="0.75" right="0.75" top="1" bottom="1" header="0" footer="0"/>
  <pageSetup orientation="landscape"/>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70C0"/>
  </sheetPr>
  <dimension ref="A1:AV544"/>
  <sheetViews>
    <sheetView showGridLines="0" workbookViewId="0"/>
  </sheetViews>
  <sheetFormatPr baseColWidth="10" defaultColWidth="12.5703125" defaultRowHeight="15" customHeight="1"/>
  <cols>
    <col min="1" max="1" width="4.42578125" customWidth="1"/>
    <col min="2" max="20" width="5" customWidth="1"/>
    <col min="21" max="21" width="11.42578125" customWidth="1"/>
    <col min="22" max="40" width="5" customWidth="1"/>
    <col min="41" max="48" width="11.42578125" customWidth="1"/>
  </cols>
  <sheetData>
    <row r="1" spans="2:42" ht="12.75" customHeight="1">
      <c r="B1" s="675" t="s">
        <v>778</v>
      </c>
      <c r="C1" s="595"/>
      <c r="D1" s="595"/>
      <c r="E1" s="595"/>
      <c r="F1" s="595"/>
      <c r="G1" s="595"/>
      <c r="H1" s="595"/>
      <c r="I1" s="595"/>
      <c r="J1" s="595"/>
      <c r="K1" s="595"/>
      <c r="L1" s="595"/>
      <c r="M1" s="595"/>
      <c r="N1" s="595"/>
      <c r="O1" s="595"/>
      <c r="P1" s="595"/>
      <c r="Q1" s="595"/>
      <c r="R1" s="595"/>
      <c r="S1" s="595"/>
      <c r="T1" s="596"/>
      <c r="V1" s="675" t="s">
        <v>779</v>
      </c>
      <c r="W1" s="595"/>
      <c r="X1" s="595"/>
      <c r="Y1" s="595"/>
      <c r="Z1" s="595"/>
      <c r="AA1" s="595"/>
      <c r="AB1" s="595"/>
      <c r="AC1" s="595"/>
      <c r="AD1" s="595"/>
      <c r="AE1" s="595"/>
      <c r="AF1" s="595"/>
      <c r="AG1" s="595"/>
      <c r="AH1" s="595"/>
      <c r="AI1" s="595"/>
      <c r="AJ1" s="595"/>
      <c r="AK1" s="595"/>
      <c r="AL1" s="595"/>
      <c r="AM1" s="595"/>
      <c r="AN1" s="596"/>
    </row>
    <row r="2" spans="2:42" ht="12.75" customHeight="1">
      <c r="B2" s="80"/>
      <c r="T2" s="141"/>
      <c r="V2" s="80"/>
      <c r="AN2" s="141"/>
    </row>
    <row r="3" spans="2:42" ht="12.75" customHeight="1">
      <c r="B3" s="80" t="s">
        <v>45</v>
      </c>
      <c r="E3" s="635" t="str">
        <f>IF('Cover Sheet'!$D$14&gt;0,'Cover Sheet'!$D$14,"")</f>
        <v>Ecole Centrale Lyon</v>
      </c>
      <c r="F3" s="601"/>
      <c r="G3" s="601"/>
      <c r="H3" s="601"/>
      <c r="I3" s="601"/>
      <c r="J3" s="601"/>
      <c r="K3" s="601"/>
      <c r="L3" s="67" t="s">
        <v>47</v>
      </c>
      <c r="P3" s="635" t="str">
        <f>IF('Cover Sheet'!$O$14&gt;0,'Cover Sheet'!$O$14,"")</f>
        <v>81 FSCH/FSS/FSF</v>
      </c>
      <c r="Q3" s="601"/>
      <c r="R3" s="601"/>
      <c r="S3" s="601"/>
      <c r="T3" s="602"/>
      <c r="V3" s="80" t="s">
        <v>45</v>
      </c>
      <c r="Y3" s="635" t="str">
        <f>IF('Cover Sheet'!$D$14&gt;0,'Cover Sheet'!$D$14,"")</f>
        <v>Ecole Centrale Lyon</v>
      </c>
      <c r="Z3" s="601"/>
      <c r="AA3" s="601"/>
      <c r="AB3" s="601"/>
      <c r="AC3" s="601"/>
      <c r="AD3" s="601"/>
      <c r="AE3" s="601"/>
      <c r="AF3" s="67" t="s">
        <v>47</v>
      </c>
      <c r="AJ3" s="635" t="str">
        <f>IF('Cover Sheet'!$O$14&gt;0,'Cover Sheet'!$O$14,"")</f>
        <v>81 FSCH/FSS/FSF</v>
      </c>
      <c r="AK3" s="601"/>
      <c r="AL3" s="601"/>
      <c r="AM3" s="601"/>
      <c r="AN3" s="602"/>
    </row>
    <row r="4" spans="2:42" ht="12.75" customHeight="1">
      <c r="B4" s="251"/>
      <c r="C4" s="25"/>
      <c r="D4" s="25"/>
      <c r="E4" s="25"/>
      <c r="F4" s="25"/>
      <c r="G4" s="25"/>
      <c r="H4" s="25"/>
      <c r="I4" s="25"/>
      <c r="J4" s="25"/>
      <c r="K4" s="25"/>
      <c r="L4" s="25"/>
      <c r="M4" s="25"/>
      <c r="N4" s="25"/>
      <c r="O4" s="25"/>
      <c r="P4" s="25"/>
      <c r="Q4" s="25"/>
      <c r="R4" s="25"/>
      <c r="S4" s="25"/>
      <c r="T4" s="197"/>
      <c r="V4" s="251"/>
      <c r="W4" s="25"/>
      <c r="X4" s="25"/>
      <c r="Y4" s="25"/>
      <c r="Z4" s="25"/>
      <c r="AA4" s="25"/>
      <c r="AB4" s="25"/>
      <c r="AC4" s="25"/>
      <c r="AD4" s="25"/>
      <c r="AE4" s="25"/>
      <c r="AF4" s="25"/>
      <c r="AG4" s="25"/>
      <c r="AH4" s="25"/>
      <c r="AI4" s="25"/>
      <c r="AJ4" s="25"/>
      <c r="AK4" s="25"/>
      <c r="AL4" s="25"/>
      <c r="AM4" s="25"/>
      <c r="AN4" s="197"/>
    </row>
    <row r="5" spans="2:42" ht="12.75" customHeight="1">
      <c r="B5" s="734"/>
      <c r="C5" s="582"/>
      <c r="D5" s="582"/>
      <c r="E5" s="582"/>
      <c r="F5" s="582"/>
      <c r="G5" s="582"/>
      <c r="H5" s="582"/>
      <c r="I5" s="582"/>
      <c r="J5" s="582"/>
      <c r="K5" s="582"/>
      <c r="L5" s="582"/>
      <c r="M5" s="582"/>
      <c r="N5" s="582"/>
      <c r="O5" s="582"/>
      <c r="P5" s="582"/>
      <c r="Q5" s="582"/>
      <c r="R5" s="582"/>
      <c r="S5" s="582"/>
      <c r="T5" s="584"/>
      <c r="V5" s="734"/>
      <c r="W5" s="582"/>
      <c r="X5" s="582"/>
      <c r="Y5" s="582"/>
      <c r="Z5" s="582"/>
      <c r="AA5" s="582"/>
      <c r="AB5" s="582"/>
      <c r="AC5" s="582"/>
      <c r="AD5" s="582"/>
      <c r="AE5" s="582"/>
      <c r="AF5" s="582"/>
      <c r="AG5" s="582"/>
      <c r="AH5" s="582"/>
      <c r="AI5" s="582"/>
      <c r="AJ5" s="582"/>
      <c r="AK5" s="582"/>
      <c r="AL5" s="582"/>
      <c r="AM5" s="582"/>
      <c r="AN5" s="584"/>
      <c r="AP5" s="67" t="s">
        <v>780</v>
      </c>
    </row>
    <row r="6" spans="2:42" ht="12.75" customHeight="1">
      <c r="B6" s="95"/>
      <c r="C6" s="64"/>
      <c r="D6" s="64"/>
      <c r="E6" s="64"/>
      <c r="F6" s="64"/>
      <c r="G6" s="64"/>
      <c r="H6" s="64"/>
      <c r="I6" s="64"/>
      <c r="J6" s="64"/>
      <c r="K6" s="64"/>
      <c r="L6" s="64"/>
      <c r="M6" s="64"/>
      <c r="N6" s="64"/>
      <c r="O6" s="64"/>
      <c r="P6" s="64"/>
      <c r="Q6" s="64"/>
      <c r="R6" s="64"/>
      <c r="S6" s="64"/>
      <c r="T6" s="96"/>
      <c r="V6" s="95"/>
      <c r="W6" s="64"/>
      <c r="X6" s="64"/>
      <c r="Y6" s="64"/>
      <c r="Z6" s="64"/>
      <c r="AA6" s="64"/>
      <c r="AB6" s="64"/>
      <c r="AC6" s="64"/>
      <c r="AD6" s="64"/>
      <c r="AE6" s="64"/>
      <c r="AF6" s="64"/>
      <c r="AG6" s="64"/>
      <c r="AH6" s="64"/>
      <c r="AI6" s="64"/>
      <c r="AJ6" s="64"/>
      <c r="AK6" s="64"/>
      <c r="AL6" s="64"/>
      <c r="AM6" s="64"/>
      <c r="AN6" s="96"/>
    </row>
    <row r="7" spans="2:42" ht="12.75" customHeight="1">
      <c r="B7" s="95"/>
      <c r="C7" s="64"/>
      <c r="D7" s="64"/>
      <c r="E7" s="64"/>
      <c r="F7" s="64"/>
      <c r="G7" s="64"/>
      <c r="H7" s="64"/>
      <c r="I7" s="64"/>
      <c r="J7" s="64"/>
      <c r="K7" s="64"/>
      <c r="L7" s="64"/>
      <c r="M7" s="64"/>
      <c r="N7" s="64"/>
      <c r="O7" s="64"/>
      <c r="P7" s="64"/>
      <c r="Q7" s="64"/>
      <c r="R7" s="64"/>
      <c r="S7" s="64"/>
      <c r="T7" s="96"/>
      <c r="V7" s="95"/>
      <c r="W7" s="64"/>
      <c r="X7" s="64"/>
      <c r="Y7" s="64"/>
      <c r="Z7" s="64"/>
      <c r="AA7" s="64"/>
      <c r="AB7" s="64"/>
      <c r="AC7" s="64"/>
      <c r="AD7" s="64"/>
      <c r="AE7" s="64"/>
      <c r="AF7" s="64"/>
      <c r="AG7" s="64"/>
      <c r="AH7" s="64"/>
      <c r="AI7" s="64"/>
      <c r="AJ7" s="64"/>
      <c r="AK7" s="64"/>
      <c r="AL7" s="64"/>
      <c r="AM7" s="64"/>
      <c r="AN7" s="96"/>
    </row>
    <row r="8" spans="2:42" ht="12.75" customHeight="1">
      <c r="B8" s="95"/>
      <c r="C8" s="64"/>
      <c r="D8" s="64"/>
      <c r="E8" s="64"/>
      <c r="F8" s="64"/>
      <c r="G8" s="64"/>
      <c r="H8" s="64"/>
      <c r="I8" s="64"/>
      <c r="J8" s="64"/>
      <c r="K8" s="64"/>
      <c r="L8" s="64"/>
      <c r="M8" s="64"/>
      <c r="N8" s="64"/>
      <c r="O8" s="64"/>
      <c r="P8" s="64"/>
      <c r="Q8" s="64"/>
      <c r="R8" s="64"/>
      <c r="S8" s="64"/>
      <c r="T8" s="96"/>
      <c r="V8" s="95"/>
      <c r="W8" s="64"/>
      <c r="X8" s="64"/>
      <c r="Y8" s="64"/>
      <c r="Z8" s="64"/>
      <c r="AA8" s="64"/>
      <c r="AB8" s="64"/>
      <c r="AC8" s="64"/>
      <c r="AD8" s="64"/>
      <c r="AE8" s="64"/>
      <c r="AF8" s="64"/>
      <c r="AG8" s="64"/>
      <c r="AH8" s="64"/>
      <c r="AI8" s="64"/>
      <c r="AJ8" s="64"/>
      <c r="AK8" s="64"/>
      <c r="AL8" s="64"/>
      <c r="AM8" s="64"/>
      <c r="AN8" s="96"/>
    </row>
    <row r="9" spans="2:42" ht="12.75" customHeight="1">
      <c r="B9" s="95"/>
      <c r="C9" s="64"/>
      <c r="D9" s="64"/>
      <c r="E9" s="64"/>
      <c r="F9" s="64"/>
      <c r="G9" s="64"/>
      <c r="H9" s="64"/>
      <c r="I9" s="64"/>
      <c r="J9" s="64"/>
      <c r="K9" s="64"/>
      <c r="L9" s="64"/>
      <c r="M9" s="64"/>
      <c r="N9" s="64"/>
      <c r="O9" s="64"/>
      <c r="P9" s="64"/>
      <c r="Q9" s="64"/>
      <c r="R9" s="64"/>
      <c r="S9" s="64"/>
      <c r="T9" s="96"/>
      <c r="V9" s="95"/>
      <c r="W9" s="64"/>
      <c r="X9" s="64"/>
      <c r="Y9" s="64"/>
      <c r="Z9" s="64"/>
      <c r="AA9" s="64"/>
      <c r="AB9" s="64"/>
      <c r="AC9" s="64"/>
      <c r="AD9" s="64"/>
      <c r="AE9" s="64"/>
      <c r="AF9" s="64"/>
      <c r="AG9" s="64"/>
      <c r="AH9" s="64"/>
      <c r="AI9" s="64"/>
      <c r="AJ9" s="64"/>
      <c r="AK9" s="64"/>
      <c r="AL9" s="64"/>
      <c r="AM9" s="64"/>
      <c r="AN9" s="96"/>
    </row>
    <row r="10" spans="2:42" ht="12.75" customHeight="1">
      <c r="B10" s="95"/>
      <c r="C10" s="64"/>
      <c r="D10" s="64"/>
      <c r="E10" s="64"/>
      <c r="F10" s="64"/>
      <c r="G10" s="64"/>
      <c r="H10" s="64"/>
      <c r="I10" s="64"/>
      <c r="J10" s="64"/>
      <c r="K10" s="64"/>
      <c r="L10" s="64"/>
      <c r="M10" s="64"/>
      <c r="N10" s="64"/>
      <c r="O10" s="64"/>
      <c r="P10" s="64"/>
      <c r="Q10" s="64"/>
      <c r="R10" s="64"/>
      <c r="S10" s="64"/>
      <c r="T10" s="96"/>
      <c r="V10" s="95"/>
      <c r="W10" s="64"/>
      <c r="X10" s="64"/>
      <c r="Y10" s="64"/>
      <c r="Z10" s="64"/>
      <c r="AA10" s="64"/>
      <c r="AB10" s="64"/>
      <c r="AC10" s="64"/>
      <c r="AD10" s="64"/>
      <c r="AE10" s="64"/>
      <c r="AF10" s="64"/>
      <c r="AG10" s="64"/>
      <c r="AH10" s="64"/>
      <c r="AI10" s="64"/>
      <c r="AJ10" s="64"/>
      <c r="AK10" s="64"/>
      <c r="AL10" s="64"/>
      <c r="AM10" s="64"/>
      <c r="AN10" s="96"/>
    </row>
    <row r="11" spans="2:42" ht="12.75" customHeight="1">
      <c r="B11" s="95"/>
      <c r="C11" s="64"/>
      <c r="D11" s="64"/>
      <c r="E11" s="64"/>
      <c r="F11" s="64"/>
      <c r="G11" s="64"/>
      <c r="H11" s="147"/>
      <c r="I11" s="64"/>
      <c r="J11" s="64"/>
      <c r="K11" s="64"/>
      <c r="L11" s="64"/>
      <c r="M11" s="64"/>
      <c r="N11" s="64"/>
      <c r="O11" s="64"/>
      <c r="P11" s="64"/>
      <c r="Q11" s="64"/>
      <c r="R11" s="64"/>
      <c r="S11" s="64"/>
      <c r="T11" s="96"/>
      <c r="V11" s="95"/>
      <c r="W11" s="64"/>
      <c r="X11" s="64"/>
      <c r="Y11" s="64"/>
      <c r="Z11" s="64"/>
      <c r="AA11" s="64"/>
      <c r="AB11" s="147"/>
      <c r="AC11" s="64"/>
      <c r="AD11" s="64"/>
      <c r="AE11" s="64"/>
      <c r="AF11" s="64"/>
      <c r="AG11" s="64"/>
      <c r="AH11" s="64"/>
      <c r="AI11" s="64"/>
      <c r="AJ11" s="64"/>
      <c r="AK11" s="64"/>
      <c r="AL11" s="64"/>
      <c r="AM11" s="64"/>
      <c r="AN11" s="96"/>
    </row>
    <row r="12" spans="2:42" ht="12.75" customHeight="1">
      <c r="B12" s="95"/>
      <c r="C12" s="64"/>
      <c r="D12" s="64"/>
      <c r="E12" s="64"/>
      <c r="F12" s="64"/>
      <c r="G12" s="64"/>
      <c r="H12" s="64"/>
      <c r="I12" s="64"/>
      <c r="J12" s="64"/>
      <c r="K12" s="64"/>
      <c r="L12" s="64"/>
      <c r="M12" s="64"/>
      <c r="N12" s="64"/>
      <c r="O12" s="64"/>
      <c r="P12" s="64"/>
      <c r="Q12" s="64"/>
      <c r="R12" s="64"/>
      <c r="S12" s="64"/>
      <c r="T12" s="96"/>
      <c r="V12" s="95"/>
      <c r="W12" s="64"/>
      <c r="X12" s="64"/>
      <c r="Y12" s="64"/>
      <c r="Z12" s="64"/>
      <c r="AA12" s="64"/>
      <c r="AB12" s="64"/>
      <c r="AC12" s="64"/>
      <c r="AD12" s="64"/>
      <c r="AE12" s="64"/>
      <c r="AF12" s="64"/>
      <c r="AG12" s="64"/>
      <c r="AH12" s="64"/>
      <c r="AI12" s="64"/>
      <c r="AJ12" s="64"/>
      <c r="AK12" s="64"/>
      <c r="AL12" s="64"/>
      <c r="AM12" s="64"/>
      <c r="AN12" s="96"/>
    </row>
    <row r="13" spans="2:42" ht="12.75" customHeight="1">
      <c r="B13" s="95"/>
      <c r="C13" s="64"/>
      <c r="D13" s="147" t="s">
        <v>258</v>
      </c>
      <c r="E13" s="64"/>
      <c r="F13" s="64"/>
      <c r="G13" s="64"/>
      <c r="H13" s="147"/>
      <c r="I13" s="64"/>
      <c r="J13" s="64"/>
      <c r="K13" s="64"/>
      <c r="L13" s="64"/>
      <c r="M13" s="64"/>
      <c r="N13" s="64"/>
      <c r="O13" s="64"/>
      <c r="P13" s="64"/>
      <c r="Q13" s="64"/>
      <c r="R13" s="64"/>
      <c r="S13" s="64"/>
      <c r="T13" s="96"/>
      <c r="V13" s="95"/>
      <c r="W13" s="64"/>
      <c r="X13" s="147" t="s">
        <v>258</v>
      </c>
      <c r="Y13" s="64"/>
      <c r="Z13" s="64"/>
      <c r="AA13" s="64"/>
      <c r="AB13" s="147"/>
      <c r="AC13" s="64"/>
      <c r="AD13" s="64"/>
      <c r="AE13" s="64"/>
      <c r="AF13" s="64"/>
      <c r="AG13" s="64"/>
      <c r="AH13" s="64"/>
      <c r="AI13" s="64"/>
      <c r="AJ13" s="64"/>
      <c r="AK13" s="64"/>
      <c r="AL13" s="64"/>
      <c r="AM13" s="64"/>
      <c r="AN13" s="96"/>
    </row>
    <row r="14" spans="2:42" ht="12.75" customHeight="1">
      <c r="B14" s="95"/>
      <c r="C14" s="64"/>
      <c r="D14" s="64"/>
      <c r="E14" s="64"/>
      <c r="F14" s="64"/>
      <c r="G14" s="64"/>
      <c r="H14" s="64"/>
      <c r="I14" s="64"/>
      <c r="J14" s="64"/>
      <c r="K14" s="64"/>
      <c r="L14" s="64"/>
      <c r="M14" s="64"/>
      <c r="N14" s="64"/>
      <c r="O14" s="64"/>
      <c r="P14" s="64"/>
      <c r="Q14" s="64"/>
      <c r="R14" s="64"/>
      <c r="S14" s="64"/>
      <c r="T14" s="96"/>
      <c r="V14" s="95"/>
      <c r="W14" s="64"/>
      <c r="X14" s="64"/>
      <c r="Y14" s="64"/>
      <c r="Z14" s="64"/>
      <c r="AA14" s="64"/>
      <c r="AB14" s="64"/>
      <c r="AC14" s="64"/>
      <c r="AD14" s="64"/>
      <c r="AE14" s="64"/>
      <c r="AF14" s="64"/>
      <c r="AG14" s="64"/>
      <c r="AH14" s="64"/>
      <c r="AI14" s="64"/>
      <c r="AJ14" s="64"/>
      <c r="AK14" s="64"/>
      <c r="AL14" s="64"/>
      <c r="AM14" s="64"/>
      <c r="AN14" s="96"/>
    </row>
    <row r="15" spans="2:42" ht="12.75" customHeight="1">
      <c r="B15" s="95"/>
      <c r="C15" s="64"/>
      <c r="D15" s="147" t="s">
        <v>253</v>
      </c>
      <c r="E15" s="64"/>
      <c r="F15" s="64"/>
      <c r="G15" s="64"/>
      <c r="H15" s="64"/>
      <c r="I15" s="64"/>
      <c r="J15" s="64"/>
      <c r="K15" s="64"/>
      <c r="L15" s="64"/>
      <c r="M15" s="64"/>
      <c r="N15" s="64"/>
      <c r="O15" s="64"/>
      <c r="P15" s="64"/>
      <c r="Q15" s="64"/>
      <c r="R15" s="64"/>
      <c r="S15" s="64"/>
      <c r="T15" s="96"/>
      <c r="V15" s="95"/>
      <c r="W15" s="64"/>
      <c r="X15" s="147" t="s">
        <v>253</v>
      </c>
      <c r="Y15" s="64"/>
      <c r="Z15" s="64"/>
      <c r="AA15" s="64"/>
      <c r="AB15" s="64"/>
      <c r="AC15" s="64"/>
      <c r="AD15" s="64"/>
      <c r="AE15" s="64"/>
      <c r="AF15" s="64"/>
      <c r="AG15" s="64"/>
      <c r="AH15" s="64"/>
      <c r="AI15" s="64"/>
      <c r="AJ15" s="64"/>
      <c r="AK15" s="64"/>
      <c r="AL15" s="64"/>
      <c r="AM15" s="64"/>
      <c r="AN15" s="96"/>
    </row>
    <row r="16" spans="2:42" ht="12.75" customHeight="1">
      <c r="B16" s="95"/>
      <c r="C16" s="64"/>
      <c r="D16" s="65"/>
      <c r="E16" s="64"/>
      <c r="F16" s="64"/>
      <c r="G16" s="64"/>
      <c r="H16" s="64"/>
      <c r="I16" s="64"/>
      <c r="J16" s="64"/>
      <c r="K16" s="64"/>
      <c r="L16" s="64"/>
      <c r="M16" s="64"/>
      <c r="N16" s="64"/>
      <c r="O16" s="64"/>
      <c r="P16" s="64"/>
      <c r="Q16" s="64"/>
      <c r="R16" s="64"/>
      <c r="S16" s="64"/>
      <c r="T16" s="96"/>
      <c r="V16" s="95"/>
      <c r="W16" s="64"/>
      <c r="X16" s="65"/>
      <c r="Y16" s="64"/>
      <c r="Z16" s="64"/>
      <c r="AA16" s="64"/>
      <c r="AB16" s="64"/>
      <c r="AC16" s="64"/>
      <c r="AD16" s="64"/>
      <c r="AE16" s="64"/>
      <c r="AF16" s="64"/>
      <c r="AG16" s="64"/>
      <c r="AH16" s="64"/>
      <c r="AI16" s="64"/>
      <c r="AJ16" s="64"/>
      <c r="AK16" s="64"/>
      <c r="AL16" s="64"/>
      <c r="AM16" s="64"/>
      <c r="AN16" s="96"/>
    </row>
    <row r="17" spans="1:48" ht="12.75" customHeight="1">
      <c r="B17" s="95"/>
      <c r="C17" s="64"/>
      <c r="D17" s="147" t="s">
        <v>254</v>
      </c>
      <c r="E17" s="64"/>
      <c r="F17" s="64"/>
      <c r="G17" s="64"/>
      <c r="H17" s="64"/>
      <c r="I17" s="64"/>
      <c r="J17" s="64"/>
      <c r="K17" s="64"/>
      <c r="L17" s="64"/>
      <c r="M17" s="64"/>
      <c r="N17" s="64"/>
      <c r="O17" s="64"/>
      <c r="P17" s="64"/>
      <c r="Q17" s="64"/>
      <c r="R17" s="64"/>
      <c r="S17" s="64"/>
      <c r="T17" s="96"/>
      <c r="V17" s="95"/>
      <c r="W17" s="64"/>
      <c r="X17" s="147" t="s">
        <v>254</v>
      </c>
      <c r="Y17" s="64"/>
      <c r="Z17" s="64"/>
      <c r="AA17" s="64"/>
      <c r="AB17" s="64"/>
      <c r="AC17" s="64"/>
      <c r="AD17" s="64"/>
      <c r="AE17" s="64"/>
      <c r="AF17" s="64"/>
      <c r="AG17" s="64"/>
      <c r="AH17" s="64"/>
      <c r="AI17" s="64"/>
      <c r="AJ17" s="64"/>
      <c r="AK17" s="64"/>
      <c r="AL17" s="64"/>
      <c r="AM17" s="64"/>
      <c r="AN17" s="96"/>
    </row>
    <row r="18" spans="1:48" ht="12.75" customHeight="1">
      <c r="B18" s="95"/>
      <c r="C18" s="64"/>
      <c r="D18" s="64"/>
      <c r="E18" s="64"/>
      <c r="F18" s="64"/>
      <c r="G18" s="64"/>
      <c r="H18" s="64"/>
      <c r="I18" s="64"/>
      <c r="J18" s="64"/>
      <c r="K18" s="64"/>
      <c r="L18" s="64"/>
      <c r="M18" s="64"/>
      <c r="N18" s="64"/>
      <c r="O18" s="64"/>
      <c r="P18" s="64"/>
      <c r="Q18" s="64"/>
      <c r="R18" s="64"/>
      <c r="S18" s="64"/>
      <c r="T18" s="96"/>
      <c r="V18" s="95"/>
      <c r="W18" s="64"/>
      <c r="X18" s="64"/>
      <c r="Y18" s="64"/>
      <c r="Z18" s="64"/>
      <c r="AA18" s="64"/>
      <c r="AB18" s="64"/>
      <c r="AC18" s="64"/>
      <c r="AD18" s="64"/>
      <c r="AE18" s="64"/>
      <c r="AF18" s="64"/>
      <c r="AG18" s="64"/>
      <c r="AH18" s="64"/>
      <c r="AI18" s="64"/>
      <c r="AJ18" s="64"/>
      <c r="AK18" s="64"/>
      <c r="AL18" s="64"/>
      <c r="AM18" s="64"/>
      <c r="AN18" s="96"/>
    </row>
    <row r="19" spans="1:48" ht="12.75" customHeight="1">
      <c r="A19" s="34"/>
      <c r="B19" s="95"/>
      <c r="C19" s="64"/>
      <c r="D19" s="64"/>
      <c r="E19" s="64"/>
      <c r="F19" s="64"/>
      <c r="G19" s="64"/>
      <c r="H19" s="147"/>
      <c r="I19" s="64"/>
      <c r="J19" s="64"/>
      <c r="K19" s="64"/>
      <c r="L19" s="64"/>
      <c r="M19" s="64"/>
      <c r="N19" s="64"/>
      <c r="O19" s="64"/>
      <c r="P19" s="64"/>
      <c r="Q19" s="64"/>
      <c r="R19" s="64"/>
      <c r="S19" s="64"/>
      <c r="T19" s="96"/>
      <c r="U19" s="34"/>
      <c r="V19" s="95"/>
      <c r="W19" s="64"/>
      <c r="X19" s="64"/>
      <c r="Y19" s="64"/>
      <c r="Z19" s="64"/>
      <c r="AA19" s="64"/>
      <c r="AB19" s="147"/>
      <c r="AC19" s="64"/>
      <c r="AD19" s="64"/>
      <c r="AE19" s="64"/>
      <c r="AF19" s="64"/>
      <c r="AG19" s="64"/>
      <c r="AH19" s="64"/>
      <c r="AI19" s="64"/>
      <c r="AJ19" s="64"/>
      <c r="AK19" s="64"/>
      <c r="AL19" s="64"/>
      <c r="AM19" s="64"/>
      <c r="AN19" s="96"/>
      <c r="AO19" s="34"/>
      <c r="AP19" s="34"/>
      <c r="AQ19" s="34"/>
      <c r="AR19" s="34"/>
      <c r="AS19" s="34"/>
      <c r="AT19" s="34"/>
      <c r="AU19" s="34"/>
      <c r="AV19" s="34"/>
    </row>
    <row r="20" spans="1:48" ht="12.75" customHeight="1">
      <c r="A20" s="34"/>
      <c r="B20" s="95"/>
      <c r="C20" s="64"/>
      <c r="D20" s="64"/>
      <c r="E20" s="64"/>
      <c r="F20" s="64"/>
      <c r="G20" s="64"/>
      <c r="H20" s="64"/>
      <c r="I20" s="64"/>
      <c r="J20" s="64"/>
      <c r="K20" s="64"/>
      <c r="L20" s="64"/>
      <c r="M20" s="64"/>
      <c r="N20" s="64"/>
      <c r="O20" s="64"/>
      <c r="P20" s="64"/>
      <c r="Q20" s="64"/>
      <c r="R20" s="64"/>
      <c r="S20" s="64"/>
      <c r="T20" s="96"/>
      <c r="U20" s="34"/>
      <c r="V20" s="95"/>
      <c r="W20" s="64"/>
      <c r="X20" s="64"/>
      <c r="Y20" s="64"/>
      <c r="Z20" s="64"/>
      <c r="AA20" s="64"/>
      <c r="AB20" s="64"/>
      <c r="AC20" s="64"/>
      <c r="AD20" s="64"/>
      <c r="AE20" s="64"/>
      <c r="AF20" s="64"/>
      <c r="AG20" s="64"/>
      <c r="AH20" s="64"/>
      <c r="AI20" s="64"/>
      <c r="AJ20" s="64"/>
      <c r="AK20" s="64"/>
      <c r="AL20" s="64"/>
      <c r="AM20" s="64"/>
      <c r="AN20" s="96"/>
      <c r="AO20" s="34"/>
      <c r="AP20" s="34"/>
      <c r="AQ20" s="34"/>
      <c r="AR20" s="34"/>
      <c r="AS20" s="34"/>
      <c r="AT20" s="34"/>
      <c r="AU20" s="34"/>
      <c r="AV20" s="34"/>
    </row>
    <row r="21" spans="1:48" ht="12.75" customHeight="1">
      <c r="A21" s="34"/>
      <c r="B21" s="95"/>
      <c r="C21" s="64"/>
      <c r="D21" s="64"/>
      <c r="E21" s="64"/>
      <c r="F21" s="64"/>
      <c r="G21" s="64"/>
      <c r="H21" s="147"/>
      <c r="I21" s="64"/>
      <c r="J21" s="64"/>
      <c r="K21" s="64"/>
      <c r="L21" s="64"/>
      <c r="M21" s="64"/>
      <c r="N21" s="64"/>
      <c r="O21" s="64"/>
      <c r="P21" s="64"/>
      <c r="Q21" s="64"/>
      <c r="R21" s="64"/>
      <c r="S21" s="64"/>
      <c r="T21" s="96"/>
      <c r="U21" s="34"/>
      <c r="V21" s="95"/>
      <c r="W21" s="64"/>
      <c r="X21" s="64"/>
      <c r="Y21" s="64"/>
      <c r="Z21" s="64"/>
      <c r="AA21" s="64"/>
      <c r="AB21" s="147"/>
      <c r="AC21" s="64"/>
      <c r="AD21" s="64"/>
      <c r="AE21" s="64"/>
      <c r="AF21" s="64"/>
      <c r="AG21" s="64"/>
      <c r="AH21" s="64"/>
      <c r="AI21" s="64"/>
      <c r="AJ21" s="64"/>
      <c r="AK21" s="64"/>
      <c r="AL21" s="64"/>
      <c r="AM21" s="64"/>
      <c r="AN21" s="96"/>
      <c r="AO21" s="34"/>
      <c r="AP21" s="34"/>
      <c r="AQ21" s="34"/>
      <c r="AR21" s="34"/>
      <c r="AS21" s="34"/>
      <c r="AT21" s="34"/>
      <c r="AU21" s="34"/>
      <c r="AV21" s="34"/>
    </row>
    <row r="22" spans="1:48" ht="12.75" customHeight="1">
      <c r="A22" s="34"/>
      <c r="B22" s="95"/>
      <c r="C22" s="64"/>
      <c r="D22" s="64"/>
      <c r="E22" s="147"/>
      <c r="F22" s="64"/>
      <c r="G22" s="64"/>
      <c r="H22" s="64"/>
      <c r="I22" s="64"/>
      <c r="J22" s="64"/>
      <c r="K22" s="64"/>
      <c r="L22" s="64"/>
      <c r="M22" s="64"/>
      <c r="N22" s="64"/>
      <c r="O22" s="64"/>
      <c r="P22" s="64"/>
      <c r="Q22" s="64"/>
      <c r="R22" s="64"/>
      <c r="S22" s="64"/>
      <c r="T22" s="96"/>
      <c r="U22" s="34"/>
      <c r="V22" s="95"/>
      <c r="W22" s="64"/>
      <c r="X22" s="64"/>
      <c r="Y22" s="147"/>
      <c r="Z22" s="64"/>
      <c r="AA22" s="64"/>
      <c r="AB22" s="64"/>
      <c r="AC22" s="64"/>
      <c r="AD22" s="64"/>
      <c r="AE22" s="64"/>
      <c r="AF22" s="64"/>
      <c r="AG22" s="64"/>
      <c r="AH22" s="64"/>
      <c r="AI22" s="64"/>
      <c r="AJ22" s="64"/>
      <c r="AK22" s="64"/>
      <c r="AL22" s="64"/>
      <c r="AM22" s="64"/>
      <c r="AN22" s="96"/>
      <c r="AO22" s="34"/>
      <c r="AP22" s="34"/>
      <c r="AQ22" s="34"/>
      <c r="AR22" s="34"/>
      <c r="AS22" s="34"/>
      <c r="AT22" s="34"/>
      <c r="AU22" s="34"/>
      <c r="AV22" s="34"/>
    </row>
    <row r="23" spans="1:48" ht="12.75" customHeight="1">
      <c r="A23" s="34"/>
      <c r="B23" s="95"/>
      <c r="C23" s="64"/>
      <c r="D23" s="64"/>
      <c r="E23" s="64"/>
      <c r="F23" s="64"/>
      <c r="G23" s="64"/>
      <c r="H23" s="64"/>
      <c r="I23" s="64"/>
      <c r="J23" s="64"/>
      <c r="K23" s="64"/>
      <c r="L23" s="64"/>
      <c r="M23" s="64"/>
      <c r="N23" s="64"/>
      <c r="O23" s="64"/>
      <c r="P23" s="64"/>
      <c r="Q23" s="64"/>
      <c r="R23" s="64"/>
      <c r="S23" s="64"/>
      <c r="T23" s="96"/>
      <c r="U23" s="34"/>
      <c r="V23" s="95"/>
      <c r="W23" s="64"/>
      <c r="X23" s="64"/>
      <c r="Y23" s="64"/>
      <c r="Z23" s="64"/>
      <c r="AA23" s="64"/>
      <c r="AB23" s="64"/>
      <c r="AC23" s="64"/>
      <c r="AD23" s="64"/>
      <c r="AE23" s="64"/>
      <c r="AF23" s="64"/>
      <c r="AG23" s="64"/>
      <c r="AH23" s="64"/>
      <c r="AI23" s="64"/>
      <c r="AJ23" s="64"/>
      <c r="AK23" s="64"/>
      <c r="AL23" s="64"/>
      <c r="AM23" s="64"/>
      <c r="AN23" s="96"/>
      <c r="AO23" s="34"/>
      <c r="AP23" s="34"/>
      <c r="AQ23" s="34"/>
      <c r="AR23" s="34"/>
      <c r="AS23" s="34"/>
      <c r="AT23" s="34"/>
      <c r="AU23" s="34"/>
      <c r="AV23" s="34"/>
    </row>
    <row r="24" spans="1:48" ht="12.75" customHeight="1">
      <c r="A24" s="34"/>
      <c r="B24" s="95"/>
      <c r="C24" s="64"/>
      <c r="D24" s="64"/>
      <c r="E24" s="64"/>
      <c r="F24" s="64"/>
      <c r="G24" s="64"/>
      <c r="H24" s="64"/>
      <c r="I24" s="64"/>
      <c r="J24" s="64"/>
      <c r="K24" s="64"/>
      <c r="L24" s="64"/>
      <c r="M24" s="64"/>
      <c r="N24" s="64"/>
      <c r="O24" s="64"/>
      <c r="P24" s="64"/>
      <c r="Q24" s="64"/>
      <c r="R24" s="64"/>
      <c r="S24" s="64"/>
      <c r="T24" s="96"/>
      <c r="U24" s="34"/>
      <c r="V24" s="95"/>
      <c r="W24" s="64"/>
      <c r="X24" s="64"/>
      <c r="Y24" s="64"/>
      <c r="Z24" s="64"/>
      <c r="AA24" s="64"/>
      <c r="AB24" s="64"/>
      <c r="AC24" s="64"/>
      <c r="AD24" s="64"/>
      <c r="AE24" s="64"/>
      <c r="AF24" s="64"/>
      <c r="AG24" s="64"/>
      <c r="AH24" s="64"/>
      <c r="AI24" s="64"/>
      <c r="AJ24" s="64"/>
      <c r="AK24" s="64"/>
      <c r="AL24" s="64"/>
      <c r="AM24" s="64"/>
      <c r="AN24" s="96"/>
      <c r="AO24" s="34"/>
      <c r="AP24" s="34"/>
      <c r="AQ24" s="34"/>
      <c r="AR24" s="34"/>
      <c r="AS24" s="34"/>
      <c r="AT24" s="34"/>
      <c r="AU24" s="34"/>
      <c r="AV24" s="34"/>
    </row>
    <row r="25" spans="1:48" ht="12.75" customHeight="1">
      <c r="A25" s="34"/>
      <c r="B25" s="95"/>
      <c r="C25" s="64"/>
      <c r="D25" s="64"/>
      <c r="E25" s="64"/>
      <c r="F25" s="64"/>
      <c r="G25" s="64"/>
      <c r="H25" s="64"/>
      <c r="I25" s="64"/>
      <c r="J25" s="64"/>
      <c r="K25" s="64"/>
      <c r="L25" s="64"/>
      <c r="M25" s="64"/>
      <c r="N25" s="64"/>
      <c r="O25" s="64"/>
      <c r="P25" s="64"/>
      <c r="Q25" s="64"/>
      <c r="R25" s="64"/>
      <c r="S25" s="64"/>
      <c r="T25" s="96"/>
      <c r="U25" s="34"/>
      <c r="V25" s="95"/>
      <c r="W25" s="64"/>
      <c r="X25" s="64"/>
      <c r="Y25" s="64"/>
      <c r="Z25" s="64"/>
      <c r="AA25" s="64"/>
      <c r="AB25" s="64"/>
      <c r="AC25" s="64"/>
      <c r="AD25" s="64"/>
      <c r="AE25" s="64"/>
      <c r="AF25" s="64"/>
      <c r="AG25" s="64"/>
      <c r="AH25" s="64"/>
      <c r="AI25" s="64"/>
      <c r="AJ25" s="64"/>
      <c r="AK25" s="64"/>
      <c r="AL25" s="64"/>
      <c r="AM25" s="64"/>
      <c r="AN25" s="96"/>
      <c r="AO25" s="34"/>
      <c r="AP25" s="34"/>
      <c r="AQ25" s="34"/>
      <c r="AR25" s="34"/>
      <c r="AS25" s="34"/>
      <c r="AT25" s="34"/>
      <c r="AU25" s="34"/>
      <c r="AV25" s="34"/>
    </row>
    <row r="26" spans="1:48" ht="12.75" customHeight="1">
      <c r="A26" s="34"/>
      <c r="B26" s="95"/>
      <c r="C26" s="64"/>
      <c r="D26" s="64"/>
      <c r="E26" s="64"/>
      <c r="F26" s="64"/>
      <c r="G26" s="64"/>
      <c r="H26" s="64"/>
      <c r="I26" s="64"/>
      <c r="J26" s="64"/>
      <c r="K26" s="64"/>
      <c r="L26" s="64"/>
      <c r="M26" s="64"/>
      <c r="N26" s="64"/>
      <c r="O26" s="64"/>
      <c r="P26" s="64"/>
      <c r="Q26" s="64"/>
      <c r="R26" s="64"/>
      <c r="S26" s="64"/>
      <c r="T26" s="96"/>
      <c r="U26" s="34"/>
      <c r="V26" s="95"/>
      <c r="W26" s="64"/>
      <c r="X26" s="64"/>
      <c r="Y26" s="64"/>
      <c r="Z26" s="64"/>
      <c r="AA26" s="64"/>
      <c r="AB26" s="64"/>
      <c r="AC26" s="64"/>
      <c r="AD26" s="64"/>
      <c r="AE26" s="64"/>
      <c r="AF26" s="64"/>
      <c r="AG26" s="64"/>
      <c r="AH26" s="64"/>
      <c r="AI26" s="64"/>
      <c r="AJ26" s="64"/>
      <c r="AK26" s="64"/>
      <c r="AL26" s="64"/>
      <c r="AM26" s="64"/>
      <c r="AN26" s="96"/>
      <c r="AO26" s="34"/>
      <c r="AP26" s="34"/>
      <c r="AQ26" s="34"/>
      <c r="AR26" s="34"/>
      <c r="AS26" s="34"/>
      <c r="AT26" s="34"/>
      <c r="AU26" s="34"/>
      <c r="AV26" s="34"/>
    </row>
    <row r="27" spans="1:48" ht="12.75" customHeight="1">
      <c r="A27" s="34"/>
      <c r="B27" s="95"/>
      <c r="C27" s="64"/>
      <c r="D27" s="64"/>
      <c r="E27" s="64"/>
      <c r="F27" s="64"/>
      <c r="G27" s="64"/>
      <c r="H27" s="64"/>
      <c r="I27" s="64"/>
      <c r="J27" s="64"/>
      <c r="K27" s="64"/>
      <c r="L27" s="64"/>
      <c r="M27" s="64"/>
      <c r="N27" s="64"/>
      <c r="O27" s="64"/>
      <c r="P27" s="64"/>
      <c r="Q27" s="64"/>
      <c r="R27" s="64"/>
      <c r="S27" s="64"/>
      <c r="T27" s="96"/>
      <c r="U27" s="34"/>
      <c r="V27" s="95"/>
      <c r="W27" s="64"/>
      <c r="X27" s="64"/>
      <c r="Y27" s="64"/>
      <c r="Z27" s="64"/>
      <c r="AA27" s="64"/>
      <c r="AB27" s="64"/>
      <c r="AC27" s="64"/>
      <c r="AD27" s="64"/>
      <c r="AE27" s="64"/>
      <c r="AF27" s="64"/>
      <c r="AG27" s="64"/>
      <c r="AH27" s="64"/>
      <c r="AI27" s="64"/>
      <c r="AJ27" s="64"/>
      <c r="AK27" s="64"/>
      <c r="AL27" s="64"/>
      <c r="AM27" s="64"/>
      <c r="AN27" s="96"/>
      <c r="AO27" s="34"/>
      <c r="AP27" s="34"/>
      <c r="AQ27" s="34"/>
      <c r="AR27" s="34"/>
      <c r="AS27" s="34"/>
      <c r="AT27" s="34"/>
      <c r="AU27" s="34"/>
      <c r="AV27" s="34"/>
    </row>
    <row r="28" spans="1:48" ht="12.75" customHeight="1">
      <c r="A28" s="34"/>
      <c r="B28" s="95"/>
      <c r="C28" s="64"/>
      <c r="D28" s="64"/>
      <c r="E28" s="64"/>
      <c r="F28" s="64"/>
      <c r="G28" s="64"/>
      <c r="H28" s="64"/>
      <c r="I28" s="64"/>
      <c r="J28" s="64"/>
      <c r="K28" s="64"/>
      <c r="L28" s="64"/>
      <c r="M28" s="64"/>
      <c r="N28" s="64"/>
      <c r="O28" s="64"/>
      <c r="P28" s="64"/>
      <c r="Q28" s="64"/>
      <c r="R28" s="64"/>
      <c r="S28" s="64"/>
      <c r="T28" s="96"/>
      <c r="U28" s="34"/>
      <c r="V28" s="95"/>
      <c r="W28" s="64"/>
      <c r="X28" s="64"/>
      <c r="Y28" s="64"/>
      <c r="Z28" s="64"/>
      <c r="AA28" s="64"/>
      <c r="AB28" s="64"/>
      <c r="AC28" s="64"/>
      <c r="AD28" s="64"/>
      <c r="AE28" s="64"/>
      <c r="AF28" s="64"/>
      <c r="AG28" s="64"/>
      <c r="AH28" s="64"/>
      <c r="AI28" s="64"/>
      <c r="AJ28" s="64"/>
      <c r="AK28" s="64"/>
      <c r="AL28" s="64"/>
      <c r="AM28" s="64"/>
      <c r="AN28" s="96"/>
      <c r="AO28" s="34"/>
      <c r="AP28" s="34"/>
      <c r="AQ28" s="34"/>
      <c r="AR28" s="34"/>
      <c r="AS28" s="34"/>
      <c r="AT28" s="34"/>
      <c r="AU28" s="34"/>
      <c r="AV28" s="34"/>
    </row>
    <row r="29" spans="1:48" ht="12.75" customHeight="1">
      <c r="A29" s="34"/>
      <c r="B29" s="95"/>
      <c r="C29" s="64"/>
      <c r="D29" s="64"/>
      <c r="E29" s="64"/>
      <c r="F29" s="64"/>
      <c r="G29" s="64"/>
      <c r="H29" s="64"/>
      <c r="I29" s="64"/>
      <c r="J29" s="64"/>
      <c r="K29" s="64"/>
      <c r="L29" s="64"/>
      <c r="M29" s="64"/>
      <c r="N29" s="64"/>
      <c r="O29" s="64"/>
      <c r="P29" s="64"/>
      <c r="Q29" s="64"/>
      <c r="R29" s="64"/>
      <c r="S29" s="64"/>
      <c r="T29" s="96"/>
      <c r="U29" s="34"/>
      <c r="V29" s="95"/>
      <c r="W29" s="64"/>
      <c r="X29" s="64"/>
      <c r="Y29" s="64"/>
      <c r="Z29" s="64"/>
      <c r="AA29" s="64"/>
      <c r="AB29" s="64"/>
      <c r="AC29" s="64"/>
      <c r="AD29" s="64"/>
      <c r="AE29" s="64"/>
      <c r="AF29" s="64"/>
      <c r="AG29" s="64"/>
      <c r="AH29" s="64"/>
      <c r="AI29" s="64"/>
      <c r="AJ29" s="64"/>
      <c r="AK29" s="64"/>
      <c r="AL29" s="64"/>
      <c r="AM29" s="64"/>
      <c r="AN29" s="96"/>
      <c r="AO29" s="34"/>
      <c r="AP29" s="34"/>
      <c r="AQ29" s="34"/>
      <c r="AR29" s="34"/>
      <c r="AS29" s="34"/>
      <c r="AT29" s="34"/>
      <c r="AU29" s="34"/>
      <c r="AV29" s="34"/>
    </row>
    <row r="30" spans="1:48" ht="12.75" customHeight="1">
      <c r="A30" s="34"/>
      <c r="B30" s="95"/>
      <c r="C30" s="64"/>
      <c r="D30" s="64"/>
      <c r="E30" s="64"/>
      <c r="F30" s="64"/>
      <c r="G30" s="64"/>
      <c r="H30" s="64"/>
      <c r="I30" s="64"/>
      <c r="J30" s="64"/>
      <c r="K30" s="64"/>
      <c r="L30" s="64"/>
      <c r="M30" s="64"/>
      <c r="N30" s="64"/>
      <c r="O30" s="64"/>
      <c r="P30" s="64"/>
      <c r="Q30" s="64"/>
      <c r="R30" s="64"/>
      <c r="S30" s="64"/>
      <c r="T30" s="96"/>
      <c r="U30" s="34"/>
      <c r="V30" s="95"/>
      <c r="W30" s="64"/>
      <c r="X30" s="64"/>
      <c r="Y30" s="64"/>
      <c r="Z30" s="64"/>
      <c r="AA30" s="64"/>
      <c r="AB30" s="64"/>
      <c r="AC30" s="64"/>
      <c r="AD30" s="64"/>
      <c r="AE30" s="64"/>
      <c r="AF30" s="64"/>
      <c r="AG30" s="64"/>
      <c r="AH30" s="64"/>
      <c r="AI30" s="64"/>
      <c r="AJ30" s="64"/>
      <c r="AK30" s="64"/>
      <c r="AL30" s="64"/>
      <c r="AM30" s="64"/>
      <c r="AN30" s="96"/>
      <c r="AO30" s="34"/>
      <c r="AP30" s="34"/>
      <c r="AQ30" s="34"/>
      <c r="AR30" s="34"/>
      <c r="AS30" s="34"/>
      <c r="AT30" s="34"/>
      <c r="AU30" s="34"/>
      <c r="AV30" s="34"/>
    </row>
    <row r="31" spans="1:48" ht="12.75" customHeight="1">
      <c r="A31" s="34"/>
      <c r="B31" s="95"/>
      <c r="C31" s="64"/>
      <c r="D31" s="64"/>
      <c r="E31" s="64"/>
      <c r="F31" s="64"/>
      <c r="G31" s="64"/>
      <c r="H31" s="64"/>
      <c r="I31" s="64"/>
      <c r="J31" s="64"/>
      <c r="K31" s="64"/>
      <c r="L31" s="64"/>
      <c r="M31" s="64"/>
      <c r="N31" s="64"/>
      <c r="O31" s="64"/>
      <c r="P31" s="64"/>
      <c r="Q31" s="64"/>
      <c r="R31" s="64"/>
      <c r="S31" s="64"/>
      <c r="T31" s="96"/>
      <c r="U31" s="34"/>
      <c r="V31" s="95"/>
      <c r="W31" s="64"/>
      <c r="X31" s="64"/>
      <c r="Y31" s="64"/>
      <c r="Z31" s="64"/>
      <c r="AA31" s="64"/>
      <c r="AB31" s="64"/>
      <c r="AC31" s="64"/>
      <c r="AD31" s="64"/>
      <c r="AE31" s="64"/>
      <c r="AF31" s="64"/>
      <c r="AG31" s="64"/>
      <c r="AH31" s="64"/>
      <c r="AI31" s="64"/>
      <c r="AJ31" s="64"/>
      <c r="AK31" s="64"/>
      <c r="AL31" s="64"/>
      <c r="AM31" s="64"/>
      <c r="AN31" s="96"/>
      <c r="AO31" s="34"/>
      <c r="AP31" s="34"/>
      <c r="AQ31" s="34"/>
      <c r="AR31" s="34"/>
      <c r="AS31" s="34"/>
      <c r="AT31" s="34"/>
      <c r="AU31" s="34"/>
      <c r="AV31" s="34"/>
    </row>
    <row r="32" spans="1:48" ht="12.75" customHeight="1">
      <c r="A32" s="34"/>
      <c r="B32" s="95"/>
      <c r="C32" s="64"/>
      <c r="D32" s="64"/>
      <c r="E32" s="64"/>
      <c r="F32" s="64"/>
      <c r="G32" s="64"/>
      <c r="H32" s="64"/>
      <c r="I32" s="64"/>
      <c r="J32" s="64"/>
      <c r="K32" s="64"/>
      <c r="L32" s="64"/>
      <c r="M32" s="64"/>
      <c r="N32" s="64"/>
      <c r="O32" s="64"/>
      <c r="P32" s="64"/>
      <c r="Q32" s="64"/>
      <c r="R32" s="64"/>
      <c r="S32" s="64"/>
      <c r="T32" s="96"/>
      <c r="U32" s="34"/>
      <c r="V32" s="95"/>
      <c r="W32" s="64"/>
      <c r="X32" s="64"/>
      <c r="Y32" s="64"/>
      <c r="Z32" s="64"/>
      <c r="AA32" s="64"/>
      <c r="AB32" s="64"/>
      <c r="AC32" s="64"/>
      <c r="AD32" s="64"/>
      <c r="AE32" s="64"/>
      <c r="AF32" s="64"/>
      <c r="AG32" s="64"/>
      <c r="AH32" s="64"/>
      <c r="AI32" s="64"/>
      <c r="AJ32" s="64"/>
      <c r="AK32" s="64"/>
      <c r="AL32" s="64"/>
      <c r="AM32" s="64"/>
      <c r="AN32" s="96"/>
      <c r="AO32" s="34"/>
      <c r="AP32" s="34"/>
      <c r="AQ32" s="34"/>
      <c r="AR32" s="34"/>
      <c r="AS32" s="34"/>
      <c r="AT32" s="34"/>
      <c r="AU32" s="34"/>
      <c r="AV32" s="34"/>
    </row>
    <row r="33" spans="1:48" ht="12.75" customHeight="1">
      <c r="A33" s="34"/>
      <c r="B33" s="100"/>
      <c r="C33" s="101"/>
      <c r="D33" s="101"/>
      <c r="E33" s="101"/>
      <c r="F33" s="101"/>
      <c r="G33" s="101"/>
      <c r="H33" s="101"/>
      <c r="I33" s="101"/>
      <c r="J33" s="101"/>
      <c r="K33" s="101"/>
      <c r="L33" s="101"/>
      <c r="M33" s="101"/>
      <c r="N33" s="101"/>
      <c r="O33" s="101"/>
      <c r="P33" s="101"/>
      <c r="Q33" s="101"/>
      <c r="R33" s="101"/>
      <c r="S33" s="101"/>
      <c r="T33" s="150"/>
      <c r="U33" s="34"/>
      <c r="V33" s="100"/>
      <c r="W33" s="101"/>
      <c r="X33" s="101"/>
      <c r="Y33" s="101"/>
      <c r="Z33" s="101"/>
      <c r="AA33" s="101"/>
      <c r="AB33" s="101"/>
      <c r="AC33" s="101"/>
      <c r="AD33" s="101"/>
      <c r="AE33" s="101"/>
      <c r="AF33" s="101"/>
      <c r="AG33" s="101"/>
      <c r="AH33" s="101"/>
      <c r="AI33" s="101"/>
      <c r="AJ33" s="101"/>
      <c r="AK33" s="101"/>
      <c r="AL33" s="101"/>
      <c r="AM33" s="101"/>
      <c r="AN33" s="150"/>
      <c r="AO33" s="34"/>
      <c r="AP33" s="34"/>
      <c r="AQ33" s="34"/>
      <c r="AR33" s="34"/>
      <c r="AS33" s="34"/>
      <c r="AT33" s="34"/>
      <c r="AU33" s="34"/>
      <c r="AV33" s="34"/>
    </row>
    <row r="34" spans="1:48" ht="12.75" customHeight="1">
      <c r="A34" s="34"/>
      <c r="B34" s="151" t="s">
        <v>697</v>
      </c>
      <c r="C34" s="77"/>
      <c r="D34" s="77"/>
      <c r="E34" s="77"/>
      <c r="F34" s="77"/>
      <c r="G34" s="77"/>
      <c r="H34" s="77"/>
      <c r="I34" s="77"/>
      <c r="J34" s="77"/>
      <c r="K34" s="77"/>
      <c r="T34" s="152"/>
      <c r="U34" s="34"/>
      <c r="V34" s="151" t="s">
        <v>697</v>
      </c>
      <c r="W34" s="77"/>
      <c r="X34" s="77"/>
      <c r="Y34" s="77"/>
      <c r="Z34" s="77"/>
      <c r="AA34" s="77"/>
      <c r="AB34" s="77"/>
      <c r="AC34" s="77"/>
      <c r="AD34" s="77"/>
      <c r="AN34" s="152"/>
      <c r="AO34" s="34"/>
      <c r="AP34" s="34"/>
      <c r="AQ34" s="34"/>
      <c r="AR34" s="34"/>
      <c r="AS34" s="34"/>
      <c r="AT34" s="34"/>
      <c r="AU34" s="34"/>
      <c r="AV34" s="34"/>
    </row>
    <row r="35" spans="1:48" ht="12.75" customHeight="1">
      <c r="A35" s="34"/>
      <c r="B35" s="153"/>
      <c r="C35" s="77"/>
      <c r="D35" s="77"/>
      <c r="E35" s="77"/>
      <c r="F35" s="77"/>
      <c r="G35" s="77"/>
      <c r="H35" s="77"/>
      <c r="I35" s="77"/>
      <c r="J35" s="77"/>
      <c r="K35" s="77"/>
      <c r="T35" s="152"/>
      <c r="U35" s="34"/>
      <c r="V35" s="153"/>
      <c r="W35" s="77"/>
      <c r="X35" s="77"/>
      <c r="Y35" s="77"/>
      <c r="Z35" s="77"/>
      <c r="AA35" s="77"/>
      <c r="AB35" s="77"/>
      <c r="AC35" s="77"/>
      <c r="AD35" s="77"/>
      <c r="AN35" s="152"/>
      <c r="AO35" s="34"/>
      <c r="AP35" s="34"/>
      <c r="AQ35" s="34"/>
      <c r="AR35" s="34"/>
      <c r="AS35" s="34"/>
      <c r="AT35" s="34"/>
      <c r="AU35" s="34"/>
      <c r="AV35" s="34"/>
    </row>
    <row r="36" spans="1:48" ht="12.75" customHeight="1">
      <c r="A36" s="34"/>
      <c r="B36" s="377" t="s">
        <v>781</v>
      </c>
      <c r="C36" s="77"/>
      <c r="D36" s="77"/>
      <c r="E36" s="77"/>
      <c r="F36" s="77"/>
      <c r="G36" s="77"/>
      <c r="H36" s="77"/>
      <c r="I36" s="77"/>
      <c r="J36" s="77"/>
      <c r="K36" s="77"/>
      <c r="L36" s="77"/>
      <c r="M36" s="77"/>
      <c r="N36" s="77"/>
      <c r="O36" s="77"/>
      <c r="P36" s="77"/>
      <c r="S36" s="77"/>
      <c r="T36" s="152"/>
      <c r="U36" s="34"/>
      <c r="V36" s="377" t="s">
        <v>782</v>
      </c>
      <c r="W36" s="77"/>
      <c r="X36" s="77"/>
      <c r="Y36" s="77"/>
      <c r="Z36" s="77"/>
      <c r="AA36" s="77"/>
      <c r="AB36" s="77"/>
      <c r="AC36" s="77"/>
      <c r="AD36" s="77"/>
      <c r="AE36" s="77"/>
      <c r="AF36" s="77"/>
      <c r="AG36" s="77"/>
      <c r="AH36" s="77"/>
      <c r="AI36" s="77"/>
      <c r="AJ36" s="77"/>
      <c r="AM36" s="77"/>
      <c r="AN36" s="152"/>
      <c r="AO36" s="34"/>
      <c r="AP36" s="34"/>
      <c r="AQ36" s="34"/>
      <c r="AR36" s="34"/>
      <c r="AS36" s="34"/>
      <c r="AT36" s="34"/>
      <c r="AU36" s="34"/>
      <c r="AV36" s="34"/>
    </row>
    <row r="37" spans="1:48" ht="12.75" customHeight="1">
      <c r="A37" s="34"/>
      <c r="B37" s="151" t="s">
        <v>704</v>
      </c>
      <c r="C37" s="158"/>
      <c r="D37" s="158"/>
      <c r="E37" s="158"/>
      <c r="F37" s="158" t="str">
        <f t="array" ref="F37">IF(F18&lt;50,"",13000*F18^3*(F17-F18)^3/(3*'T4.5 Harness Attachments'!AC20E8*F28*F17^3*1000000))</f>
        <v/>
      </c>
      <c r="G37" s="158"/>
      <c r="H37" s="158"/>
      <c r="I37" s="158"/>
      <c r="J37" s="158"/>
      <c r="K37" s="158"/>
      <c r="L37" s="158"/>
      <c r="M37" s="155" t="s">
        <v>783</v>
      </c>
      <c r="N37" s="158"/>
      <c r="O37" s="158"/>
      <c r="P37" s="158"/>
      <c r="Q37" s="158"/>
      <c r="R37" s="158"/>
      <c r="S37" s="158"/>
      <c r="T37" s="159"/>
      <c r="U37" s="34"/>
      <c r="V37" s="151" t="s">
        <v>704</v>
      </c>
      <c r="W37" s="158"/>
      <c r="X37" s="158"/>
      <c r="Y37" s="158"/>
      <c r="Z37" s="158" t="str">
        <f>IF(Z14&lt;50,"",'T4.5 Harness Attachments'!AU12)</f>
        <v/>
      </c>
      <c r="AA37" s="158"/>
      <c r="AB37" s="158"/>
      <c r="AC37" s="158"/>
      <c r="AD37" s="158"/>
      <c r="AE37" s="158"/>
      <c r="AF37" s="158"/>
      <c r="AG37" s="155" t="s">
        <v>783</v>
      </c>
      <c r="AH37" s="158"/>
      <c r="AI37" s="158"/>
      <c r="AJ37" s="158"/>
      <c r="AK37" s="158"/>
      <c r="AL37" s="158"/>
      <c r="AM37" s="158"/>
      <c r="AN37" s="159"/>
      <c r="AO37" s="34"/>
      <c r="AP37" s="34"/>
      <c r="AQ37" s="34"/>
      <c r="AR37" s="34"/>
      <c r="AS37" s="34"/>
      <c r="AT37" s="34"/>
      <c r="AU37" s="34"/>
      <c r="AV37" s="34"/>
    </row>
    <row r="38" spans="1:48" ht="12.75" customHeight="1">
      <c r="A38" s="34"/>
      <c r="B38" s="664" t="s">
        <v>784</v>
      </c>
      <c r="C38" s="598"/>
      <c r="D38" s="599"/>
      <c r="E38" s="735">
        <f>MAX(D45:E344)</f>
        <v>0</v>
      </c>
      <c r="F38" s="588"/>
      <c r="G38" s="713" t="e">
        <f t="array" aca="1" ref="G38" ca="1">_xludf.IFS(E38&gt;=15000,"PASS",AND(E38&gt;0,E38&lt;15000),"FAIL",OR(E38=0,E38=""),"N/A")</f>
        <v>#NAME?</v>
      </c>
      <c r="H38" s="588"/>
      <c r="I38" s="158"/>
      <c r="J38" s="158"/>
      <c r="K38" s="158"/>
      <c r="L38" s="158"/>
      <c r="M38" s="158"/>
      <c r="N38" s="158"/>
      <c r="O38" s="158"/>
      <c r="P38" s="158"/>
      <c r="Q38" s="158"/>
      <c r="R38" s="158"/>
      <c r="S38" s="158"/>
      <c r="T38" s="159"/>
      <c r="U38" s="34"/>
      <c r="V38" s="664" t="s">
        <v>785</v>
      </c>
      <c r="W38" s="598"/>
      <c r="X38" s="599"/>
      <c r="Y38" s="735">
        <f>MAX(X45:Y344)</f>
        <v>0</v>
      </c>
      <c r="Z38" s="588"/>
      <c r="AA38" s="713" t="e">
        <f t="array" aca="1" ref="AA38" ca="1">_xludf.IFS(Y38&gt;=15000,"PASS",AND(Y38&gt;0,Y38&lt;15000),"FAIL",OR(Y38=0,Y38=""),"N/A")</f>
        <v>#NAME?</v>
      </c>
      <c r="AB38" s="588"/>
      <c r="AC38" s="158"/>
      <c r="AD38" s="158"/>
      <c r="AE38" s="158"/>
      <c r="AF38" s="158"/>
      <c r="AG38" s="158"/>
      <c r="AH38" s="158"/>
      <c r="AI38" s="158"/>
      <c r="AJ38" s="39" t="s">
        <v>252</v>
      </c>
      <c r="AK38" s="158"/>
      <c r="AL38" s="158"/>
      <c r="AM38" s="158"/>
      <c r="AN38" s="159"/>
      <c r="AO38" s="34"/>
      <c r="AP38" s="34"/>
      <c r="AQ38" s="34"/>
      <c r="AR38" s="34"/>
      <c r="AS38" s="34"/>
      <c r="AT38" s="34"/>
      <c r="AU38" s="34"/>
      <c r="AV38" s="34"/>
    </row>
    <row r="39" spans="1:48" ht="12.75" customHeight="1">
      <c r="A39" s="34"/>
      <c r="B39" s="251"/>
      <c r="C39" s="25"/>
      <c r="D39" s="25"/>
      <c r="E39" s="25"/>
      <c r="F39" s="25"/>
      <c r="G39" s="25"/>
      <c r="H39" s="25"/>
      <c r="I39" s="25"/>
      <c r="J39" s="25"/>
      <c r="K39" s="25"/>
      <c r="L39" s="25"/>
      <c r="M39" s="25"/>
      <c r="N39" s="25"/>
      <c r="O39" s="25"/>
      <c r="P39" s="25"/>
      <c r="Q39" s="25"/>
      <c r="R39" s="25"/>
      <c r="S39" s="25"/>
      <c r="T39" s="197"/>
      <c r="U39" s="34"/>
      <c r="V39" s="251"/>
      <c r="W39" s="25"/>
      <c r="X39" s="25"/>
      <c r="Y39" s="25"/>
      <c r="Z39" s="25"/>
      <c r="AA39" s="25"/>
      <c r="AB39" s="25"/>
      <c r="AC39" s="25"/>
      <c r="AD39" s="25"/>
      <c r="AE39" s="25"/>
      <c r="AF39" s="25"/>
      <c r="AG39" s="25"/>
      <c r="AH39" s="25"/>
      <c r="AI39" s="25"/>
      <c r="AJ39" s="25"/>
      <c r="AK39" s="25"/>
      <c r="AL39" s="25"/>
      <c r="AM39" s="25"/>
      <c r="AN39" s="197"/>
      <c r="AO39" s="34"/>
      <c r="AP39" s="34"/>
      <c r="AQ39" s="34"/>
      <c r="AR39" s="34"/>
      <c r="AS39" s="34"/>
      <c r="AT39" s="34"/>
      <c r="AU39" s="34"/>
      <c r="AV39" s="34"/>
    </row>
    <row r="40" spans="1:48" ht="12.75" customHeight="1">
      <c r="A40" s="34"/>
      <c r="B40" s="179" t="s">
        <v>312</v>
      </c>
      <c r="T40" s="141"/>
      <c r="U40" s="34"/>
      <c r="V40" s="179" t="s">
        <v>312</v>
      </c>
      <c r="AN40" s="141"/>
      <c r="AO40" s="34"/>
      <c r="AP40" s="34"/>
      <c r="AQ40" s="34"/>
      <c r="AR40" s="34"/>
      <c r="AS40" s="34"/>
      <c r="AT40" s="34"/>
      <c r="AU40" s="34"/>
      <c r="AV40" s="34"/>
    </row>
    <row r="41" spans="1:48" ht="12.75" customHeight="1">
      <c r="A41" s="34"/>
      <c r="B41" s="151" t="s">
        <v>786</v>
      </c>
      <c r="T41" s="141"/>
      <c r="U41" s="34"/>
      <c r="V41" s="151" t="s">
        <v>787</v>
      </c>
      <c r="AN41" s="141"/>
      <c r="AO41" s="34"/>
      <c r="AP41" s="34"/>
      <c r="AQ41" s="34"/>
      <c r="AR41" s="34"/>
      <c r="AS41" s="34"/>
      <c r="AT41" s="34"/>
      <c r="AU41" s="34"/>
      <c r="AV41" s="34"/>
    </row>
    <row r="42" spans="1:48" ht="12.75" customHeight="1">
      <c r="A42" s="34"/>
      <c r="B42" s="151" t="s">
        <v>315</v>
      </c>
      <c r="C42" s="34"/>
      <c r="D42" s="34"/>
      <c r="E42" s="34"/>
      <c r="F42" s="34"/>
      <c r="G42" s="34"/>
      <c r="H42" s="34"/>
      <c r="I42" s="34"/>
      <c r="J42" s="34"/>
      <c r="K42" s="34"/>
      <c r="L42" s="34"/>
      <c r="M42" s="34"/>
      <c r="N42" s="34"/>
      <c r="O42" s="34"/>
      <c r="P42" s="34"/>
      <c r="Q42" s="34"/>
      <c r="R42" s="34"/>
      <c r="S42" s="34"/>
      <c r="T42" s="141"/>
      <c r="U42" s="34"/>
      <c r="V42" s="151" t="s">
        <v>315</v>
      </c>
      <c r="W42" s="34"/>
      <c r="X42" s="34"/>
      <c r="Y42" s="34"/>
      <c r="Z42" s="34"/>
      <c r="AA42" s="34"/>
      <c r="AB42" s="34"/>
      <c r="AC42" s="34"/>
      <c r="AD42" s="34"/>
      <c r="AE42" s="34"/>
      <c r="AF42" s="34"/>
      <c r="AG42" s="34"/>
      <c r="AH42" s="34"/>
      <c r="AI42" s="34"/>
      <c r="AJ42" s="34"/>
      <c r="AK42" s="34"/>
      <c r="AL42" s="34"/>
      <c r="AM42" s="34"/>
      <c r="AN42" s="141"/>
      <c r="AO42" s="34"/>
      <c r="AP42" s="34"/>
      <c r="AQ42" s="34"/>
      <c r="AR42" s="34"/>
      <c r="AS42" s="34"/>
      <c r="AT42" s="34"/>
      <c r="AU42" s="34"/>
      <c r="AV42" s="34"/>
    </row>
    <row r="43" spans="1:48" ht="12.75" customHeight="1">
      <c r="A43" s="34"/>
      <c r="B43" s="80"/>
      <c r="C43" s="34"/>
      <c r="D43" s="34"/>
      <c r="E43" s="34"/>
      <c r="F43" s="34"/>
      <c r="G43" s="34"/>
      <c r="H43" s="34"/>
      <c r="I43" s="34"/>
      <c r="J43" s="34"/>
      <c r="K43" s="34"/>
      <c r="L43" s="34"/>
      <c r="M43" s="34"/>
      <c r="N43" s="34"/>
      <c r="O43" s="34"/>
      <c r="P43" s="34"/>
      <c r="Q43" s="34"/>
      <c r="R43" s="34"/>
      <c r="S43" s="34"/>
      <c r="T43" s="141"/>
      <c r="U43" s="34"/>
      <c r="V43" s="80"/>
      <c r="W43" s="34"/>
      <c r="X43" s="34"/>
      <c r="Y43" s="34"/>
      <c r="Z43" s="34"/>
      <c r="AA43" s="34"/>
      <c r="AB43" s="34"/>
      <c r="AC43" s="34"/>
      <c r="AD43" s="34"/>
      <c r="AE43" s="34"/>
      <c r="AF43" s="34"/>
      <c r="AG43" s="34"/>
      <c r="AH43" s="34"/>
      <c r="AI43" s="34"/>
      <c r="AJ43" s="34"/>
      <c r="AK43" s="34"/>
      <c r="AL43" s="34"/>
      <c r="AM43" s="34"/>
      <c r="AN43" s="141"/>
      <c r="AO43" s="34"/>
      <c r="AP43" s="34"/>
      <c r="AQ43" s="34"/>
      <c r="AR43" s="34"/>
      <c r="AS43" s="34"/>
      <c r="AT43" s="34"/>
      <c r="AU43" s="34"/>
      <c r="AV43" s="34"/>
    </row>
    <row r="44" spans="1:48" ht="36" customHeight="1">
      <c r="A44" s="34"/>
      <c r="B44" s="80"/>
      <c r="C44" s="180"/>
      <c r="D44" s="719" t="s">
        <v>718</v>
      </c>
      <c r="E44" s="588"/>
      <c r="F44" s="378" t="s">
        <v>317</v>
      </c>
      <c r="G44" s="34"/>
      <c r="H44" s="34"/>
      <c r="I44" s="686"/>
      <c r="J44" s="598"/>
      <c r="K44" s="34"/>
      <c r="L44" s="34"/>
      <c r="M44" s="34"/>
      <c r="N44" s="34"/>
      <c r="O44" s="34"/>
      <c r="P44" s="34"/>
      <c r="Q44" s="34"/>
      <c r="R44" s="34"/>
      <c r="S44" s="34"/>
      <c r="T44" s="141"/>
      <c r="U44" s="34"/>
      <c r="V44" s="80"/>
      <c r="W44" s="180"/>
      <c r="X44" s="719" t="s">
        <v>718</v>
      </c>
      <c r="Y44" s="588"/>
      <c r="Z44" s="378" t="s">
        <v>317</v>
      </c>
      <c r="AA44" s="34"/>
      <c r="AB44" s="34"/>
      <c r="AC44" s="686"/>
      <c r="AD44" s="598"/>
      <c r="AE44" s="34"/>
      <c r="AF44" s="34"/>
      <c r="AG44" s="34"/>
      <c r="AH44" s="34"/>
      <c r="AI44" s="34"/>
      <c r="AJ44" s="34"/>
      <c r="AK44" s="34"/>
      <c r="AL44" s="34"/>
      <c r="AM44" s="34"/>
      <c r="AN44" s="141"/>
      <c r="AO44" s="34"/>
      <c r="AP44" s="34"/>
      <c r="AQ44" s="34"/>
      <c r="AR44" s="34"/>
      <c r="AS44" s="34"/>
      <c r="AT44" s="34"/>
      <c r="AU44" s="34"/>
      <c r="AV44" s="34"/>
    </row>
    <row r="45" spans="1:48" ht="12.75" customHeight="1">
      <c r="A45" s="34"/>
      <c r="B45" s="80"/>
      <c r="C45" s="43">
        <v>1</v>
      </c>
      <c r="D45" s="708"/>
      <c r="E45" s="588"/>
      <c r="F45" s="379"/>
      <c r="G45" s="34"/>
      <c r="H45" s="34"/>
      <c r="I45" s="201"/>
      <c r="J45" s="201"/>
      <c r="K45" s="34"/>
      <c r="L45" s="34"/>
      <c r="M45" s="34"/>
      <c r="N45" s="34"/>
      <c r="O45" s="34"/>
      <c r="P45" s="34"/>
      <c r="Q45" s="34"/>
      <c r="R45" s="34"/>
      <c r="S45" s="34"/>
      <c r="T45" s="141"/>
      <c r="U45" s="34"/>
      <c r="V45" s="80"/>
      <c r="W45" s="43">
        <v>1</v>
      </c>
      <c r="X45" s="708"/>
      <c r="Y45" s="588"/>
      <c r="Z45" s="379"/>
      <c r="AA45" s="34"/>
      <c r="AB45" s="34"/>
      <c r="AC45" s="201"/>
      <c r="AD45" s="201"/>
      <c r="AE45" s="34"/>
      <c r="AF45" s="34"/>
      <c r="AG45" s="34"/>
      <c r="AH45" s="34"/>
      <c r="AI45" s="34"/>
      <c r="AJ45" s="34"/>
      <c r="AK45" s="34"/>
      <c r="AL45" s="34"/>
      <c r="AM45" s="34"/>
      <c r="AN45" s="141"/>
      <c r="AO45" s="34"/>
      <c r="AP45" s="34"/>
      <c r="AQ45" s="34"/>
      <c r="AR45" s="34"/>
      <c r="AS45" s="34"/>
      <c r="AT45" s="34"/>
      <c r="AU45" s="34"/>
      <c r="AV45" s="34"/>
    </row>
    <row r="46" spans="1:48" ht="12.75" customHeight="1">
      <c r="A46" s="34"/>
      <c r="B46" s="80"/>
      <c r="C46" s="43">
        <v>2</v>
      </c>
      <c r="D46" s="708"/>
      <c r="E46" s="588"/>
      <c r="F46" s="379"/>
      <c r="G46" s="34"/>
      <c r="H46" s="34"/>
      <c r="K46" s="34"/>
      <c r="L46" s="34"/>
      <c r="M46" s="34"/>
      <c r="N46" s="34"/>
      <c r="O46" s="34"/>
      <c r="P46" s="34"/>
      <c r="Q46" s="34"/>
      <c r="R46" s="34"/>
      <c r="S46" s="34"/>
      <c r="T46" s="141"/>
      <c r="U46" s="34"/>
      <c r="V46" s="80"/>
      <c r="W46" s="43">
        <v>2</v>
      </c>
      <c r="X46" s="708"/>
      <c r="Y46" s="588"/>
      <c r="Z46" s="379"/>
      <c r="AA46" s="34"/>
      <c r="AB46" s="34"/>
      <c r="AE46" s="34"/>
      <c r="AF46" s="34"/>
      <c r="AG46" s="34"/>
      <c r="AH46" s="34"/>
      <c r="AI46" s="34"/>
      <c r="AJ46" s="34"/>
      <c r="AK46" s="34"/>
      <c r="AL46" s="34"/>
      <c r="AM46" s="34"/>
      <c r="AN46" s="141"/>
      <c r="AO46" s="34"/>
      <c r="AP46" s="34"/>
      <c r="AQ46" s="34"/>
      <c r="AR46" s="34"/>
      <c r="AS46" s="34"/>
      <c r="AT46" s="34"/>
      <c r="AU46" s="34"/>
      <c r="AV46" s="34"/>
    </row>
    <row r="47" spans="1:48" ht="12.75" customHeight="1">
      <c r="A47" s="34"/>
      <c r="B47" s="80"/>
      <c r="C47" s="43">
        <v>3</v>
      </c>
      <c r="D47" s="708"/>
      <c r="E47" s="588"/>
      <c r="F47" s="379"/>
      <c r="G47" s="34"/>
      <c r="H47" s="34"/>
      <c r="K47" s="34"/>
      <c r="L47" s="34"/>
      <c r="M47" s="34"/>
      <c r="N47" s="34"/>
      <c r="O47" s="34"/>
      <c r="P47" s="34"/>
      <c r="Q47" s="34"/>
      <c r="R47" s="34"/>
      <c r="S47" s="34"/>
      <c r="T47" s="141"/>
      <c r="U47" s="34"/>
      <c r="V47" s="80"/>
      <c r="W47" s="43">
        <v>3</v>
      </c>
      <c r="X47" s="708"/>
      <c r="Y47" s="588"/>
      <c r="Z47" s="379"/>
      <c r="AA47" s="34"/>
      <c r="AB47" s="34"/>
      <c r="AE47" s="34"/>
      <c r="AF47" s="34"/>
      <c r="AG47" s="34"/>
      <c r="AH47" s="34"/>
      <c r="AI47" s="34"/>
      <c r="AJ47" s="34"/>
      <c r="AK47" s="34"/>
      <c r="AL47" s="34"/>
      <c r="AM47" s="34"/>
      <c r="AN47" s="141"/>
      <c r="AO47" s="34"/>
      <c r="AP47" s="34"/>
      <c r="AQ47" s="34"/>
      <c r="AR47" s="34"/>
      <c r="AS47" s="34"/>
      <c r="AT47" s="34"/>
      <c r="AU47" s="34"/>
      <c r="AV47" s="34"/>
    </row>
    <row r="48" spans="1:48" ht="12.75" customHeight="1">
      <c r="A48" s="34"/>
      <c r="B48" s="80"/>
      <c r="C48" s="43">
        <v>4</v>
      </c>
      <c r="D48" s="708"/>
      <c r="E48" s="588"/>
      <c r="F48" s="379"/>
      <c r="G48" s="34"/>
      <c r="H48" s="34"/>
      <c r="I48" s="34"/>
      <c r="J48" s="34"/>
      <c r="K48" s="34"/>
      <c r="L48" s="34"/>
      <c r="M48" s="34"/>
      <c r="N48" s="34"/>
      <c r="O48" s="34"/>
      <c r="P48" s="34"/>
      <c r="Q48" s="34"/>
      <c r="R48" s="34"/>
      <c r="S48" s="34"/>
      <c r="T48" s="141"/>
      <c r="U48" s="34"/>
      <c r="V48" s="80"/>
      <c r="W48" s="43">
        <v>4</v>
      </c>
      <c r="X48" s="708"/>
      <c r="Y48" s="588"/>
      <c r="Z48" s="379"/>
      <c r="AA48" s="34"/>
      <c r="AB48" s="34"/>
      <c r="AC48" s="34"/>
      <c r="AD48" s="34"/>
      <c r="AE48" s="34"/>
      <c r="AF48" s="34"/>
      <c r="AG48" s="34"/>
      <c r="AH48" s="34"/>
      <c r="AI48" s="34"/>
      <c r="AJ48" s="34"/>
      <c r="AK48" s="34"/>
      <c r="AL48" s="34"/>
      <c r="AM48" s="34"/>
      <c r="AN48" s="141"/>
      <c r="AO48" s="34"/>
      <c r="AP48" s="34"/>
      <c r="AQ48" s="34"/>
      <c r="AR48" s="34"/>
      <c r="AS48" s="34"/>
      <c r="AT48" s="34"/>
      <c r="AU48" s="34"/>
      <c r="AV48" s="34"/>
    </row>
    <row r="49" spans="1:48" ht="12.75" customHeight="1">
      <c r="A49" s="34"/>
      <c r="B49" s="80"/>
      <c r="C49" s="43">
        <v>5</v>
      </c>
      <c r="D49" s="708"/>
      <c r="E49" s="588"/>
      <c r="F49" s="379"/>
      <c r="G49" s="34"/>
      <c r="H49" s="34"/>
      <c r="I49" s="34"/>
      <c r="J49" s="34"/>
      <c r="K49" s="34"/>
      <c r="L49" s="34"/>
      <c r="M49" s="34"/>
      <c r="N49" s="34"/>
      <c r="O49" s="34"/>
      <c r="P49" s="34"/>
      <c r="Q49" s="34"/>
      <c r="R49" s="34"/>
      <c r="S49" s="34"/>
      <c r="T49" s="141"/>
      <c r="U49" s="34"/>
      <c r="V49" s="80"/>
      <c r="W49" s="43">
        <v>5</v>
      </c>
      <c r="X49" s="708"/>
      <c r="Y49" s="588"/>
      <c r="Z49" s="379"/>
      <c r="AA49" s="34"/>
      <c r="AB49" s="34"/>
      <c r="AC49" s="34"/>
      <c r="AD49" s="34"/>
      <c r="AE49" s="34"/>
      <c r="AF49" s="34"/>
      <c r="AG49" s="34"/>
      <c r="AH49" s="34"/>
      <c r="AI49" s="34"/>
      <c r="AJ49" s="34"/>
      <c r="AK49" s="34"/>
      <c r="AL49" s="34"/>
      <c r="AM49" s="34"/>
      <c r="AN49" s="141"/>
      <c r="AO49" s="34"/>
      <c r="AP49" s="34"/>
      <c r="AQ49" s="34"/>
      <c r="AR49" s="34"/>
      <c r="AS49" s="34"/>
      <c r="AT49" s="34"/>
      <c r="AU49" s="34"/>
      <c r="AV49" s="34"/>
    </row>
    <row r="50" spans="1:48" ht="12.75" customHeight="1">
      <c r="A50" s="34"/>
      <c r="B50" s="80"/>
      <c r="C50" s="43">
        <v>6</v>
      </c>
      <c r="D50" s="708"/>
      <c r="E50" s="588"/>
      <c r="F50" s="379"/>
      <c r="G50" s="34"/>
      <c r="H50" s="34"/>
      <c r="I50" s="34"/>
      <c r="J50" s="34"/>
      <c r="K50" s="34"/>
      <c r="L50" s="34"/>
      <c r="M50" s="34"/>
      <c r="N50" s="34"/>
      <c r="O50" s="34"/>
      <c r="P50" s="34"/>
      <c r="Q50" s="34"/>
      <c r="R50" s="34"/>
      <c r="S50" s="34"/>
      <c r="T50" s="141"/>
      <c r="U50" s="34"/>
      <c r="V50" s="80"/>
      <c r="W50" s="43">
        <v>6</v>
      </c>
      <c r="X50" s="708"/>
      <c r="Y50" s="588"/>
      <c r="Z50" s="379"/>
      <c r="AA50" s="34"/>
      <c r="AB50" s="34"/>
      <c r="AC50" s="34"/>
      <c r="AD50" s="34"/>
      <c r="AE50" s="34"/>
      <c r="AF50" s="34"/>
      <c r="AG50" s="34"/>
      <c r="AH50" s="34"/>
      <c r="AI50" s="34"/>
      <c r="AJ50" s="34"/>
      <c r="AK50" s="34"/>
      <c r="AL50" s="34"/>
      <c r="AM50" s="34"/>
      <c r="AN50" s="141"/>
      <c r="AO50" s="34"/>
      <c r="AP50" s="34"/>
      <c r="AQ50" s="34"/>
      <c r="AR50" s="34"/>
      <c r="AS50" s="34"/>
      <c r="AT50" s="34"/>
      <c r="AU50" s="34"/>
      <c r="AV50" s="34"/>
    </row>
    <row r="51" spans="1:48" ht="12.75" customHeight="1">
      <c r="A51" s="34"/>
      <c r="B51" s="80"/>
      <c r="C51" s="43">
        <v>7</v>
      </c>
      <c r="D51" s="708"/>
      <c r="E51" s="588"/>
      <c r="F51" s="379"/>
      <c r="G51" s="34"/>
      <c r="H51" s="34"/>
      <c r="I51" s="34"/>
      <c r="J51" s="34"/>
      <c r="K51" s="34"/>
      <c r="L51" s="34"/>
      <c r="M51" s="34"/>
      <c r="N51" s="34"/>
      <c r="O51" s="34"/>
      <c r="P51" s="34"/>
      <c r="Q51" s="34"/>
      <c r="R51" s="34"/>
      <c r="S51" s="34"/>
      <c r="T51" s="141"/>
      <c r="U51" s="34"/>
      <c r="V51" s="80"/>
      <c r="W51" s="43">
        <v>7</v>
      </c>
      <c r="X51" s="708"/>
      <c r="Y51" s="588"/>
      <c r="Z51" s="379"/>
      <c r="AA51" s="34"/>
      <c r="AB51" s="34"/>
      <c r="AC51" s="34"/>
      <c r="AD51" s="34"/>
      <c r="AE51" s="34"/>
      <c r="AF51" s="34"/>
      <c r="AG51" s="34"/>
      <c r="AH51" s="34"/>
      <c r="AI51" s="34"/>
      <c r="AJ51" s="34"/>
      <c r="AK51" s="34"/>
      <c r="AL51" s="34"/>
      <c r="AM51" s="34"/>
      <c r="AN51" s="141"/>
      <c r="AO51" s="34"/>
      <c r="AP51" s="34"/>
      <c r="AQ51" s="34"/>
      <c r="AR51" s="34"/>
      <c r="AS51" s="34"/>
      <c r="AT51" s="34"/>
      <c r="AU51" s="34"/>
      <c r="AV51" s="34"/>
    </row>
    <row r="52" spans="1:48" ht="12.75" customHeight="1">
      <c r="A52" s="34"/>
      <c r="B52" s="80"/>
      <c r="C52" s="43">
        <v>8</v>
      </c>
      <c r="D52" s="708"/>
      <c r="E52" s="588"/>
      <c r="F52" s="379"/>
      <c r="G52" s="34"/>
      <c r="H52" s="34"/>
      <c r="I52" s="34"/>
      <c r="J52" s="34"/>
      <c r="K52" s="34"/>
      <c r="L52" s="34"/>
      <c r="M52" s="34"/>
      <c r="N52" s="34"/>
      <c r="O52" s="34"/>
      <c r="P52" s="34"/>
      <c r="Q52" s="34"/>
      <c r="R52" s="34"/>
      <c r="S52" s="34"/>
      <c r="T52" s="141"/>
      <c r="U52" s="34"/>
      <c r="V52" s="80"/>
      <c r="W52" s="43">
        <v>8</v>
      </c>
      <c r="X52" s="708"/>
      <c r="Y52" s="588"/>
      <c r="Z52" s="379"/>
      <c r="AA52" s="34"/>
      <c r="AB52" s="34"/>
      <c r="AC52" s="34"/>
      <c r="AD52" s="34"/>
      <c r="AE52" s="34"/>
      <c r="AF52" s="34"/>
      <c r="AG52" s="34"/>
      <c r="AH52" s="34"/>
      <c r="AI52" s="34"/>
      <c r="AJ52" s="34"/>
      <c r="AK52" s="34"/>
      <c r="AL52" s="34"/>
      <c r="AM52" s="34"/>
      <c r="AN52" s="141"/>
      <c r="AO52" s="34"/>
      <c r="AP52" s="34"/>
      <c r="AQ52" s="34"/>
      <c r="AR52" s="34"/>
      <c r="AS52" s="34"/>
      <c r="AT52" s="34"/>
      <c r="AU52" s="34"/>
      <c r="AV52" s="34"/>
    </row>
    <row r="53" spans="1:48" ht="12.75" customHeight="1">
      <c r="A53" s="34"/>
      <c r="B53" s="80"/>
      <c r="C53" s="43">
        <v>9</v>
      </c>
      <c r="D53" s="708"/>
      <c r="E53" s="588"/>
      <c r="F53" s="379"/>
      <c r="G53" s="34"/>
      <c r="H53" s="34"/>
      <c r="I53" s="34"/>
      <c r="J53" s="34"/>
      <c r="K53" s="34"/>
      <c r="L53" s="34"/>
      <c r="M53" s="34"/>
      <c r="N53" s="34"/>
      <c r="O53" s="34"/>
      <c r="P53" s="34"/>
      <c r="Q53" s="34"/>
      <c r="R53" s="34"/>
      <c r="S53" s="34"/>
      <c r="T53" s="141"/>
      <c r="U53" s="34"/>
      <c r="V53" s="80"/>
      <c r="W53" s="43">
        <v>9</v>
      </c>
      <c r="X53" s="708"/>
      <c r="Y53" s="588"/>
      <c r="Z53" s="379"/>
      <c r="AA53" s="34"/>
      <c r="AB53" s="34"/>
      <c r="AC53" s="34"/>
      <c r="AD53" s="34"/>
      <c r="AE53" s="34"/>
      <c r="AF53" s="34"/>
      <c r="AG53" s="34"/>
      <c r="AH53" s="34"/>
      <c r="AI53" s="34"/>
      <c r="AJ53" s="34"/>
      <c r="AK53" s="34"/>
      <c r="AL53" s="34"/>
      <c r="AM53" s="34"/>
      <c r="AN53" s="141"/>
      <c r="AO53" s="34"/>
      <c r="AP53" s="34"/>
      <c r="AQ53" s="34"/>
      <c r="AR53" s="34"/>
      <c r="AS53" s="34"/>
      <c r="AT53" s="34"/>
      <c r="AU53" s="34"/>
      <c r="AV53" s="34"/>
    </row>
    <row r="54" spans="1:48" ht="12.75" customHeight="1">
      <c r="A54" s="34"/>
      <c r="B54" s="80"/>
      <c r="C54" s="43">
        <v>10</v>
      </c>
      <c r="D54" s="708"/>
      <c r="E54" s="588"/>
      <c r="F54" s="379"/>
      <c r="G54" s="34"/>
      <c r="H54" s="34"/>
      <c r="I54" s="34"/>
      <c r="J54" s="34"/>
      <c r="K54" s="34"/>
      <c r="L54" s="34"/>
      <c r="M54" s="34"/>
      <c r="N54" s="34"/>
      <c r="O54" s="34"/>
      <c r="P54" s="34"/>
      <c r="Q54" s="34"/>
      <c r="R54" s="34"/>
      <c r="S54" s="34"/>
      <c r="T54" s="141"/>
      <c r="U54" s="34"/>
      <c r="V54" s="80"/>
      <c r="W54" s="43">
        <v>10</v>
      </c>
      <c r="X54" s="708"/>
      <c r="Y54" s="588"/>
      <c r="Z54" s="379"/>
      <c r="AA54" s="34"/>
      <c r="AB54" s="34"/>
      <c r="AC54" s="34"/>
      <c r="AD54" s="34"/>
      <c r="AE54" s="34"/>
      <c r="AF54" s="34"/>
      <c r="AG54" s="34"/>
      <c r="AH54" s="34"/>
      <c r="AI54" s="34"/>
      <c r="AJ54" s="34"/>
      <c r="AK54" s="34"/>
      <c r="AL54" s="34"/>
      <c r="AM54" s="34"/>
      <c r="AN54" s="141"/>
      <c r="AO54" s="34"/>
      <c r="AP54" s="34"/>
      <c r="AQ54" s="34"/>
      <c r="AR54" s="34"/>
      <c r="AS54" s="34"/>
      <c r="AT54" s="34"/>
      <c r="AU54" s="34"/>
      <c r="AV54" s="34"/>
    </row>
    <row r="55" spans="1:48" ht="12.75" customHeight="1">
      <c r="A55" s="34"/>
      <c r="B55" s="80"/>
      <c r="C55" s="43">
        <v>11</v>
      </c>
      <c r="D55" s="708"/>
      <c r="E55" s="588"/>
      <c r="F55" s="379"/>
      <c r="G55" s="34"/>
      <c r="H55" s="34"/>
      <c r="I55" s="34"/>
      <c r="J55" s="34"/>
      <c r="K55" s="34"/>
      <c r="L55" s="34"/>
      <c r="M55" s="34"/>
      <c r="N55" s="34"/>
      <c r="O55" s="34"/>
      <c r="P55" s="34"/>
      <c r="Q55" s="34"/>
      <c r="R55" s="34"/>
      <c r="S55" s="34"/>
      <c r="T55" s="141"/>
      <c r="U55" s="34"/>
      <c r="V55" s="80"/>
      <c r="W55" s="43">
        <v>11</v>
      </c>
      <c r="X55" s="708"/>
      <c r="Y55" s="588"/>
      <c r="Z55" s="379"/>
      <c r="AA55" s="34"/>
      <c r="AB55" s="34"/>
      <c r="AC55" s="34"/>
      <c r="AD55" s="34"/>
      <c r="AE55" s="34"/>
      <c r="AF55" s="34"/>
      <c r="AG55" s="34"/>
      <c r="AH55" s="34"/>
      <c r="AI55" s="34"/>
      <c r="AJ55" s="34"/>
      <c r="AK55" s="34"/>
      <c r="AL55" s="34"/>
      <c r="AM55" s="34"/>
      <c r="AN55" s="141"/>
      <c r="AO55" s="34"/>
      <c r="AP55" s="34"/>
      <c r="AQ55" s="34"/>
      <c r="AR55" s="34"/>
      <c r="AS55" s="34"/>
      <c r="AT55" s="34"/>
      <c r="AU55" s="34"/>
      <c r="AV55" s="34"/>
    </row>
    <row r="56" spans="1:48" ht="12.75" customHeight="1">
      <c r="A56" s="34"/>
      <c r="B56" s="80"/>
      <c r="C56" s="43">
        <v>12</v>
      </c>
      <c r="D56" s="708"/>
      <c r="E56" s="588"/>
      <c r="F56" s="379"/>
      <c r="G56" s="34"/>
      <c r="H56" s="34"/>
      <c r="I56" s="34"/>
      <c r="J56" s="34"/>
      <c r="K56" s="34"/>
      <c r="L56" s="34"/>
      <c r="M56" s="34"/>
      <c r="N56" s="34"/>
      <c r="O56" s="34"/>
      <c r="P56" s="34"/>
      <c r="Q56" s="34"/>
      <c r="R56" s="34"/>
      <c r="S56" s="34"/>
      <c r="T56" s="141"/>
      <c r="U56" s="34"/>
      <c r="V56" s="80"/>
      <c r="W56" s="43">
        <v>12</v>
      </c>
      <c r="X56" s="708"/>
      <c r="Y56" s="588"/>
      <c r="Z56" s="379"/>
      <c r="AA56" s="34"/>
      <c r="AB56" s="34"/>
      <c r="AC56" s="34"/>
      <c r="AD56" s="34"/>
      <c r="AE56" s="34"/>
      <c r="AF56" s="34"/>
      <c r="AG56" s="34"/>
      <c r="AH56" s="34"/>
      <c r="AI56" s="34"/>
      <c r="AJ56" s="34"/>
      <c r="AK56" s="34"/>
      <c r="AL56" s="34"/>
      <c r="AM56" s="34"/>
      <c r="AN56" s="141"/>
      <c r="AO56" s="34"/>
      <c r="AP56" s="34"/>
      <c r="AQ56" s="34"/>
      <c r="AR56" s="34"/>
      <c r="AS56" s="34"/>
      <c r="AT56" s="34"/>
      <c r="AU56" s="34"/>
      <c r="AV56" s="34"/>
    </row>
    <row r="57" spans="1:48" ht="12.75" customHeight="1">
      <c r="A57" s="34"/>
      <c r="B57" s="80"/>
      <c r="C57" s="43">
        <v>13</v>
      </c>
      <c r="D57" s="708"/>
      <c r="E57" s="588"/>
      <c r="F57" s="379"/>
      <c r="G57" s="34"/>
      <c r="H57" s="34"/>
      <c r="I57" s="34"/>
      <c r="J57" s="34"/>
      <c r="K57" s="34"/>
      <c r="L57" s="34"/>
      <c r="M57" s="34"/>
      <c r="N57" s="34"/>
      <c r="O57" s="34"/>
      <c r="P57" s="34"/>
      <c r="Q57" s="34"/>
      <c r="R57" s="34"/>
      <c r="S57" s="34"/>
      <c r="T57" s="141"/>
      <c r="U57" s="34"/>
      <c r="V57" s="80"/>
      <c r="W57" s="43">
        <v>13</v>
      </c>
      <c r="X57" s="708"/>
      <c r="Y57" s="588"/>
      <c r="Z57" s="379"/>
      <c r="AA57" s="34"/>
      <c r="AB57" s="34"/>
      <c r="AC57" s="34"/>
      <c r="AD57" s="34"/>
      <c r="AE57" s="34"/>
      <c r="AF57" s="34"/>
      <c r="AG57" s="34"/>
      <c r="AH57" s="34"/>
      <c r="AI57" s="34"/>
      <c r="AJ57" s="34"/>
      <c r="AK57" s="34"/>
      <c r="AL57" s="34"/>
      <c r="AM57" s="34"/>
      <c r="AN57" s="141"/>
      <c r="AO57" s="34"/>
      <c r="AP57" s="34"/>
      <c r="AQ57" s="34"/>
      <c r="AR57" s="34"/>
      <c r="AS57" s="34"/>
      <c r="AT57" s="34"/>
      <c r="AU57" s="34"/>
      <c r="AV57" s="34"/>
    </row>
    <row r="58" spans="1:48" ht="12.75" customHeight="1">
      <c r="A58" s="34"/>
      <c r="B58" s="80"/>
      <c r="C58" s="43">
        <v>14</v>
      </c>
      <c r="D58" s="708"/>
      <c r="E58" s="588"/>
      <c r="F58" s="379"/>
      <c r="G58" s="34"/>
      <c r="H58" s="34"/>
      <c r="I58" s="34"/>
      <c r="J58" s="34"/>
      <c r="K58" s="34"/>
      <c r="L58" s="34"/>
      <c r="M58" s="34"/>
      <c r="N58" s="34"/>
      <c r="O58" s="34"/>
      <c r="P58" s="34"/>
      <c r="Q58" s="34"/>
      <c r="R58" s="34"/>
      <c r="S58" s="34"/>
      <c r="T58" s="141"/>
      <c r="U58" s="34"/>
      <c r="V58" s="80"/>
      <c r="W58" s="43">
        <v>14</v>
      </c>
      <c r="X58" s="708"/>
      <c r="Y58" s="588"/>
      <c r="Z58" s="379"/>
      <c r="AA58" s="34"/>
      <c r="AB58" s="34"/>
      <c r="AC58" s="34"/>
      <c r="AD58" s="34"/>
      <c r="AE58" s="34"/>
      <c r="AF58" s="34"/>
      <c r="AG58" s="34"/>
      <c r="AH58" s="34"/>
      <c r="AI58" s="34"/>
      <c r="AJ58" s="34"/>
      <c r="AK58" s="34"/>
      <c r="AL58" s="34"/>
      <c r="AM58" s="34"/>
      <c r="AN58" s="141"/>
      <c r="AO58" s="34"/>
      <c r="AP58" s="34"/>
      <c r="AQ58" s="34"/>
      <c r="AR58" s="34"/>
      <c r="AS58" s="34"/>
      <c r="AT58" s="34"/>
      <c r="AU58" s="34"/>
      <c r="AV58" s="34"/>
    </row>
    <row r="59" spans="1:48" ht="12.75" customHeight="1">
      <c r="A59" s="34"/>
      <c r="B59" s="80"/>
      <c r="C59" s="43">
        <v>15</v>
      </c>
      <c r="D59" s="708"/>
      <c r="E59" s="588"/>
      <c r="F59" s="379"/>
      <c r="G59" s="34"/>
      <c r="H59" s="34"/>
      <c r="I59" s="34"/>
      <c r="J59" s="34"/>
      <c r="K59" s="34"/>
      <c r="L59" s="34"/>
      <c r="M59" s="34"/>
      <c r="N59" s="34"/>
      <c r="O59" s="34"/>
      <c r="P59" s="34"/>
      <c r="Q59" s="34"/>
      <c r="R59" s="34"/>
      <c r="S59" s="34"/>
      <c r="T59" s="141"/>
      <c r="U59" s="34"/>
      <c r="V59" s="80"/>
      <c r="W59" s="43">
        <v>15</v>
      </c>
      <c r="X59" s="708"/>
      <c r="Y59" s="588"/>
      <c r="Z59" s="379"/>
      <c r="AA59" s="34"/>
      <c r="AB59" s="34"/>
      <c r="AC59" s="34"/>
      <c r="AD59" s="34"/>
      <c r="AE59" s="34"/>
      <c r="AF59" s="34"/>
      <c r="AG59" s="34"/>
      <c r="AH59" s="34"/>
      <c r="AI59" s="34"/>
      <c r="AJ59" s="34"/>
      <c r="AK59" s="34"/>
      <c r="AL59" s="34"/>
      <c r="AM59" s="34"/>
      <c r="AN59" s="141"/>
      <c r="AO59" s="34"/>
      <c r="AP59" s="34"/>
      <c r="AQ59" s="34"/>
      <c r="AR59" s="34"/>
      <c r="AS59" s="34"/>
      <c r="AT59" s="34"/>
      <c r="AU59" s="34"/>
      <c r="AV59" s="34"/>
    </row>
    <row r="60" spans="1:48" ht="12.75" customHeight="1">
      <c r="A60" s="34"/>
      <c r="B60" s="80"/>
      <c r="C60" s="43">
        <v>16</v>
      </c>
      <c r="D60" s="708"/>
      <c r="E60" s="588"/>
      <c r="F60" s="379"/>
      <c r="G60" s="34"/>
      <c r="H60" s="34"/>
      <c r="I60" s="34"/>
      <c r="J60" s="34"/>
      <c r="K60" s="34"/>
      <c r="L60" s="34"/>
      <c r="M60" s="34"/>
      <c r="N60" s="34"/>
      <c r="O60" s="34"/>
      <c r="P60" s="34"/>
      <c r="Q60" s="34"/>
      <c r="R60" s="34"/>
      <c r="S60" s="34"/>
      <c r="T60" s="141"/>
      <c r="U60" s="34"/>
      <c r="V60" s="80"/>
      <c r="W60" s="43">
        <v>16</v>
      </c>
      <c r="X60" s="708"/>
      <c r="Y60" s="588"/>
      <c r="Z60" s="379"/>
      <c r="AA60" s="34"/>
      <c r="AB60" s="34"/>
      <c r="AC60" s="34"/>
      <c r="AD60" s="34"/>
      <c r="AE60" s="34"/>
      <c r="AF60" s="34"/>
      <c r="AG60" s="34"/>
      <c r="AH60" s="34"/>
      <c r="AI60" s="34"/>
      <c r="AJ60" s="34"/>
      <c r="AK60" s="34"/>
      <c r="AL60" s="34"/>
      <c r="AM60" s="34"/>
      <c r="AN60" s="141"/>
      <c r="AO60" s="34"/>
      <c r="AP60" s="34"/>
      <c r="AQ60" s="34"/>
      <c r="AR60" s="34"/>
      <c r="AS60" s="34"/>
      <c r="AT60" s="34"/>
      <c r="AU60" s="34"/>
      <c r="AV60" s="34"/>
    </row>
    <row r="61" spans="1:48" ht="12.75" customHeight="1">
      <c r="A61" s="34"/>
      <c r="B61" s="80"/>
      <c r="C61" s="43">
        <v>17</v>
      </c>
      <c r="D61" s="708"/>
      <c r="E61" s="588"/>
      <c r="F61" s="379"/>
      <c r="G61" s="34"/>
      <c r="H61" s="34"/>
      <c r="I61" s="34"/>
      <c r="J61" s="34"/>
      <c r="K61" s="34"/>
      <c r="L61" s="34"/>
      <c r="M61" s="34"/>
      <c r="N61" s="34"/>
      <c r="O61" s="34"/>
      <c r="P61" s="34"/>
      <c r="Q61" s="34"/>
      <c r="R61" s="34"/>
      <c r="S61" s="34"/>
      <c r="T61" s="141"/>
      <c r="U61" s="34"/>
      <c r="V61" s="80"/>
      <c r="W61" s="43">
        <v>17</v>
      </c>
      <c r="X61" s="708"/>
      <c r="Y61" s="588"/>
      <c r="Z61" s="379"/>
      <c r="AA61" s="34"/>
      <c r="AB61" s="34"/>
      <c r="AC61" s="34"/>
      <c r="AD61" s="34"/>
      <c r="AE61" s="34"/>
      <c r="AF61" s="34"/>
      <c r="AG61" s="34"/>
      <c r="AH61" s="34"/>
      <c r="AI61" s="34"/>
      <c r="AJ61" s="34"/>
      <c r="AK61" s="34"/>
      <c r="AL61" s="34"/>
      <c r="AM61" s="34"/>
      <c r="AN61" s="141"/>
      <c r="AO61" s="34"/>
      <c r="AP61" s="34"/>
      <c r="AQ61" s="34"/>
      <c r="AR61" s="34"/>
      <c r="AS61" s="34"/>
      <c r="AT61" s="34"/>
      <c r="AU61" s="34"/>
      <c r="AV61" s="34"/>
    </row>
    <row r="62" spans="1:48" ht="12.75" customHeight="1">
      <c r="A62" s="34"/>
      <c r="B62" s="80"/>
      <c r="C62" s="43">
        <v>18</v>
      </c>
      <c r="D62" s="708"/>
      <c r="E62" s="588"/>
      <c r="F62" s="379"/>
      <c r="G62" s="34"/>
      <c r="H62" s="34"/>
      <c r="I62" s="34"/>
      <c r="J62" s="34"/>
      <c r="K62" s="34"/>
      <c r="L62" s="34"/>
      <c r="M62" s="34"/>
      <c r="N62" s="34"/>
      <c r="O62" s="34"/>
      <c r="P62" s="34"/>
      <c r="Q62" s="34"/>
      <c r="R62" s="34"/>
      <c r="S62" s="34"/>
      <c r="T62" s="141"/>
      <c r="U62" s="34"/>
      <c r="V62" s="80"/>
      <c r="W62" s="43">
        <v>18</v>
      </c>
      <c r="X62" s="708"/>
      <c r="Y62" s="588"/>
      <c r="Z62" s="379"/>
      <c r="AA62" s="34"/>
      <c r="AB62" s="34"/>
      <c r="AC62" s="34"/>
      <c r="AD62" s="34"/>
      <c r="AE62" s="34"/>
      <c r="AF62" s="34"/>
      <c r="AG62" s="34"/>
      <c r="AH62" s="34"/>
      <c r="AI62" s="34"/>
      <c r="AJ62" s="34"/>
      <c r="AK62" s="34"/>
      <c r="AL62" s="34"/>
      <c r="AM62" s="34"/>
      <c r="AN62" s="141"/>
      <c r="AO62" s="34"/>
      <c r="AP62" s="34"/>
      <c r="AQ62" s="34"/>
      <c r="AR62" s="34"/>
      <c r="AS62" s="34"/>
      <c r="AT62" s="34"/>
      <c r="AU62" s="34"/>
      <c r="AV62" s="34"/>
    </row>
    <row r="63" spans="1:48" ht="12.75" customHeight="1">
      <c r="A63" s="34"/>
      <c r="B63" s="80"/>
      <c r="C63" s="43">
        <v>19</v>
      </c>
      <c r="D63" s="708"/>
      <c r="E63" s="588"/>
      <c r="F63" s="379"/>
      <c r="G63" s="34"/>
      <c r="H63" s="34"/>
      <c r="I63" s="34"/>
      <c r="J63" s="34"/>
      <c r="K63" s="34"/>
      <c r="L63" s="34"/>
      <c r="M63" s="34"/>
      <c r="N63" s="34"/>
      <c r="O63" s="34"/>
      <c r="P63" s="34"/>
      <c r="Q63" s="34"/>
      <c r="R63" s="34"/>
      <c r="S63" s="34"/>
      <c r="T63" s="141"/>
      <c r="U63" s="34"/>
      <c r="V63" s="80"/>
      <c r="W63" s="43">
        <v>19</v>
      </c>
      <c r="X63" s="708"/>
      <c r="Y63" s="588"/>
      <c r="Z63" s="379"/>
      <c r="AA63" s="34"/>
      <c r="AB63" s="34"/>
      <c r="AC63" s="34"/>
      <c r="AD63" s="34"/>
      <c r="AE63" s="34"/>
      <c r="AF63" s="34"/>
      <c r="AG63" s="34"/>
      <c r="AH63" s="34"/>
      <c r="AI63" s="34"/>
      <c r="AJ63" s="34"/>
      <c r="AK63" s="34"/>
      <c r="AL63" s="34"/>
      <c r="AM63" s="34"/>
      <c r="AN63" s="141"/>
      <c r="AO63" s="34"/>
      <c r="AP63" s="34"/>
      <c r="AQ63" s="34"/>
      <c r="AR63" s="34"/>
      <c r="AS63" s="34"/>
      <c r="AT63" s="34"/>
      <c r="AU63" s="34"/>
      <c r="AV63" s="34"/>
    </row>
    <row r="64" spans="1:48" ht="12.75" customHeight="1">
      <c r="A64" s="34"/>
      <c r="B64" s="80"/>
      <c r="C64" s="43">
        <v>20</v>
      </c>
      <c r="D64" s="708"/>
      <c r="E64" s="588"/>
      <c r="F64" s="379"/>
      <c r="G64" s="34"/>
      <c r="H64" s="34"/>
      <c r="I64" s="34"/>
      <c r="J64" s="34"/>
      <c r="K64" s="34"/>
      <c r="L64" s="34"/>
      <c r="M64" s="34"/>
      <c r="N64" s="34"/>
      <c r="O64" s="34"/>
      <c r="P64" s="34"/>
      <c r="Q64" s="34"/>
      <c r="R64" s="34"/>
      <c r="S64" s="34"/>
      <c r="T64" s="141"/>
      <c r="U64" s="34"/>
      <c r="V64" s="80"/>
      <c r="W64" s="43">
        <v>20</v>
      </c>
      <c r="X64" s="708"/>
      <c r="Y64" s="588"/>
      <c r="Z64" s="379"/>
      <c r="AA64" s="34"/>
      <c r="AB64" s="34"/>
      <c r="AC64" s="34"/>
      <c r="AD64" s="34"/>
      <c r="AE64" s="34"/>
      <c r="AF64" s="34"/>
      <c r="AG64" s="34"/>
      <c r="AH64" s="34"/>
      <c r="AI64" s="34"/>
      <c r="AJ64" s="34"/>
      <c r="AK64" s="34"/>
      <c r="AL64" s="34"/>
      <c r="AM64" s="34"/>
      <c r="AN64" s="141"/>
      <c r="AO64" s="34"/>
      <c r="AP64" s="34"/>
      <c r="AQ64" s="34"/>
      <c r="AR64" s="34"/>
      <c r="AS64" s="34"/>
      <c r="AT64" s="34"/>
      <c r="AU64" s="34"/>
      <c r="AV64" s="34"/>
    </row>
    <row r="65" spans="1:48" ht="12.75" customHeight="1">
      <c r="A65" s="34"/>
      <c r="B65" s="80"/>
      <c r="C65" s="43">
        <v>21</v>
      </c>
      <c r="D65" s="708"/>
      <c r="E65" s="588"/>
      <c r="F65" s="379"/>
      <c r="G65" s="34"/>
      <c r="H65" s="34"/>
      <c r="I65" s="34"/>
      <c r="J65" s="34"/>
      <c r="K65" s="34"/>
      <c r="L65" s="34"/>
      <c r="M65" s="34"/>
      <c r="N65" s="34"/>
      <c r="O65" s="34"/>
      <c r="P65" s="34"/>
      <c r="Q65" s="34"/>
      <c r="R65" s="34"/>
      <c r="S65" s="34"/>
      <c r="T65" s="141"/>
      <c r="U65" s="34"/>
      <c r="V65" s="80"/>
      <c r="W65" s="43">
        <v>21</v>
      </c>
      <c r="X65" s="708"/>
      <c r="Y65" s="588"/>
      <c r="Z65" s="379"/>
      <c r="AA65" s="34"/>
      <c r="AB65" s="34"/>
      <c r="AC65" s="34"/>
      <c r="AD65" s="34"/>
      <c r="AE65" s="34"/>
      <c r="AF65" s="34"/>
      <c r="AG65" s="34"/>
      <c r="AH65" s="34"/>
      <c r="AI65" s="34"/>
      <c r="AJ65" s="34"/>
      <c r="AK65" s="34"/>
      <c r="AL65" s="34"/>
      <c r="AM65" s="34"/>
      <c r="AN65" s="141"/>
      <c r="AO65" s="34"/>
      <c r="AP65" s="34"/>
      <c r="AQ65" s="34"/>
      <c r="AR65" s="34"/>
      <c r="AS65" s="34"/>
      <c r="AT65" s="34"/>
      <c r="AU65" s="34"/>
      <c r="AV65" s="34"/>
    </row>
    <row r="66" spans="1:48" ht="12.75" customHeight="1">
      <c r="A66" s="34"/>
      <c r="B66" s="80"/>
      <c r="C66" s="43">
        <v>22</v>
      </c>
      <c r="D66" s="708"/>
      <c r="E66" s="588"/>
      <c r="F66" s="379"/>
      <c r="G66" s="34"/>
      <c r="H66" s="34"/>
      <c r="I66" s="34"/>
      <c r="J66" s="34"/>
      <c r="K66" s="34"/>
      <c r="L66" s="34"/>
      <c r="M66" s="34"/>
      <c r="N66" s="34"/>
      <c r="O66" s="34"/>
      <c r="P66" s="34"/>
      <c r="Q66" s="34"/>
      <c r="R66" s="34"/>
      <c r="S66" s="34"/>
      <c r="T66" s="141"/>
      <c r="U66" s="34"/>
      <c r="V66" s="80"/>
      <c r="W66" s="43">
        <v>22</v>
      </c>
      <c r="X66" s="708"/>
      <c r="Y66" s="588"/>
      <c r="Z66" s="379"/>
      <c r="AA66" s="34"/>
      <c r="AB66" s="34"/>
      <c r="AC66" s="34"/>
      <c r="AD66" s="34"/>
      <c r="AE66" s="34"/>
      <c r="AF66" s="34"/>
      <c r="AG66" s="34"/>
      <c r="AH66" s="34"/>
      <c r="AI66" s="34"/>
      <c r="AJ66" s="34"/>
      <c r="AK66" s="34"/>
      <c r="AL66" s="34"/>
      <c r="AM66" s="34"/>
      <c r="AN66" s="141"/>
      <c r="AO66" s="34"/>
      <c r="AP66" s="34"/>
      <c r="AQ66" s="34"/>
      <c r="AR66" s="34"/>
      <c r="AS66" s="34"/>
      <c r="AT66" s="34"/>
      <c r="AU66" s="34"/>
      <c r="AV66" s="34"/>
    </row>
    <row r="67" spans="1:48" ht="12.75" customHeight="1">
      <c r="A67" s="34"/>
      <c r="B67" s="80"/>
      <c r="C67" s="43">
        <v>23</v>
      </c>
      <c r="D67" s="708"/>
      <c r="E67" s="588"/>
      <c r="F67" s="379"/>
      <c r="G67" s="34"/>
      <c r="H67" s="34"/>
      <c r="I67" s="34"/>
      <c r="J67" s="34"/>
      <c r="K67" s="34"/>
      <c r="L67" s="34"/>
      <c r="M67" s="34"/>
      <c r="N67" s="34"/>
      <c r="O67" s="34"/>
      <c r="P67" s="34"/>
      <c r="Q67" s="34"/>
      <c r="R67" s="34"/>
      <c r="S67" s="34"/>
      <c r="T67" s="141"/>
      <c r="U67" s="34"/>
      <c r="V67" s="80"/>
      <c r="W67" s="43">
        <v>23</v>
      </c>
      <c r="X67" s="708"/>
      <c r="Y67" s="588"/>
      <c r="Z67" s="379"/>
      <c r="AA67" s="34"/>
      <c r="AB67" s="34"/>
      <c r="AC67" s="34"/>
      <c r="AD67" s="34"/>
      <c r="AE67" s="34"/>
      <c r="AF67" s="34"/>
      <c r="AG67" s="34"/>
      <c r="AH67" s="34"/>
      <c r="AI67" s="34"/>
      <c r="AJ67" s="34"/>
      <c r="AK67" s="34"/>
      <c r="AL67" s="34"/>
      <c r="AM67" s="34"/>
      <c r="AN67" s="141"/>
      <c r="AO67" s="34"/>
      <c r="AP67" s="34"/>
      <c r="AQ67" s="34"/>
      <c r="AR67" s="34"/>
      <c r="AS67" s="34"/>
      <c r="AT67" s="34"/>
      <c r="AU67" s="34"/>
      <c r="AV67" s="34"/>
    </row>
    <row r="68" spans="1:48" ht="12.75" customHeight="1">
      <c r="A68" s="34"/>
      <c r="B68" s="80"/>
      <c r="C68" s="43">
        <v>24</v>
      </c>
      <c r="D68" s="708"/>
      <c r="E68" s="588"/>
      <c r="F68" s="379"/>
      <c r="G68" s="34"/>
      <c r="H68" s="34"/>
      <c r="I68" s="34"/>
      <c r="J68" s="34"/>
      <c r="K68" s="34"/>
      <c r="L68" s="34"/>
      <c r="M68" s="34"/>
      <c r="N68" s="34"/>
      <c r="O68" s="34"/>
      <c r="P68" s="34"/>
      <c r="Q68" s="34"/>
      <c r="R68" s="34"/>
      <c r="S68" s="34"/>
      <c r="T68" s="141"/>
      <c r="U68" s="34"/>
      <c r="V68" s="80"/>
      <c r="W68" s="43">
        <v>24</v>
      </c>
      <c r="X68" s="708"/>
      <c r="Y68" s="588"/>
      <c r="Z68" s="379"/>
      <c r="AA68" s="34"/>
      <c r="AB68" s="34"/>
      <c r="AC68" s="34"/>
      <c r="AD68" s="34"/>
      <c r="AE68" s="34"/>
      <c r="AF68" s="34"/>
      <c r="AG68" s="34"/>
      <c r="AH68" s="34"/>
      <c r="AI68" s="34"/>
      <c r="AJ68" s="34"/>
      <c r="AK68" s="34"/>
      <c r="AL68" s="34"/>
      <c r="AM68" s="34"/>
      <c r="AN68" s="141"/>
      <c r="AO68" s="34"/>
      <c r="AP68" s="34"/>
      <c r="AQ68" s="34"/>
      <c r="AR68" s="34"/>
      <c r="AS68" s="34"/>
      <c r="AT68" s="34"/>
      <c r="AU68" s="34"/>
      <c r="AV68" s="34"/>
    </row>
    <row r="69" spans="1:48" ht="12.75" customHeight="1">
      <c r="A69" s="34"/>
      <c r="B69" s="80"/>
      <c r="C69" s="43">
        <v>25</v>
      </c>
      <c r="D69" s="708"/>
      <c r="E69" s="588"/>
      <c r="F69" s="379"/>
      <c r="G69" s="34"/>
      <c r="H69" s="34"/>
      <c r="I69" s="34"/>
      <c r="J69" s="34"/>
      <c r="K69" s="34"/>
      <c r="L69" s="34"/>
      <c r="M69" s="34"/>
      <c r="N69" s="34"/>
      <c r="O69" s="34"/>
      <c r="P69" s="34"/>
      <c r="Q69" s="34"/>
      <c r="R69" s="34"/>
      <c r="S69" s="34"/>
      <c r="T69" s="141"/>
      <c r="U69" s="34"/>
      <c r="V69" s="80"/>
      <c r="W69" s="43">
        <v>25</v>
      </c>
      <c r="X69" s="708"/>
      <c r="Y69" s="588"/>
      <c r="Z69" s="379"/>
      <c r="AA69" s="34"/>
      <c r="AB69" s="34"/>
      <c r="AC69" s="34"/>
      <c r="AD69" s="34"/>
      <c r="AE69" s="34"/>
      <c r="AF69" s="34"/>
      <c r="AG69" s="34"/>
      <c r="AH69" s="34"/>
      <c r="AI69" s="34"/>
      <c r="AJ69" s="34"/>
      <c r="AK69" s="34"/>
      <c r="AL69" s="34"/>
      <c r="AM69" s="34"/>
      <c r="AN69" s="141"/>
      <c r="AO69" s="34"/>
      <c r="AP69" s="34"/>
      <c r="AQ69" s="34"/>
      <c r="AR69" s="34"/>
      <c r="AS69" s="34"/>
      <c r="AT69" s="34"/>
      <c r="AU69" s="34"/>
      <c r="AV69" s="34"/>
    </row>
    <row r="70" spans="1:48" ht="12.75" customHeight="1">
      <c r="A70" s="34"/>
      <c r="B70" s="80"/>
      <c r="C70" s="43">
        <v>26</v>
      </c>
      <c r="D70" s="708"/>
      <c r="E70" s="588"/>
      <c r="F70" s="379"/>
      <c r="G70" s="34"/>
      <c r="H70" s="34"/>
      <c r="I70" s="34"/>
      <c r="J70" s="34"/>
      <c r="K70" s="34"/>
      <c r="L70" s="34"/>
      <c r="M70" s="34"/>
      <c r="N70" s="34"/>
      <c r="O70" s="34"/>
      <c r="P70" s="34"/>
      <c r="Q70" s="34"/>
      <c r="R70" s="34"/>
      <c r="S70" s="34"/>
      <c r="T70" s="141"/>
      <c r="U70" s="34"/>
      <c r="V70" s="80"/>
      <c r="W70" s="43">
        <v>26</v>
      </c>
      <c r="X70" s="708"/>
      <c r="Y70" s="588"/>
      <c r="Z70" s="379"/>
      <c r="AA70" s="34"/>
      <c r="AB70" s="34"/>
      <c r="AC70" s="34"/>
      <c r="AD70" s="34"/>
      <c r="AE70" s="34"/>
      <c r="AF70" s="34"/>
      <c r="AG70" s="34"/>
      <c r="AH70" s="34"/>
      <c r="AI70" s="34"/>
      <c r="AJ70" s="34"/>
      <c r="AK70" s="34"/>
      <c r="AL70" s="34"/>
      <c r="AM70" s="34"/>
      <c r="AN70" s="141"/>
      <c r="AO70" s="34"/>
      <c r="AP70" s="34"/>
      <c r="AQ70" s="34"/>
      <c r="AR70" s="34"/>
      <c r="AS70" s="34"/>
      <c r="AT70" s="34"/>
      <c r="AU70" s="34"/>
      <c r="AV70" s="34"/>
    </row>
    <row r="71" spans="1:48" ht="12.75" customHeight="1">
      <c r="A71" s="34"/>
      <c r="B71" s="80"/>
      <c r="C71" s="43">
        <v>27</v>
      </c>
      <c r="D71" s="708"/>
      <c r="E71" s="588"/>
      <c r="F71" s="379"/>
      <c r="G71" s="34"/>
      <c r="H71" s="34"/>
      <c r="I71" s="34"/>
      <c r="J71" s="34"/>
      <c r="K71" s="34"/>
      <c r="L71" s="34"/>
      <c r="M71" s="34"/>
      <c r="N71" s="34"/>
      <c r="O71" s="34"/>
      <c r="P71" s="34"/>
      <c r="Q71" s="34"/>
      <c r="R71" s="34"/>
      <c r="S71" s="34"/>
      <c r="T71" s="141"/>
      <c r="U71" s="34"/>
      <c r="V71" s="80"/>
      <c r="W71" s="43">
        <v>27</v>
      </c>
      <c r="X71" s="708"/>
      <c r="Y71" s="588"/>
      <c r="Z71" s="379"/>
      <c r="AA71" s="34"/>
      <c r="AB71" s="34"/>
      <c r="AC71" s="34"/>
      <c r="AD71" s="34"/>
      <c r="AE71" s="34"/>
      <c r="AF71" s="34"/>
      <c r="AG71" s="34"/>
      <c r="AH71" s="34"/>
      <c r="AI71" s="34"/>
      <c r="AJ71" s="34"/>
      <c r="AK71" s="34"/>
      <c r="AL71" s="34"/>
      <c r="AM71" s="34"/>
      <c r="AN71" s="141"/>
      <c r="AO71" s="34"/>
      <c r="AP71" s="34"/>
      <c r="AQ71" s="34"/>
      <c r="AR71" s="34"/>
      <c r="AS71" s="34"/>
      <c r="AT71" s="34"/>
      <c r="AU71" s="34"/>
      <c r="AV71" s="34"/>
    </row>
    <row r="72" spans="1:48" ht="12.75" customHeight="1">
      <c r="A72" s="34"/>
      <c r="B72" s="80"/>
      <c r="C72" s="43">
        <v>28</v>
      </c>
      <c r="D72" s="708"/>
      <c r="E72" s="588"/>
      <c r="F72" s="379"/>
      <c r="G72" s="34"/>
      <c r="H72" s="34"/>
      <c r="I72" s="34"/>
      <c r="J72" s="34"/>
      <c r="K72" s="34"/>
      <c r="L72" s="34"/>
      <c r="M72" s="34"/>
      <c r="N72" s="34"/>
      <c r="O72" s="34"/>
      <c r="P72" s="34"/>
      <c r="Q72" s="34"/>
      <c r="R72" s="34"/>
      <c r="S72" s="34"/>
      <c r="T72" s="141"/>
      <c r="U72" s="34"/>
      <c r="V72" s="80"/>
      <c r="W72" s="43">
        <v>28</v>
      </c>
      <c r="X72" s="708"/>
      <c r="Y72" s="588"/>
      <c r="Z72" s="379"/>
      <c r="AA72" s="34"/>
      <c r="AB72" s="34"/>
      <c r="AC72" s="34"/>
      <c r="AD72" s="34"/>
      <c r="AE72" s="34"/>
      <c r="AF72" s="34"/>
      <c r="AG72" s="34"/>
      <c r="AH72" s="34"/>
      <c r="AI72" s="34"/>
      <c r="AJ72" s="34"/>
      <c r="AK72" s="34"/>
      <c r="AL72" s="34"/>
      <c r="AM72" s="34"/>
      <c r="AN72" s="141"/>
      <c r="AO72" s="34"/>
      <c r="AP72" s="34"/>
      <c r="AQ72" s="34"/>
      <c r="AR72" s="34"/>
      <c r="AS72" s="34"/>
      <c r="AT72" s="34"/>
      <c r="AU72" s="34"/>
      <c r="AV72" s="34"/>
    </row>
    <row r="73" spans="1:48" ht="12.75" customHeight="1">
      <c r="A73" s="34"/>
      <c r="B73" s="80"/>
      <c r="C73" s="43">
        <v>29</v>
      </c>
      <c r="D73" s="708"/>
      <c r="E73" s="588"/>
      <c r="F73" s="379"/>
      <c r="G73" s="34"/>
      <c r="H73" s="34"/>
      <c r="I73" s="34"/>
      <c r="J73" s="34"/>
      <c r="K73" s="34"/>
      <c r="L73" s="34"/>
      <c r="M73" s="34"/>
      <c r="N73" s="34"/>
      <c r="O73" s="34"/>
      <c r="P73" s="34"/>
      <c r="Q73" s="34"/>
      <c r="R73" s="34"/>
      <c r="S73" s="34"/>
      <c r="T73" s="141"/>
      <c r="U73" s="34"/>
      <c r="V73" s="80"/>
      <c r="W73" s="43">
        <v>29</v>
      </c>
      <c r="X73" s="708"/>
      <c r="Y73" s="588"/>
      <c r="Z73" s="379"/>
      <c r="AA73" s="34"/>
      <c r="AB73" s="34"/>
      <c r="AC73" s="34"/>
      <c r="AD73" s="34"/>
      <c r="AE73" s="34"/>
      <c r="AF73" s="34"/>
      <c r="AG73" s="34"/>
      <c r="AH73" s="34"/>
      <c r="AI73" s="34"/>
      <c r="AJ73" s="34"/>
      <c r="AK73" s="34"/>
      <c r="AL73" s="34"/>
      <c r="AM73" s="34"/>
      <c r="AN73" s="141"/>
      <c r="AO73" s="34"/>
      <c r="AP73" s="34"/>
      <c r="AQ73" s="34"/>
      <c r="AR73" s="34"/>
      <c r="AS73" s="34"/>
      <c r="AT73" s="34"/>
      <c r="AU73" s="34"/>
      <c r="AV73" s="34"/>
    </row>
    <row r="74" spans="1:48" ht="12.75" customHeight="1">
      <c r="A74" s="34"/>
      <c r="B74" s="80"/>
      <c r="C74" s="43">
        <v>30</v>
      </c>
      <c r="D74" s="708"/>
      <c r="E74" s="588"/>
      <c r="F74" s="379"/>
      <c r="G74" s="34"/>
      <c r="H74" s="34"/>
      <c r="I74" s="34"/>
      <c r="J74" s="34"/>
      <c r="K74" s="34"/>
      <c r="L74" s="34"/>
      <c r="M74" s="34"/>
      <c r="N74" s="34"/>
      <c r="O74" s="34"/>
      <c r="P74" s="34"/>
      <c r="Q74" s="34"/>
      <c r="R74" s="34"/>
      <c r="S74" s="34"/>
      <c r="T74" s="141"/>
      <c r="U74" s="34"/>
      <c r="V74" s="80"/>
      <c r="W74" s="43">
        <v>30</v>
      </c>
      <c r="X74" s="708"/>
      <c r="Y74" s="588"/>
      <c r="Z74" s="379"/>
      <c r="AA74" s="34"/>
      <c r="AB74" s="34"/>
      <c r="AC74" s="34"/>
      <c r="AD74" s="34"/>
      <c r="AE74" s="34"/>
      <c r="AF74" s="34"/>
      <c r="AG74" s="34"/>
      <c r="AH74" s="34"/>
      <c r="AI74" s="34"/>
      <c r="AJ74" s="34"/>
      <c r="AK74" s="34"/>
      <c r="AL74" s="34"/>
      <c r="AM74" s="34"/>
      <c r="AN74" s="141"/>
      <c r="AO74" s="34"/>
      <c r="AP74" s="34"/>
      <c r="AQ74" s="34"/>
      <c r="AR74" s="34"/>
      <c r="AS74" s="34"/>
      <c r="AT74" s="34"/>
      <c r="AU74" s="34"/>
      <c r="AV74" s="34"/>
    </row>
    <row r="75" spans="1:48" ht="12.75" customHeight="1">
      <c r="A75" s="34"/>
      <c r="B75" s="80"/>
      <c r="C75" s="43">
        <v>31</v>
      </c>
      <c r="D75" s="708"/>
      <c r="E75" s="588"/>
      <c r="F75" s="379"/>
      <c r="G75" s="34"/>
      <c r="H75" s="34"/>
      <c r="I75" s="34"/>
      <c r="J75" s="34"/>
      <c r="K75" s="34"/>
      <c r="L75" s="34"/>
      <c r="M75" s="34"/>
      <c r="N75" s="34"/>
      <c r="O75" s="34"/>
      <c r="P75" s="34"/>
      <c r="Q75" s="34"/>
      <c r="R75" s="34"/>
      <c r="S75" s="34"/>
      <c r="T75" s="141"/>
      <c r="U75" s="34"/>
      <c r="V75" s="80"/>
      <c r="W75" s="43">
        <v>31</v>
      </c>
      <c r="X75" s="708"/>
      <c r="Y75" s="588"/>
      <c r="Z75" s="379"/>
      <c r="AA75" s="34"/>
      <c r="AB75" s="34"/>
      <c r="AC75" s="34"/>
      <c r="AD75" s="34"/>
      <c r="AE75" s="34"/>
      <c r="AF75" s="34"/>
      <c r="AG75" s="34"/>
      <c r="AH75" s="34"/>
      <c r="AI75" s="34"/>
      <c r="AJ75" s="34"/>
      <c r="AK75" s="34"/>
      <c r="AL75" s="34"/>
      <c r="AM75" s="34"/>
      <c r="AN75" s="141"/>
      <c r="AO75" s="34"/>
      <c r="AP75" s="34"/>
      <c r="AQ75" s="34"/>
      <c r="AR75" s="34"/>
      <c r="AS75" s="34"/>
      <c r="AT75" s="34"/>
      <c r="AU75" s="34"/>
      <c r="AV75" s="34"/>
    </row>
    <row r="76" spans="1:48" ht="12.75" customHeight="1">
      <c r="A76" s="34"/>
      <c r="B76" s="80"/>
      <c r="C76" s="43">
        <v>32</v>
      </c>
      <c r="D76" s="708"/>
      <c r="E76" s="588"/>
      <c r="F76" s="379"/>
      <c r="G76" s="34"/>
      <c r="H76" s="34"/>
      <c r="I76" s="34"/>
      <c r="J76" s="34"/>
      <c r="K76" s="34"/>
      <c r="L76" s="34"/>
      <c r="M76" s="34"/>
      <c r="N76" s="34"/>
      <c r="O76" s="34"/>
      <c r="P76" s="34"/>
      <c r="Q76" s="34"/>
      <c r="R76" s="34"/>
      <c r="S76" s="34"/>
      <c r="T76" s="141"/>
      <c r="U76" s="34"/>
      <c r="V76" s="80"/>
      <c r="W76" s="43">
        <v>32</v>
      </c>
      <c r="X76" s="708"/>
      <c r="Y76" s="588"/>
      <c r="Z76" s="379"/>
      <c r="AA76" s="34"/>
      <c r="AB76" s="34"/>
      <c r="AC76" s="34"/>
      <c r="AD76" s="34"/>
      <c r="AE76" s="34"/>
      <c r="AF76" s="34"/>
      <c r="AG76" s="34"/>
      <c r="AH76" s="34"/>
      <c r="AI76" s="34"/>
      <c r="AJ76" s="34"/>
      <c r="AK76" s="34"/>
      <c r="AL76" s="34"/>
      <c r="AM76" s="34"/>
      <c r="AN76" s="141"/>
      <c r="AO76" s="34"/>
      <c r="AP76" s="34"/>
      <c r="AQ76" s="34"/>
      <c r="AR76" s="34"/>
      <c r="AS76" s="34"/>
      <c r="AT76" s="34"/>
      <c r="AU76" s="34"/>
      <c r="AV76" s="34"/>
    </row>
    <row r="77" spans="1:48" ht="12.75" customHeight="1">
      <c r="A77" s="34"/>
      <c r="B77" s="80"/>
      <c r="C77" s="43">
        <v>33</v>
      </c>
      <c r="D77" s="708"/>
      <c r="E77" s="588"/>
      <c r="F77" s="379"/>
      <c r="G77" s="34"/>
      <c r="H77" s="34"/>
      <c r="I77" s="34"/>
      <c r="J77" s="34"/>
      <c r="K77" s="34"/>
      <c r="L77" s="34"/>
      <c r="M77" s="34"/>
      <c r="N77" s="34"/>
      <c r="O77" s="34"/>
      <c r="P77" s="34"/>
      <c r="Q77" s="34"/>
      <c r="R77" s="34"/>
      <c r="S77" s="34"/>
      <c r="T77" s="141"/>
      <c r="U77" s="34"/>
      <c r="V77" s="80"/>
      <c r="W77" s="43">
        <v>33</v>
      </c>
      <c r="X77" s="708"/>
      <c r="Y77" s="588"/>
      <c r="Z77" s="379"/>
      <c r="AA77" s="34"/>
      <c r="AB77" s="34"/>
      <c r="AC77" s="34"/>
      <c r="AD77" s="34"/>
      <c r="AE77" s="34"/>
      <c r="AF77" s="34"/>
      <c r="AG77" s="34"/>
      <c r="AH77" s="34"/>
      <c r="AI77" s="34"/>
      <c r="AJ77" s="34"/>
      <c r="AK77" s="34"/>
      <c r="AL77" s="34"/>
      <c r="AM77" s="34"/>
      <c r="AN77" s="141"/>
      <c r="AO77" s="34"/>
      <c r="AP77" s="34"/>
      <c r="AQ77" s="34"/>
      <c r="AR77" s="34"/>
      <c r="AS77" s="34"/>
      <c r="AT77" s="34"/>
      <c r="AU77" s="34"/>
      <c r="AV77" s="34"/>
    </row>
    <row r="78" spans="1:48" ht="12.75" customHeight="1">
      <c r="A78" s="34"/>
      <c r="B78" s="80"/>
      <c r="C78" s="43">
        <v>34</v>
      </c>
      <c r="D78" s="708"/>
      <c r="E78" s="588"/>
      <c r="F78" s="379"/>
      <c r="G78" s="34"/>
      <c r="H78" s="34"/>
      <c r="I78" s="34"/>
      <c r="J78" s="34"/>
      <c r="K78" s="34"/>
      <c r="L78" s="34"/>
      <c r="M78" s="34"/>
      <c r="N78" s="34"/>
      <c r="O78" s="34"/>
      <c r="P78" s="34"/>
      <c r="Q78" s="34"/>
      <c r="R78" s="34"/>
      <c r="S78" s="34"/>
      <c r="T78" s="141"/>
      <c r="U78" s="34"/>
      <c r="V78" s="80"/>
      <c r="W78" s="43">
        <v>34</v>
      </c>
      <c r="X78" s="708"/>
      <c r="Y78" s="588"/>
      <c r="Z78" s="379"/>
      <c r="AA78" s="34"/>
      <c r="AB78" s="34"/>
      <c r="AC78" s="34"/>
      <c r="AD78" s="34"/>
      <c r="AE78" s="34"/>
      <c r="AF78" s="34"/>
      <c r="AG78" s="34"/>
      <c r="AH78" s="34"/>
      <c r="AI78" s="34"/>
      <c r="AJ78" s="34"/>
      <c r="AK78" s="34"/>
      <c r="AL78" s="34"/>
      <c r="AM78" s="34"/>
      <c r="AN78" s="141"/>
      <c r="AO78" s="34"/>
      <c r="AP78" s="34"/>
      <c r="AQ78" s="34"/>
      <c r="AR78" s="34"/>
      <c r="AS78" s="34"/>
      <c r="AT78" s="34"/>
      <c r="AU78" s="34"/>
      <c r="AV78" s="34"/>
    </row>
    <row r="79" spans="1:48" ht="12.75" customHeight="1">
      <c r="A79" s="34"/>
      <c r="B79" s="80"/>
      <c r="C79" s="43">
        <v>35</v>
      </c>
      <c r="D79" s="708"/>
      <c r="E79" s="588"/>
      <c r="F79" s="379"/>
      <c r="G79" s="34"/>
      <c r="H79" s="34"/>
      <c r="I79" s="34"/>
      <c r="J79" s="34"/>
      <c r="K79" s="34"/>
      <c r="L79" s="34"/>
      <c r="M79" s="34"/>
      <c r="N79" s="34"/>
      <c r="O79" s="34"/>
      <c r="P79" s="34"/>
      <c r="Q79" s="34"/>
      <c r="R79" s="34"/>
      <c r="S79" s="34"/>
      <c r="T79" s="141"/>
      <c r="U79" s="34"/>
      <c r="V79" s="80"/>
      <c r="W79" s="43">
        <v>35</v>
      </c>
      <c r="X79" s="708"/>
      <c r="Y79" s="588"/>
      <c r="Z79" s="379"/>
      <c r="AA79" s="34"/>
      <c r="AB79" s="34"/>
      <c r="AC79" s="34"/>
      <c r="AD79" s="34"/>
      <c r="AE79" s="34"/>
      <c r="AF79" s="34"/>
      <c r="AG79" s="34"/>
      <c r="AH79" s="34"/>
      <c r="AI79" s="34"/>
      <c r="AJ79" s="34"/>
      <c r="AK79" s="34"/>
      <c r="AL79" s="34"/>
      <c r="AM79" s="34"/>
      <c r="AN79" s="141"/>
      <c r="AO79" s="34"/>
      <c r="AP79" s="34"/>
      <c r="AQ79" s="34"/>
      <c r="AR79" s="34"/>
      <c r="AS79" s="34"/>
      <c r="AT79" s="34"/>
      <c r="AU79" s="34"/>
      <c r="AV79" s="34"/>
    </row>
    <row r="80" spans="1:48" ht="12.75" customHeight="1">
      <c r="A80" s="34"/>
      <c r="B80" s="80"/>
      <c r="C80" s="43">
        <v>36</v>
      </c>
      <c r="D80" s="708"/>
      <c r="E80" s="588"/>
      <c r="F80" s="379"/>
      <c r="G80" s="34"/>
      <c r="H80" s="34"/>
      <c r="I80" s="34"/>
      <c r="J80" s="34"/>
      <c r="K80" s="34"/>
      <c r="L80" s="34"/>
      <c r="M80" s="34"/>
      <c r="N80" s="34"/>
      <c r="O80" s="34"/>
      <c r="P80" s="34"/>
      <c r="Q80" s="34"/>
      <c r="R80" s="34"/>
      <c r="S80" s="34"/>
      <c r="T80" s="141"/>
      <c r="U80" s="34"/>
      <c r="V80" s="80"/>
      <c r="W80" s="43">
        <v>36</v>
      </c>
      <c r="X80" s="708"/>
      <c r="Y80" s="588"/>
      <c r="Z80" s="379"/>
      <c r="AA80" s="34"/>
      <c r="AB80" s="34"/>
      <c r="AC80" s="34"/>
      <c r="AD80" s="34"/>
      <c r="AE80" s="34"/>
      <c r="AF80" s="34"/>
      <c r="AG80" s="34"/>
      <c r="AH80" s="34"/>
      <c r="AI80" s="34"/>
      <c r="AJ80" s="34"/>
      <c r="AK80" s="34"/>
      <c r="AL80" s="34"/>
      <c r="AM80" s="34"/>
      <c r="AN80" s="141"/>
      <c r="AO80" s="34"/>
      <c r="AP80" s="34"/>
      <c r="AQ80" s="34"/>
      <c r="AR80" s="34"/>
      <c r="AS80" s="34"/>
      <c r="AT80" s="34"/>
      <c r="AU80" s="34"/>
      <c r="AV80" s="34"/>
    </row>
    <row r="81" spans="1:48" ht="12.75" customHeight="1">
      <c r="A81" s="34"/>
      <c r="B81" s="80"/>
      <c r="C81" s="43">
        <v>37</v>
      </c>
      <c r="D81" s="708"/>
      <c r="E81" s="588"/>
      <c r="F81" s="379"/>
      <c r="G81" s="34"/>
      <c r="H81" s="34"/>
      <c r="I81" s="34"/>
      <c r="J81" s="34"/>
      <c r="K81" s="34"/>
      <c r="L81" s="34"/>
      <c r="M81" s="34"/>
      <c r="N81" s="34"/>
      <c r="O81" s="34"/>
      <c r="P81" s="34"/>
      <c r="Q81" s="34"/>
      <c r="R81" s="34"/>
      <c r="S81" s="34"/>
      <c r="T81" s="141"/>
      <c r="U81" s="34"/>
      <c r="V81" s="80"/>
      <c r="W81" s="43">
        <v>37</v>
      </c>
      <c r="X81" s="708"/>
      <c r="Y81" s="588"/>
      <c r="Z81" s="379"/>
      <c r="AA81" s="34"/>
      <c r="AB81" s="34"/>
      <c r="AC81" s="34"/>
      <c r="AD81" s="34"/>
      <c r="AE81" s="34"/>
      <c r="AF81" s="34"/>
      <c r="AG81" s="34"/>
      <c r="AH81" s="34"/>
      <c r="AI81" s="34"/>
      <c r="AJ81" s="34"/>
      <c r="AK81" s="34"/>
      <c r="AL81" s="34"/>
      <c r="AM81" s="34"/>
      <c r="AN81" s="141"/>
      <c r="AO81" s="34"/>
      <c r="AP81" s="34"/>
      <c r="AQ81" s="34"/>
      <c r="AR81" s="34"/>
      <c r="AS81" s="34"/>
      <c r="AT81" s="34"/>
      <c r="AU81" s="34"/>
      <c r="AV81" s="34"/>
    </row>
    <row r="82" spans="1:48" ht="12.75" customHeight="1">
      <c r="A82" s="34"/>
      <c r="B82" s="80"/>
      <c r="C82" s="43">
        <v>38</v>
      </c>
      <c r="D82" s="708"/>
      <c r="E82" s="588"/>
      <c r="F82" s="379"/>
      <c r="G82" s="34"/>
      <c r="H82" s="34"/>
      <c r="I82" s="34"/>
      <c r="J82" s="34"/>
      <c r="K82" s="34"/>
      <c r="L82" s="34"/>
      <c r="M82" s="34"/>
      <c r="N82" s="34"/>
      <c r="O82" s="34"/>
      <c r="P82" s="34"/>
      <c r="Q82" s="34"/>
      <c r="R82" s="34"/>
      <c r="S82" s="34"/>
      <c r="T82" s="141"/>
      <c r="U82" s="34"/>
      <c r="V82" s="80"/>
      <c r="W82" s="43">
        <v>38</v>
      </c>
      <c r="X82" s="708"/>
      <c r="Y82" s="588"/>
      <c r="Z82" s="379"/>
      <c r="AA82" s="34"/>
      <c r="AB82" s="34"/>
      <c r="AC82" s="34"/>
      <c r="AD82" s="34"/>
      <c r="AE82" s="34"/>
      <c r="AF82" s="34"/>
      <c r="AG82" s="34"/>
      <c r="AH82" s="34"/>
      <c r="AI82" s="34"/>
      <c r="AJ82" s="34"/>
      <c r="AK82" s="34"/>
      <c r="AL82" s="34"/>
      <c r="AM82" s="34"/>
      <c r="AN82" s="141"/>
      <c r="AO82" s="34"/>
      <c r="AP82" s="34"/>
      <c r="AQ82" s="34"/>
      <c r="AR82" s="34"/>
      <c r="AS82" s="34"/>
      <c r="AT82" s="34"/>
      <c r="AU82" s="34"/>
      <c r="AV82" s="34"/>
    </row>
    <row r="83" spans="1:48" ht="12.75" customHeight="1">
      <c r="A83" s="34"/>
      <c r="B83" s="80"/>
      <c r="C83" s="43">
        <v>39</v>
      </c>
      <c r="D83" s="708"/>
      <c r="E83" s="588"/>
      <c r="F83" s="379"/>
      <c r="G83" s="34"/>
      <c r="H83" s="34"/>
      <c r="I83" s="34"/>
      <c r="J83" s="34"/>
      <c r="K83" s="34"/>
      <c r="L83" s="34"/>
      <c r="M83" s="34"/>
      <c r="N83" s="34"/>
      <c r="O83" s="34"/>
      <c r="P83" s="34"/>
      <c r="Q83" s="34"/>
      <c r="R83" s="34"/>
      <c r="S83" s="34"/>
      <c r="T83" s="141"/>
      <c r="U83" s="34"/>
      <c r="V83" s="80"/>
      <c r="W83" s="43">
        <v>39</v>
      </c>
      <c r="X83" s="708"/>
      <c r="Y83" s="588"/>
      <c r="Z83" s="379"/>
      <c r="AA83" s="34"/>
      <c r="AB83" s="34"/>
      <c r="AC83" s="34"/>
      <c r="AD83" s="34"/>
      <c r="AE83" s="34"/>
      <c r="AF83" s="34"/>
      <c r="AG83" s="34"/>
      <c r="AH83" s="34"/>
      <c r="AI83" s="34"/>
      <c r="AJ83" s="34"/>
      <c r="AK83" s="34"/>
      <c r="AL83" s="34"/>
      <c r="AM83" s="34"/>
      <c r="AN83" s="141"/>
      <c r="AO83" s="34"/>
      <c r="AP83" s="34"/>
      <c r="AQ83" s="34"/>
      <c r="AR83" s="34"/>
      <c r="AS83" s="34"/>
      <c r="AT83" s="34"/>
      <c r="AU83" s="34"/>
      <c r="AV83" s="34"/>
    </row>
    <row r="84" spans="1:48" ht="12.75" customHeight="1">
      <c r="A84" s="34"/>
      <c r="B84" s="80"/>
      <c r="C84" s="43">
        <v>40</v>
      </c>
      <c r="D84" s="708"/>
      <c r="E84" s="588"/>
      <c r="F84" s="379"/>
      <c r="G84" s="34"/>
      <c r="H84" s="34"/>
      <c r="I84" s="34"/>
      <c r="J84" s="34"/>
      <c r="K84" s="34"/>
      <c r="L84" s="34"/>
      <c r="M84" s="34"/>
      <c r="N84" s="34"/>
      <c r="O84" s="34"/>
      <c r="P84" s="34"/>
      <c r="Q84" s="34"/>
      <c r="R84" s="34"/>
      <c r="S84" s="34"/>
      <c r="T84" s="141"/>
      <c r="U84" s="34"/>
      <c r="V84" s="80"/>
      <c r="W84" s="43">
        <v>40</v>
      </c>
      <c r="X84" s="708"/>
      <c r="Y84" s="588"/>
      <c r="Z84" s="379"/>
      <c r="AA84" s="34"/>
      <c r="AB84" s="34"/>
      <c r="AC84" s="34"/>
      <c r="AD84" s="34"/>
      <c r="AE84" s="34"/>
      <c r="AF84" s="34"/>
      <c r="AG84" s="34"/>
      <c r="AH84" s="34"/>
      <c r="AI84" s="34"/>
      <c r="AJ84" s="34"/>
      <c r="AK84" s="34"/>
      <c r="AL84" s="34"/>
      <c r="AM84" s="34"/>
      <c r="AN84" s="141"/>
      <c r="AO84" s="34"/>
      <c r="AP84" s="34"/>
      <c r="AQ84" s="34"/>
      <c r="AR84" s="34"/>
      <c r="AS84" s="34"/>
      <c r="AT84" s="34"/>
      <c r="AU84" s="34"/>
      <c r="AV84" s="34"/>
    </row>
    <row r="85" spans="1:48" ht="12.75" customHeight="1">
      <c r="A85" s="34"/>
      <c r="B85" s="80"/>
      <c r="C85" s="43">
        <v>41</v>
      </c>
      <c r="D85" s="708"/>
      <c r="E85" s="588"/>
      <c r="F85" s="379"/>
      <c r="G85" s="34"/>
      <c r="H85" s="34"/>
      <c r="I85" s="34"/>
      <c r="J85" s="34"/>
      <c r="K85" s="34"/>
      <c r="L85" s="34"/>
      <c r="M85" s="34"/>
      <c r="N85" s="34"/>
      <c r="O85" s="34"/>
      <c r="P85" s="34"/>
      <c r="Q85" s="34"/>
      <c r="R85" s="34"/>
      <c r="S85" s="34"/>
      <c r="T85" s="141"/>
      <c r="U85" s="34"/>
      <c r="V85" s="80"/>
      <c r="W85" s="43">
        <v>41</v>
      </c>
      <c r="X85" s="708"/>
      <c r="Y85" s="588"/>
      <c r="Z85" s="379"/>
      <c r="AA85" s="34"/>
      <c r="AB85" s="34"/>
      <c r="AC85" s="34"/>
      <c r="AD85" s="34"/>
      <c r="AE85" s="34"/>
      <c r="AF85" s="34"/>
      <c r="AG85" s="34"/>
      <c r="AH85" s="34"/>
      <c r="AI85" s="34"/>
      <c r="AJ85" s="34"/>
      <c r="AK85" s="34"/>
      <c r="AL85" s="34"/>
      <c r="AM85" s="34"/>
      <c r="AN85" s="141"/>
      <c r="AO85" s="34"/>
      <c r="AP85" s="34"/>
      <c r="AQ85" s="34"/>
      <c r="AR85" s="34"/>
      <c r="AS85" s="34"/>
      <c r="AT85" s="34"/>
      <c r="AU85" s="34"/>
      <c r="AV85" s="34"/>
    </row>
    <row r="86" spans="1:48" ht="12.75" customHeight="1">
      <c r="A86" s="34"/>
      <c r="B86" s="80"/>
      <c r="C86" s="43">
        <v>42</v>
      </c>
      <c r="D86" s="708"/>
      <c r="E86" s="588"/>
      <c r="F86" s="379"/>
      <c r="G86" s="34"/>
      <c r="H86" s="34"/>
      <c r="I86" s="34"/>
      <c r="J86" s="34"/>
      <c r="K86" s="34"/>
      <c r="L86" s="34"/>
      <c r="M86" s="34"/>
      <c r="N86" s="34"/>
      <c r="O86" s="34"/>
      <c r="P86" s="34"/>
      <c r="Q86" s="34"/>
      <c r="R86" s="34"/>
      <c r="S86" s="34"/>
      <c r="T86" s="141"/>
      <c r="U86" s="34"/>
      <c r="V86" s="80"/>
      <c r="W86" s="43">
        <v>42</v>
      </c>
      <c r="X86" s="708"/>
      <c r="Y86" s="588"/>
      <c r="Z86" s="379"/>
      <c r="AA86" s="34"/>
      <c r="AB86" s="34"/>
      <c r="AC86" s="34"/>
      <c r="AD86" s="34"/>
      <c r="AE86" s="34"/>
      <c r="AF86" s="34"/>
      <c r="AG86" s="34"/>
      <c r="AH86" s="34"/>
      <c r="AI86" s="34"/>
      <c r="AJ86" s="34"/>
      <c r="AK86" s="34"/>
      <c r="AL86" s="34"/>
      <c r="AM86" s="34"/>
      <c r="AN86" s="141"/>
      <c r="AO86" s="34"/>
      <c r="AP86" s="34"/>
      <c r="AQ86" s="34"/>
      <c r="AR86" s="34"/>
      <c r="AS86" s="34"/>
      <c r="AT86" s="34"/>
      <c r="AU86" s="34"/>
      <c r="AV86" s="34"/>
    </row>
    <row r="87" spans="1:48" ht="12.75" customHeight="1">
      <c r="A87" s="34"/>
      <c r="B87" s="80"/>
      <c r="C87" s="43">
        <v>43</v>
      </c>
      <c r="D87" s="708"/>
      <c r="E87" s="588"/>
      <c r="F87" s="379"/>
      <c r="G87" s="34"/>
      <c r="H87" s="34"/>
      <c r="I87" s="34"/>
      <c r="J87" s="34"/>
      <c r="K87" s="34"/>
      <c r="L87" s="34"/>
      <c r="M87" s="34"/>
      <c r="N87" s="34"/>
      <c r="O87" s="34"/>
      <c r="P87" s="34"/>
      <c r="Q87" s="34"/>
      <c r="R87" s="34"/>
      <c r="S87" s="34"/>
      <c r="T87" s="141"/>
      <c r="U87" s="34"/>
      <c r="V87" s="80"/>
      <c r="W87" s="43">
        <v>43</v>
      </c>
      <c r="X87" s="708"/>
      <c r="Y87" s="588"/>
      <c r="Z87" s="379"/>
      <c r="AA87" s="34"/>
      <c r="AB87" s="34"/>
      <c r="AC87" s="34"/>
      <c r="AD87" s="34"/>
      <c r="AE87" s="34"/>
      <c r="AF87" s="34"/>
      <c r="AG87" s="34"/>
      <c r="AH87" s="34"/>
      <c r="AI87" s="34"/>
      <c r="AJ87" s="34"/>
      <c r="AK87" s="34"/>
      <c r="AL87" s="34"/>
      <c r="AM87" s="34"/>
      <c r="AN87" s="141"/>
      <c r="AO87" s="34"/>
      <c r="AP87" s="34"/>
      <c r="AQ87" s="34"/>
      <c r="AR87" s="34"/>
      <c r="AS87" s="34"/>
      <c r="AT87" s="34"/>
      <c r="AU87" s="34"/>
      <c r="AV87" s="34"/>
    </row>
    <row r="88" spans="1:48" ht="12.75" customHeight="1">
      <c r="A88" s="34"/>
      <c r="B88" s="80"/>
      <c r="C88" s="43">
        <v>44</v>
      </c>
      <c r="D88" s="708"/>
      <c r="E88" s="588"/>
      <c r="F88" s="379"/>
      <c r="G88" s="34"/>
      <c r="H88" s="34"/>
      <c r="I88" s="34"/>
      <c r="J88" s="34"/>
      <c r="K88" s="34"/>
      <c r="L88" s="34"/>
      <c r="M88" s="34"/>
      <c r="N88" s="34"/>
      <c r="O88" s="34"/>
      <c r="P88" s="34"/>
      <c r="Q88" s="34"/>
      <c r="R88" s="34"/>
      <c r="S88" s="34"/>
      <c r="T88" s="141"/>
      <c r="U88" s="34"/>
      <c r="V88" s="80"/>
      <c r="W88" s="43">
        <v>44</v>
      </c>
      <c r="X88" s="708"/>
      <c r="Y88" s="588"/>
      <c r="Z88" s="379"/>
      <c r="AA88" s="34"/>
      <c r="AB88" s="34"/>
      <c r="AC88" s="34"/>
      <c r="AD88" s="34"/>
      <c r="AE88" s="34"/>
      <c r="AF88" s="34"/>
      <c r="AG88" s="34"/>
      <c r="AH88" s="34"/>
      <c r="AI88" s="34"/>
      <c r="AJ88" s="34"/>
      <c r="AK88" s="34"/>
      <c r="AL88" s="34"/>
      <c r="AM88" s="34"/>
      <c r="AN88" s="141"/>
      <c r="AO88" s="34"/>
      <c r="AP88" s="34"/>
      <c r="AQ88" s="34"/>
      <c r="AR88" s="34"/>
      <c r="AS88" s="34"/>
      <c r="AT88" s="34"/>
      <c r="AU88" s="34"/>
      <c r="AV88" s="34"/>
    </row>
    <row r="89" spans="1:48" ht="12.75" customHeight="1">
      <c r="A89" s="34"/>
      <c r="B89" s="80"/>
      <c r="C89" s="43">
        <v>45</v>
      </c>
      <c r="D89" s="708"/>
      <c r="E89" s="588"/>
      <c r="F89" s="379"/>
      <c r="G89" s="34"/>
      <c r="H89" s="34"/>
      <c r="I89" s="34"/>
      <c r="J89" s="34"/>
      <c r="K89" s="34"/>
      <c r="L89" s="34"/>
      <c r="M89" s="34"/>
      <c r="N89" s="34"/>
      <c r="O89" s="34"/>
      <c r="P89" s="34"/>
      <c r="Q89" s="34"/>
      <c r="R89" s="34"/>
      <c r="S89" s="34"/>
      <c r="T89" s="141"/>
      <c r="U89" s="34"/>
      <c r="V89" s="80"/>
      <c r="W89" s="43">
        <v>45</v>
      </c>
      <c r="X89" s="708"/>
      <c r="Y89" s="588"/>
      <c r="Z89" s="379"/>
      <c r="AA89" s="34"/>
      <c r="AB89" s="34"/>
      <c r="AC89" s="34"/>
      <c r="AD89" s="34"/>
      <c r="AE89" s="34"/>
      <c r="AF89" s="34"/>
      <c r="AG89" s="34"/>
      <c r="AH89" s="34"/>
      <c r="AI89" s="34"/>
      <c r="AJ89" s="34"/>
      <c r="AK89" s="34"/>
      <c r="AL89" s="34"/>
      <c r="AM89" s="34"/>
      <c r="AN89" s="141"/>
      <c r="AO89" s="34"/>
      <c r="AP89" s="34"/>
      <c r="AQ89" s="34"/>
      <c r="AR89" s="34"/>
      <c r="AS89" s="34"/>
      <c r="AT89" s="34"/>
      <c r="AU89" s="34"/>
      <c r="AV89" s="34"/>
    </row>
    <row r="90" spans="1:48" ht="12.75" customHeight="1">
      <c r="A90" s="34"/>
      <c r="B90" s="80"/>
      <c r="C90" s="43">
        <v>46</v>
      </c>
      <c r="D90" s="708"/>
      <c r="E90" s="588"/>
      <c r="F90" s="379"/>
      <c r="G90" s="34"/>
      <c r="H90" s="34"/>
      <c r="I90" s="34"/>
      <c r="J90" s="34"/>
      <c r="K90" s="34"/>
      <c r="L90" s="34"/>
      <c r="M90" s="34"/>
      <c r="N90" s="34"/>
      <c r="O90" s="34"/>
      <c r="P90" s="34"/>
      <c r="Q90" s="34"/>
      <c r="R90" s="34"/>
      <c r="S90" s="34"/>
      <c r="T90" s="141"/>
      <c r="U90" s="34"/>
      <c r="V90" s="80"/>
      <c r="W90" s="43">
        <v>46</v>
      </c>
      <c r="X90" s="708"/>
      <c r="Y90" s="588"/>
      <c r="Z90" s="379"/>
      <c r="AA90" s="34"/>
      <c r="AB90" s="34"/>
      <c r="AC90" s="34"/>
      <c r="AD90" s="34"/>
      <c r="AE90" s="34"/>
      <c r="AF90" s="34"/>
      <c r="AG90" s="34"/>
      <c r="AH90" s="34"/>
      <c r="AI90" s="34"/>
      <c r="AJ90" s="34"/>
      <c r="AK90" s="34"/>
      <c r="AL90" s="34"/>
      <c r="AM90" s="34"/>
      <c r="AN90" s="141"/>
      <c r="AO90" s="34"/>
      <c r="AP90" s="34"/>
      <c r="AQ90" s="34"/>
      <c r="AR90" s="34"/>
      <c r="AS90" s="34"/>
      <c r="AT90" s="34"/>
      <c r="AU90" s="34"/>
      <c r="AV90" s="34"/>
    </row>
    <row r="91" spans="1:48" ht="12.75" customHeight="1">
      <c r="A91" s="34"/>
      <c r="B91" s="80"/>
      <c r="C91" s="43">
        <v>47</v>
      </c>
      <c r="D91" s="708"/>
      <c r="E91" s="588"/>
      <c r="F91" s="379"/>
      <c r="G91" s="34"/>
      <c r="H91" s="34"/>
      <c r="I91" s="34"/>
      <c r="J91" s="34"/>
      <c r="K91" s="34"/>
      <c r="L91" s="34"/>
      <c r="M91" s="34"/>
      <c r="N91" s="34"/>
      <c r="O91" s="34"/>
      <c r="P91" s="34"/>
      <c r="Q91" s="34"/>
      <c r="R91" s="34"/>
      <c r="S91" s="34"/>
      <c r="T91" s="141"/>
      <c r="U91" s="34"/>
      <c r="V91" s="80"/>
      <c r="W91" s="43">
        <v>47</v>
      </c>
      <c r="X91" s="708"/>
      <c r="Y91" s="588"/>
      <c r="Z91" s="379"/>
      <c r="AA91" s="34"/>
      <c r="AB91" s="34"/>
      <c r="AC91" s="34"/>
      <c r="AD91" s="34"/>
      <c r="AE91" s="34"/>
      <c r="AF91" s="34"/>
      <c r="AG91" s="34"/>
      <c r="AH91" s="34"/>
      <c r="AI91" s="34"/>
      <c r="AJ91" s="34"/>
      <c r="AK91" s="34"/>
      <c r="AL91" s="34"/>
      <c r="AM91" s="34"/>
      <c r="AN91" s="141"/>
      <c r="AO91" s="34"/>
      <c r="AP91" s="34"/>
      <c r="AQ91" s="34"/>
      <c r="AR91" s="34"/>
      <c r="AS91" s="34"/>
      <c r="AT91" s="34"/>
      <c r="AU91" s="34"/>
      <c r="AV91" s="34"/>
    </row>
    <row r="92" spans="1:48" ht="12.75" customHeight="1">
      <c r="A92" s="34"/>
      <c r="B92" s="80"/>
      <c r="C92" s="43">
        <v>48</v>
      </c>
      <c r="D92" s="708"/>
      <c r="E92" s="588"/>
      <c r="F92" s="379"/>
      <c r="G92" s="34"/>
      <c r="H92" s="34"/>
      <c r="I92" s="34"/>
      <c r="J92" s="34"/>
      <c r="K92" s="34"/>
      <c r="L92" s="34"/>
      <c r="M92" s="34"/>
      <c r="N92" s="34"/>
      <c r="O92" s="34"/>
      <c r="P92" s="34"/>
      <c r="Q92" s="34"/>
      <c r="R92" s="34"/>
      <c r="S92" s="34"/>
      <c r="T92" s="141"/>
      <c r="U92" s="34"/>
      <c r="V92" s="80"/>
      <c r="W92" s="43">
        <v>48</v>
      </c>
      <c r="X92" s="708"/>
      <c r="Y92" s="588"/>
      <c r="Z92" s="379"/>
      <c r="AA92" s="34"/>
      <c r="AB92" s="34"/>
      <c r="AC92" s="34"/>
      <c r="AD92" s="34"/>
      <c r="AE92" s="34"/>
      <c r="AF92" s="34"/>
      <c r="AG92" s="34"/>
      <c r="AH92" s="34"/>
      <c r="AI92" s="34"/>
      <c r="AJ92" s="34"/>
      <c r="AK92" s="34"/>
      <c r="AL92" s="34"/>
      <c r="AM92" s="34"/>
      <c r="AN92" s="141"/>
      <c r="AO92" s="34"/>
      <c r="AP92" s="34"/>
      <c r="AQ92" s="34"/>
      <c r="AR92" s="34"/>
      <c r="AS92" s="34"/>
      <c r="AT92" s="34"/>
      <c r="AU92" s="34"/>
      <c r="AV92" s="34"/>
    </row>
    <row r="93" spans="1:48" ht="12.75" customHeight="1">
      <c r="A93" s="34"/>
      <c r="B93" s="80"/>
      <c r="C93" s="43">
        <v>49</v>
      </c>
      <c r="D93" s="708"/>
      <c r="E93" s="588"/>
      <c r="F93" s="379"/>
      <c r="G93" s="34"/>
      <c r="H93" s="34"/>
      <c r="I93" s="34"/>
      <c r="J93" s="34"/>
      <c r="K93" s="34"/>
      <c r="L93" s="34"/>
      <c r="M93" s="34"/>
      <c r="N93" s="34"/>
      <c r="O93" s="34"/>
      <c r="P93" s="34"/>
      <c r="Q93" s="34"/>
      <c r="R93" s="34"/>
      <c r="S93" s="34"/>
      <c r="T93" s="141"/>
      <c r="U93" s="34"/>
      <c r="V93" s="80"/>
      <c r="W93" s="43">
        <v>49</v>
      </c>
      <c r="X93" s="708"/>
      <c r="Y93" s="588"/>
      <c r="Z93" s="379"/>
      <c r="AA93" s="34"/>
      <c r="AB93" s="34"/>
      <c r="AC93" s="34"/>
      <c r="AD93" s="34"/>
      <c r="AE93" s="34"/>
      <c r="AF93" s="34"/>
      <c r="AG93" s="34"/>
      <c r="AH93" s="34"/>
      <c r="AI93" s="34"/>
      <c r="AJ93" s="34"/>
      <c r="AK93" s="34"/>
      <c r="AL93" s="34"/>
      <c r="AM93" s="34"/>
      <c r="AN93" s="141"/>
      <c r="AO93" s="34"/>
      <c r="AP93" s="34"/>
      <c r="AQ93" s="34"/>
      <c r="AR93" s="34"/>
      <c r="AS93" s="34"/>
      <c r="AT93" s="34"/>
      <c r="AU93" s="34"/>
      <c r="AV93" s="34"/>
    </row>
    <row r="94" spans="1:48" ht="12.75" customHeight="1">
      <c r="A94" s="34"/>
      <c r="B94" s="80"/>
      <c r="C94" s="43">
        <v>50</v>
      </c>
      <c r="D94" s="708"/>
      <c r="E94" s="588"/>
      <c r="F94" s="379"/>
      <c r="G94" s="34"/>
      <c r="H94" s="34"/>
      <c r="I94" s="34"/>
      <c r="J94" s="34"/>
      <c r="K94" s="34"/>
      <c r="L94" s="34"/>
      <c r="M94" s="34"/>
      <c r="N94" s="34"/>
      <c r="O94" s="34"/>
      <c r="P94" s="34"/>
      <c r="Q94" s="34"/>
      <c r="R94" s="34"/>
      <c r="S94" s="34"/>
      <c r="T94" s="141"/>
      <c r="U94" s="34"/>
      <c r="V94" s="80"/>
      <c r="W94" s="43">
        <v>50</v>
      </c>
      <c r="X94" s="708"/>
      <c r="Y94" s="588"/>
      <c r="Z94" s="379"/>
      <c r="AA94" s="34"/>
      <c r="AB94" s="34"/>
      <c r="AC94" s="34"/>
      <c r="AD94" s="34"/>
      <c r="AE94" s="34"/>
      <c r="AF94" s="34"/>
      <c r="AG94" s="34"/>
      <c r="AH94" s="34"/>
      <c r="AI94" s="34"/>
      <c r="AJ94" s="34"/>
      <c r="AK94" s="34"/>
      <c r="AL94" s="34"/>
      <c r="AM94" s="34"/>
      <c r="AN94" s="141"/>
      <c r="AO94" s="34"/>
      <c r="AP94" s="34"/>
      <c r="AQ94" s="34"/>
      <c r="AR94" s="34"/>
      <c r="AS94" s="34"/>
      <c r="AT94" s="34"/>
      <c r="AU94" s="34"/>
      <c r="AV94" s="34"/>
    </row>
    <row r="95" spans="1:48" ht="12.75" customHeight="1">
      <c r="A95" s="34"/>
      <c r="B95" s="80"/>
      <c r="C95" s="43">
        <v>51</v>
      </c>
      <c r="D95" s="708"/>
      <c r="E95" s="588"/>
      <c r="F95" s="379"/>
      <c r="G95" s="34"/>
      <c r="H95" s="34"/>
      <c r="I95" s="34"/>
      <c r="J95" s="34"/>
      <c r="K95" s="34"/>
      <c r="L95" s="34"/>
      <c r="M95" s="34"/>
      <c r="N95" s="34"/>
      <c r="O95" s="34"/>
      <c r="P95" s="34"/>
      <c r="Q95" s="34"/>
      <c r="R95" s="34"/>
      <c r="S95" s="34"/>
      <c r="T95" s="141"/>
      <c r="U95" s="34"/>
      <c r="V95" s="80"/>
      <c r="W95" s="43">
        <v>51</v>
      </c>
      <c r="X95" s="708"/>
      <c r="Y95" s="588"/>
      <c r="Z95" s="379"/>
      <c r="AA95" s="34"/>
      <c r="AB95" s="34"/>
      <c r="AC95" s="34"/>
      <c r="AD95" s="34"/>
      <c r="AE95" s="34"/>
      <c r="AF95" s="34"/>
      <c r="AG95" s="34"/>
      <c r="AH95" s="34"/>
      <c r="AI95" s="34"/>
      <c r="AJ95" s="34"/>
      <c r="AK95" s="34"/>
      <c r="AL95" s="34"/>
      <c r="AM95" s="34"/>
      <c r="AN95" s="141"/>
      <c r="AO95" s="34"/>
      <c r="AP95" s="34"/>
      <c r="AQ95" s="34"/>
      <c r="AR95" s="34"/>
      <c r="AS95" s="34"/>
      <c r="AT95" s="34"/>
      <c r="AU95" s="34"/>
      <c r="AV95" s="34"/>
    </row>
    <row r="96" spans="1:48" ht="12.75" customHeight="1">
      <c r="A96" s="34"/>
      <c r="B96" s="80"/>
      <c r="C96" s="43">
        <v>52</v>
      </c>
      <c r="D96" s="708"/>
      <c r="E96" s="588"/>
      <c r="F96" s="379"/>
      <c r="G96" s="34"/>
      <c r="H96" s="34"/>
      <c r="I96" s="34"/>
      <c r="J96" s="34"/>
      <c r="K96" s="34"/>
      <c r="L96" s="34"/>
      <c r="M96" s="34"/>
      <c r="N96" s="34"/>
      <c r="O96" s="34"/>
      <c r="P96" s="34"/>
      <c r="Q96" s="34"/>
      <c r="R96" s="34"/>
      <c r="S96" s="34"/>
      <c r="T96" s="141"/>
      <c r="U96" s="34"/>
      <c r="V96" s="80"/>
      <c r="W96" s="43">
        <v>52</v>
      </c>
      <c r="X96" s="708"/>
      <c r="Y96" s="588"/>
      <c r="Z96" s="379"/>
      <c r="AA96" s="34"/>
      <c r="AB96" s="34"/>
      <c r="AC96" s="34"/>
      <c r="AD96" s="34"/>
      <c r="AE96" s="34"/>
      <c r="AF96" s="34"/>
      <c r="AG96" s="34"/>
      <c r="AH96" s="34"/>
      <c r="AI96" s="34"/>
      <c r="AJ96" s="34"/>
      <c r="AK96" s="34"/>
      <c r="AL96" s="34"/>
      <c r="AM96" s="34"/>
      <c r="AN96" s="141"/>
      <c r="AO96" s="34"/>
      <c r="AP96" s="34"/>
      <c r="AQ96" s="34"/>
      <c r="AR96" s="34"/>
      <c r="AS96" s="34"/>
      <c r="AT96" s="34"/>
      <c r="AU96" s="34"/>
      <c r="AV96" s="34"/>
    </row>
    <row r="97" spans="1:48" ht="12.75" customHeight="1">
      <c r="A97" s="34"/>
      <c r="B97" s="80"/>
      <c r="C97" s="43">
        <v>53</v>
      </c>
      <c r="D97" s="708"/>
      <c r="E97" s="588"/>
      <c r="F97" s="379"/>
      <c r="G97" s="34"/>
      <c r="H97" s="34"/>
      <c r="I97" s="34"/>
      <c r="J97" s="34"/>
      <c r="K97" s="34"/>
      <c r="L97" s="34"/>
      <c r="M97" s="34"/>
      <c r="N97" s="34"/>
      <c r="O97" s="34"/>
      <c r="P97" s="34"/>
      <c r="Q97" s="34"/>
      <c r="R97" s="34"/>
      <c r="S97" s="34"/>
      <c r="T97" s="141"/>
      <c r="U97" s="34"/>
      <c r="V97" s="80"/>
      <c r="W97" s="43">
        <v>53</v>
      </c>
      <c r="X97" s="708"/>
      <c r="Y97" s="588"/>
      <c r="Z97" s="379"/>
      <c r="AA97" s="34"/>
      <c r="AB97" s="34"/>
      <c r="AC97" s="34"/>
      <c r="AD97" s="34"/>
      <c r="AE97" s="34"/>
      <c r="AF97" s="34"/>
      <c r="AG97" s="34"/>
      <c r="AH97" s="34"/>
      <c r="AI97" s="34"/>
      <c r="AJ97" s="34"/>
      <c r="AK97" s="34"/>
      <c r="AL97" s="34"/>
      <c r="AM97" s="34"/>
      <c r="AN97" s="141"/>
      <c r="AO97" s="34"/>
      <c r="AP97" s="34"/>
      <c r="AQ97" s="34"/>
      <c r="AR97" s="34"/>
      <c r="AS97" s="34"/>
      <c r="AT97" s="34"/>
      <c r="AU97" s="34"/>
      <c r="AV97" s="34"/>
    </row>
    <row r="98" spans="1:48" ht="12.75" customHeight="1">
      <c r="A98" s="34"/>
      <c r="B98" s="80"/>
      <c r="C98" s="43">
        <v>54</v>
      </c>
      <c r="D98" s="708"/>
      <c r="E98" s="588"/>
      <c r="F98" s="379"/>
      <c r="G98" s="34"/>
      <c r="H98" s="34"/>
      <c r="I98" s="34"/>
      <c r="J98" s="34"/>
      <c r="K98" s="34"/>
      <c r="L98" s="34"/>
      <c r="M98" s="34"/>
      <c r="N98" s="34"/>
      <c r="O98" s="34"/>
      <c r="P98" s="34"/>
      <c r="Q98" s="34"/>
      <c r="R98" s="34"/>
      <c r="S98" s="34"/>
      <c r="T98" s="141"/>
      <c r="U98" s="34"/>
      <c r="V98" s="80"/>
      <c r="W98" s="43">
        <v>54</v>
      </c>
      <c r="X98" s="708"/>
      <c r="Y98" s="588"/>
      <c r="Z98" s="379"/>
      <c r="AA98" s="34"/>
      <c r="AB98" s="34"/>
      <c r="AC98" s="34"/>
      <c r="AD98" s="34"/>
      <c r="AE98" s="34"/>
      <c r="AF98" s="34"/>
      <c r="AG98" s="34"/>
      <c r="AH98" s="34"/>
      <c r="AI98" s="34"/>
      <c r="AJ98" s="34"/>
      <c r="AK98" s="34"/>
      <c r="AL98" s="34"/>
      <c r="AM98" s="34"/>
      <c r="AN98" s="141"/>
      <c r="AO98" s="34"/>
      <c r="AP98" s="34"/>
      <c r="AQ98" s="34"/>
      <c r="AR98" s="34"/>
      <c r="AS98" s="34"/>
      <c r="AT98" s="34"/>
      <c r="AU98" s="34"/>
      <c r="AV98" s="34"/>
    </row>
    <row r="99" spans="1:48" ht="12.75" customHeight="1">
      <c r="A99" s="34"/>
      <c r="B99" s="80"/>
      <c r="C99" s="43">
        <v>55</v>
      </c>
      <c r="D99" s="708"/>
      <c r="E99" s="588"/>
      <c r="F99" s="379"/>
      <c r="G99" s="34"/>
      <c r="H99" s="34"/>
      <c r="I99" s="34"/>
      <c r="J99" s="34"/>
      <c r="K99" s="34"/>
      <c r="L99" s="34"/>
      <c r="M99" s="34"/>
      <c r="N99" s="34"/>
      <c r="O99" s="34"/>
      <c r="P99" s="34"/>
      <c r="Q99" s="34"/>
      <c r="R99" s="34"/>
      <c r="S99" s="34"/>
      <c r="T99" s="141"/>
      <c r="U99" s="34"/>
      <c r="V99" s="80"/>
      <c r="W99" s="43">
        <v>55</v>
      </c>
      <c r="X99" s="708"/>
      <c r="Y99" s="588"/>
      <c r="Z99" s="379"/>
      <c r="AA99" s="34"/>
      <c r="AB99" s="34"/>
      <c r="AC99" s="34"/>
      <c r="AD99" s="34"/>
      <c r="AE99" s="34"/>
      <c r="AF99" s="34"/>
      <c r="AG99" s="34"/>
      <c r="AH99" s="34"/>
      <c r="AI99" s="34"/>
      <c r="AJ99" s="34"/>
      <c r="AK99" s="34"/>
      <c r="AL99" s="34"/>
      <c r="AM99" s="34"/>
      <c r="AN99" s="141"/>
      <c r="AO99" s="34"/>
      <c r="AP99" s="34"/>
      <c r="AQ99" s="34"/>
      <c r="AR99" s="34"/>
      <c r="AS99" s="34"/>
      <c r="AT99" s="34"/>
      <c r="AU99" s="34"/>
      <c r="AV99" s="34"/>
    </row>
    <row r="100" spans="1:48" ht="12.75" customHeight="1">
      <c r="A100" s="34"/>
      <c r="B100" s="80"/>
      <c r="C100" s="43">
        <v>56</v>
      </c>
      <c r="D100" s="708"/>
      <c r="E100" s="588"/>
      <c r="F100" s="379"/>
      <c r="G100" s="34"/>
      <c r="H100" s="34"/>
      <c r="I100" s="34"/>
      <c r="J100" s="34"/>
      <c r="K100" s="34"/>
      <c r="L100" s="34"/>
      <c r="M100" s="34"/>
      <c r="N100" s="34"/>
      <c r="O100" s="34"/>
      <c r="P100" s="34"/>
      <c r="Q100" s="34"/>
      <c r="R100" s="34"/>
      <c r="S100" s="34"/>
      <c r="T100" s="141"/>
      <c r="U100" s="34"/>
      <c r="V100" s="80"/>
      <c r="W100" s="43">
        <v>56</v>
      </c>
      <c r="X100" s="708"/>
      <c r="Y100" s="588"/>
      <c r="Z100" s="379"/>
      <c r="AA100" s="34"/>
      <c r="AB100" s="34"/>
      <c r="AC100" s="34"/>
      <c r="AD100" s="34"/>
      <c r="AE100" s="34"/>
      <c r="AF100" s="34"/>
      <c r="AG100" s="34"/>
      <c r="AH100" s="34"/>
      <c r="AI100" s="34"/>
      <c r="AJ100" s="34"/>
      <c r="AK100" s="34"/>
      <c r="AL100" s="34"/>
      <c r="AM100" s="34"/>
      <c r="AN100" s="141"/>
      <c r="AO100" s="34"/>
      <c r="AP100" s="34"/>
      <c r="AQ100" s="34"/>
      <c r="AR100" s="34"/>
      <c r="AS100" s="34"/>
      <c r="AT100" s="34"/>
      <c r="AU100" s="34"/>
      <c r="AV100" s="34"/>
    </row>
    <row r="101" spans="1:48" ht="12.75" customHeight="1">
      <c r="A101" s="34"/>
      <c r="B101" s="80"/>
      <c r="C101" s="43">
        <v>57</v>
      </c>
      <c r="D101" s="708"/>
      <c r="E101" s="588"/>
      <c r="F101" s="379"/>
      <c r="G101" s="34"/>
      <c r="H101" s="34"/>
      <c r="I101" s="34"/>
      <c r="J101" s="34"/>
      <c r="K101" s="34"/>
      <c r="L101" s="34"/>
      <c r="M101" s="34"/>
      <c r="N101" s="34"/>
      <c r="O101" s="34"/>
      <c r="P101" s="34"/>
      <c r="Q101" s="34"/>
      <c r="R101" s="34"/>
      <c r="S101" s="34"/>
      <c r="T101" s="141"/>
      <c r="U101" s="34"/>
      <c r="V101" s="80"/>
      <c r="W101" s="43">
        <v>57</v>
      </c>
      <c r="X101" s="708"/>
      <c r="Y101" s="588"/>
      <c r="Z101" s="379"/>
      <c r="AA101" s="34"/>
      <c r="AB101" s="34"/>
      <c r="AC101" s="34"/>
      <c r="AD101" s="34"/>
      <c r="AE101" s="34"/>
      <c r="AF101" s="34"/>
      <c r="AG101" s="34"/>
      <c r="AH101" s="34"/>
      <c r="AI101" s="34"/>
      <c r="AJ101" s="34"/>
      <c r="AK101" s="34"/>
      <c r="AL101" s="34"/>
      <c r="AM101" s="34"/>
      <c r="AN101" s="141"/>
      <c r="AO101" s="34"/>
      <c r="AP101" s="34"/>
      <c r="AQ101" s="34"/>
      <c r="AR101" s="34"/>
      <c r="AS101" s="34"/>
      <c r="AT101" s="34"/>
      <c r="AU101" s="34"/>
      <c r="AV101" s="34"/>
    </row>
    <row r="102" spans="1:48" ht="12.75" customHeight="1">
      <c r="A102" s="34"/>
      <c r="B102" s="80"/>
      <c r="C102" s="43">
        <v>58</v>
      </c>
      <c r="D102" s="708"/>
      <c r="E102" s="588"/>
      <c r="F102" s="379"/>
      <c r="G102" s="34"/>
      <c r="H102" s="34"/>
      <c r="I102" s="34"/>
      <c r="J102" s="34"/>
      <c r="K102" s="34"/>
      <c r="L102" s="34"/>
      <c r="M102" s="34"/>
      <c r="N102" s="34"/>
      <c r="O102" s="34"/>
      <c r="P102" s="34"/>
      <c r="Q102" s="34"/>
      <c r="R102" s="34"/>
      <c r="S102" s="34"/>
      <c r="T102" s="141"/>
      <c r="U102" s="34"/>
      <c r="V102" s="80"/>
      <c r="W102" s="43">
        <v>58</v>
      </c>
      <c r="X102" s="708"/>
      <c r="Y102" s="588"/>
      <c r="Z102" s="379"/>
      <c r="AA102" s="34"/>
      <c r="AB102" s="34"/>
      <c r="AC102" s="34"/>
      <c r="AD102" s="34"/>
      <c r="AE102" s="34"/>
      <c r="AF102" s="34"/>
      <c r="AG102" s="34"/>
      <c r="AH102" s="34"/>
      <c r="AI102" s="34"/>
      <c r="AJ102" s="34"/>
      <c r="AK102" s="34"/>
      <c r="AL102" s="34"/>
      <c r="AM102" s="34"/>
      <c r="AN102" s="141"/>
      <c r="AO102" s="34"/>
      <c r="AP102" s="34"/>
      <c r="AQ102" s="34"/>
      <c r="AR102" s="34"/>
      <c r="AS102" s="34"/>
      <c r="AT102" s="34"/>
      <c r="AU102" s="34"/>
      <c r="AV102" s="34"/>
    </row>
    <row r="103" spans="1:48" ht="12.75" customHeight="1">
      <c r="A103" s="34"/>
      <c r="B103" s="80"/>
      <c r="C103" s="43">
        <v>59</v>
      </c>
      <c r="D103" s="708"/>
      <c r="E103" s="588"/>
      <c r="F103" s="379"/>
      <c r="G103" s="34"/>
      <c r="H103" s="34"/>
      <c r="I103" s="34"/>
      <c r="J103" s="34"/>
      <c r="K103" s="34"/>
      <c r="L103" s="34"/>
      <c r="M103" s="34"/>
      <c r="N103" s="34"/>
      <c r="O103" s="34"/>
      <c r="P103" s="34"/>
      <c r="Q103" s="34"/>
      <c r="R103" s="34"/>
      <c r="S103" s="34"/>
      <c r="T103" s="141"/>
      <c r="U103" s="34"/>
      <c r="V103" s="80"/>
      <c r="W103" s="43">
        <v>59</v>
      </c>
      <c r="X103" s="708"/>
      <c r="Y103" s="588"/>
      <c r="Z103" s="379"/>
      <c r="AA103" s="34"/>
      <c r="AB103" s="34"/>
      <c r="AC103" s="34"/>
      <c r="AD103" s="34"/>
      <c r="AE103" s="34"/>
      <c r="AF103" s="34"/>
      <c r="AG103" s="34"/>
      <c r="AH103" s="34"/>
      <c r="AI103" s="34"/>
      <c r="AJ103" s="34"/>
      <c r="AK103" s="34"/>
      <c r="AL103" s="34"/>
      <c r="AM103" s="34"/>
      <c r="AN103" s="141"/>
      <c r="AO103" s="34"/>
      <c r="AP103" s="34"/>
      <c r="AQ103" s="34"/>
      <c r="AR103" s="34"/>
      <c r="AS103" s="34"/>
      <c r="AT103" s="34"/>
      <c r="AU103" s="34"/>
      <c r="AV103" s="34"/>
    </row>
    <row r="104" spans="1:48" ht="12.75" customHeight="1">
      <c r="A104" s="34"/>
      <c r="B104" s="80"/>
      <c r="C104" s="43">
        <v>60</v>
      </c>
      <c r="D104" s="708"/>
      <c r="E104" s="588"/>
      <c r="F104" s="379"/>
      <c r="G104" s="34"/>
      <c r="H104" s="34"/>
      <c r="I104" s="34"/>
      <c r="J104" s="34"/>
      <c r="K104" s="34"/>
      <c r="L104" s="34"/>
      <c r="M104" s="34"/>
      <c r="N104" s="34"/>
      <c r="O104" s="34"/>
      <c r="P104" s="34"/>
      <c r="Q104" s="34"/>
      <c r="R104" s="34"/>
      <c r="S104" s="34"/>
      <c r="T104" s="141"/>
      <c r="U104" s="34"/>
      <c r="V104" s="80"/>
      <c r="W104" s="43">
        <v>60</v>
      </c>
      <c r="X104" s="708"/>
      <c r="Y104" s="588"/>
      <c r="Z104" s="379"/>
      <c r="AA104" s="34"/>
      <c r="AB104" s="34"/>
      <c r="AC104" s="34"/>
      <c r="AD104" s="34"/>
      <c r="AE104" s="34"/>
      <c r="AF104" s="34"/>
      <c r="AG104" s="34"/>
      <c r="AH104" s="34"/>
      <c r="AI104" s="34"/>
      <c r="AJ104" s="34"/>
      <c r="AK104" s="34"/>
      <c r="AL104" s="34"/>
      <c r="AM104" s="34"/>
      <c r="AN104" s="141"/>
      <c r="AO104" s="34"/>
      <c r="AP104" s="34"/>
      <c r="AQ104" s="34"/>
      <c r="AR104" s="34"/>
      <c r="AS104" s="34"/>
      <c r="AT104" s="34"/>
      <c r="AU104" s="34"/>
      <c r="AV104" s="34"/>
    </row>
    <row r="105" spans="1:48" ht="12.75" customHeight="1">
      <c r="A105" s="34"/>
      <c r="B105" s="80"/>
      <c r="C105" s="43">
        <v>61</v>
      </c>
      <c r="D105" s="708"/>
      <c r="E105" s="588"/>
      <c r="F105" s="379"/>
      <c r="G105" s="34"/>
      <c r="H105" s="34"/>
      <c r="I105" s="34"/>
      <c r="J105" s="34"/>
      <c r="K105" s="34"/>
      <c r="L105" s="34"/>
      <c r="M105" s="34"/>
      <c r="N105" s="34"/>
      <c r="O105" s="34"/>
      <c r="P105" s="34"/>
      <c r="Q105" s="34"/>
      <c r="R105" s="34"/>
      <c r="S105" s="34"/>
      <c r="T105" s="141"/>
      <c r="U105" s="34"/>
      <c r="V105" s="80"/>
      <c r="W105" s="43">
        <v>61</v>
      </c>
      <c r="X105" s="708"/>
      <c r="Y105" s="588"/>
      <c r="Z105" s="379"/>
      <c r="AA105" s="34"/>
      <c r="AB105" s="34"/>
      <c r="AC105" s="34"/>
      <c r="AD105" s="34"/>
      <c r="AE105" s="34"/>
      <c r="AF105" s="34"/>
      <c r="AG105" s="34"/>
      <c r="AH105" s="34"/>
      <c r="AI105" s="34"/>
      <c r="AJ105" s="34"/>
      <c r="AK105" s="34"/>
      <c r="AL105" s="34"/>
      <c r="AM105" s="34"/>
      <c r="AN105" s="141"/>
      <c r="AO105" s="34"/>
      <c r="AP105" s="34"/>
      <c r="AQ105" s="34"/>
      <c r="AR105" s="34"/>
      <c r="AS105" s="34"/>
      <c r="AT105" s="34"/>
      <c r="AU105" s="34"/>
      <c r="AV105" s="34"/>
    </row>
    <row r="106" spans="1:48" ht="12.75" customHeight="1">
      <c r="A106" s="34"/>
      <c r="B106" s="80"/>
      <c r="C106" s="43">
        <v>62</v>
      </c>
      <c r="D106" s="708"/>
      <c r="E106" s="588"/>
      <c r="F106" s="379"/>
      <c r="G106" s="34"/>
      <c r="H106" s="34"/>
      <c r="I106" s="34"/>
      <c r="J106" s="34"/>
      <c r="K106" s="34"/>
      <c r="L106" s="34"/>
      <c r="M106" s="34"/>
      <c r="N106" s="34"/>
      <c r="O106" s="34"/>
      <c r="P106" s="34"/>
      <c r="Q106" s="34"/>
      <c r="R106" s="34"/>
      <c r="S106" s="34"/>
      <c r="T106" s="141"/>
      <c r="U106" s="34"/>
      <c r="V106" s="80"/>
      <c r="W106" s="43">
        <v>62</v>
      </c>
      <c r="X106" s="708"/>
      <c r="Y106" s="588"/>
      <c r="Z106" s="379"/>
      <c r="AA106" s="34"/>
      <c r="AB106" s="34"/>
      <c r="AC106" s="34"/>
      <c r="AD106" s="34"/>
      <c r="AE106" s="34"/>
      <c r="AF106" s="34"/>
      <c r="AG106" s="34"/>
      <c r="AH106" s="34"/>
      <c r="AI106" s="34"/>
      <c r="AJ106" s="34"/>
      <c r="AK106" s="34"/>
      <c r="AL106" s="34"/>
      <c r="AM106" s="34"/>
      <c r="AN106" s="141"/>
      <c r="AO106" s="34"/>
      <c r="AP106" s="34"/>
      <c r="AQ106" s="34"/>
      <c r="AR106" s="34"/>
      <c r="AS106" s="34"/>
      <c r="AT106" s="34"/>
      <c r="AU106" s="34"/>
      <c r="AV106" s="34"/>
    </row>
    <row r="107" spans="1:48" ht="12.75" customHeight="1">
      <c r="A107" s="34"/>
      <c r="B107" s="80"/>
      <c r="C107" s="43">
        <v>63</v>
      </c>
      <c r="D107" s="708"/>
      <c r="E107" s="588"/>
      <c r="F107" s="379"/>
      <c r="G107" s="34"/>
      <c r="H107" s="34"/>
      <c r="I107" s="34"/>
      <c r="J107" s="34"/>
      <c r="K107" s="34"/>
      <c r="L107" s="34"/>
      <c r="M107" s="34"/>
      <c r="N107" s="34"/>
      <c r="O107" s="34"/>
      <c r="P107" s="34"/>
      <c r="Q107" s="34"/>
      <c r="R107" s="34"/>
      <c r="S107" s="34"/>
      <c r="T107" s="141"/>
      <c r="U107" s="34"/>
      <c r="V107" s="80"/>
      <c r="W107" s="43">
        <v>63</v>
      </c>
      <c r="X107" s="708"/>
      <c r="Y107" s="588"/>
      <c r="Z107" s="379"/>
      <c r="AA107" s="34"/>
      <c r="AB107" s="34"/>
      <c r="AC107" s="34"/>
      <c r="AD107" s="34"/>
      <c r="AE107" s="34"/>
      <c r="AF107" s="34"/>
      <c r="AG107" s="34"/>
      <c r="AH107" s="34"/>
      <c r="AI107" s="34"/>
      <c r="AJ107" s="34"/>
      <c r="AK107" s="34"/>
      <c r="AL107" s="34"/>
      <c r="AM107" s="34"/>
      <c r="AN107" s="141"/>
      <c r="AO107" s="34"/>
      <c r="AP107" s="34"/>
      <c r="AQ107" s="34"/>
      <c r="AR107" s="34"/>
      <c r="AS107" s="34"/>
      <c r="AT107" s="34"/>
      <c r="AU107" s="34"/>
      <c r="AV107" s="34"/>
    </row>
    <row r="108" spans="1:48" ht="12.75" customHeight="1">
      <c r="A108" s="34"/>
      <c r="B108" s="80"/>
      <c r="C108" s="43">
        <v>64</v>
      </c>
      <c r="D108" s="708"/>
      <c r="E108" s="588"/>
      <c r="F108" s="379"/>
      <c r="G108" s="34"/>
      <c r="H108" s="34"/>
      <c r="I108" s="34"/>
      <c r="J108" s="34"/>
      <c r="K108" s="34"/>
      <c r="L108" s="34"/>
      <c r="M108" s="34"/>
      <c r="N108" s="34"/>
      <c r="O108" s="34"/>
      <c r="P108" s="34"/>
      <c r="Q108" s="34"/>
      <c r="R108" s="34"/>
      <c r="S108" s="34"/>
      <c r="T108" s="141"/>
      <c r="U108" s="34"/>
      <c r="V108" s="80"/>
      <c r="W108" s="43">
        <v>64</v>
      </c>
      <c r="X108" s="708"/>
      <c r="Y108" s="588"/>
      <c r="Z108" s="379"/>
      <c r="AA108" s="34"/>
      <c r="AB108" s="34"/>
      <c r="AC108" s="34"/>
      <c r="AD108" s="34"/>
      <c r="AE108" s="34"/>
      <c r="AF108" s="34"/>
      <c r="AG108" s="34"/>
      <c r="AH108" s="34"/>
      <c r="AI108" s="34"/>
      <c r="AJ108" s="34"/>
      <c r="AK108" s="34"/>
      <c r="AL108" s="34"/>
      <c r="AM108" s="34"/>
      <c r="AN108" s="141"/>
      <c r="AO108" s="34"/>
      <c r="AP108" s="34"/>
      <c r="AQ108" s="34"/>
      <c r="AR108" s="34"/>
      <c r="AS108" s="34"/>
      <c r="AT108" s="34"/>
      <c r="AU108" s="34"/>
      <c r="AV108" s="34"/>
    </row>
    <row r="109" spans="1:48" ht="12.75" customHeight="1">
      <c r="A109" s="34"/>
      <c r="B109" s="80"/>
      <c r="C109" s="43">
        <v>65</v>
      </c>
      <c r="D109" s="708"/>
      <c r="E109" s="588"/>
      <c r="F109" s="379"/>
      <c r="G109" s="34"/>
      <c r="H109" s="34"/>
      <c r="I109" s="34"/>
      <c r="J109" s="34"/>
      <c r="K109" s="34"/>
      <c r="L109" s="34"/>
      <c r="M109" s="34"/>
      <c r="N109" s="34"/>
      <c r="O109" s="34"/>
      <c r="P109" s="34"/>
      <c r="Q109" s="34"/>
      <c r="R109" s="34"/>
      <c r="S109" s="34"/>
      <c r="T109" s="141"/>
      <c r="U109" s="34"/>
      <c r="V109" s="80"/>
      <c r="W109" s="43">
        <v>65</v>
      </c>
      <c r="X109" s="708"/>
      <c r="Y109" s="588"/>
      <c r="Z109" s="379"/>
      <c r="AA109" s="34"/>
      <c r="AB109" s="34"/>
      <c r="AC109" s="34"/>
      <c r="AD109" s="34"/>
      <c r="AE109" s="34"/>
      <c r="AF109" s="34"/>
      <c r="AG109" s="34"/>
      <c r="AH109" s="34"/>
      <c r="AI109" s="34"/>
      <c r="AJ109" s="34"/>
      <c r="AK109" s="34"/>
      <c r="AL109" s="34"/>
      <c r="AM109" s="34"/>
      <c r="AN109" s="141"/>
      <c r="AO109" s="34"/>
      <c r="AP109" s="34"/>
      <c r="AQ109" s="34"/>
      <c r="AR109" s="34"/>
      <c r="AS109" s="34"/>
      <c r="AT109" s="34"/>
      <c r="AU109" s="34"/>
      <c r="AV109" s="34"/>
    </row>
    <row r="110" spans="1:48" ht="12.75" customHeight="1">
      <c r="A110" s="34"/>
      <c r="B110" s="80"/>
      <c r="C110" s="43">
        <v>66</v>
      </c>
      <c r="D110" s="708"/>
      <c r="E110" s="588"/>
      <c r="F110" s="379"/>
      <c r="G110" s="34"/>
      <c r="H110" s="34"/>
      <c r="I110" s="34"/>
      <c r="J110" s="34"/>
      <c r="K110" s="34"/>
      <c r="L110" s="34"/>
      <c r="M110" s="34"/>
      <c r="N110" s="34"/>
      <c r="O110" s="34"/>
      <c r="P110" s="34"/>
      <c r="Q110" s="34"/>
      <c r="R110" s="34"/>
      <c r="S110" s="34"/>
      <c r="T110" s="141"/>
      <c r="U110" s="34"/>
      <c r="V110" s="80"/>
      <c r="W110" s="43">
        <v>66</v>
      </c>
      <c r="X110" s="708"/>
      <c r="Y110" s="588"/>
      <c r="Z110" s="379"/>
      <c r="AA110" s="34"/>
      <c r="AB110" s="34"/>
      <c r="AC110" s="34"/>
      <c r="AD110" s="34"/>
      <c r="AE110" s="34"/>
      <c r="AF110" s="34"/>
      <c r="AG110" s="34"/>
      <c r="AH110" s="34"/>
      <c r="AI110" s="34"/>
      <c r="AJ110" s="34"/>
      <c r="AK110" s="34"/>
      <c r="AL110" s="34"/>
      <c r="AM110" s="34"/>
      <c r="AN110" s="141"/>
      <c r="AO110" s="34"/>
      <c r="AP110" s="34"/>
      <c r="AQ110" s="34"/>
      <c r="AR110" s="34"/>
      <c r="AS110" s="34"/>
      <c r="AT110" s="34"/>
      <c r="AU110" s="34"/>
      <c r="AV110" s="34"/>
    </row>
    <row r="111" spans="1:48" ht="12.75" customHeight="1">
      <c r="A111" s="34"/>
      <c r="B111" s="80"/>
      <c r="C111" s="43">
        <v>67</v>
      </c>
      <c r="D111" s="708"/>
      <c r="E111" s="588"/>
      <c r="F111" s="379"/>
      <c r="G111" s="34"/>
      <c r="H111" s="34"/>
      <c r="I111" s="34"/>
      <c r="J111" s="34"/>
      <c r="K111" s="34"/>
      <c r="L111" s="34"/>
      <c r="M111" s="34"/>
      <c r="N111" s="34"/>
      <c r="O111" s="34"/>
      <c r="P111" s="34"/>
      <c r="Q111" s="34"/>
      <c r="R111" s="34"/>
      <c r="S111" s="34"/>
      <c r="T111" s="141"/>
      <c r="U111" s="34"/>
      <c r="V111" s="80"/>
      <c r="W111" s="43">
        <v>67</v>
      </c>
      <c r="X111" s="708"/>
      <c r="Y111" s="588"/>
      <c r="Z111" s="379"/>
      <c r="AA111" s="34"/>
      <c r="AB111" s="34"/>
      <c r="AC111" s="34"/>
      <c r="AD111" s="34"/>
      <c r="AE111" s="34"/>
      <c r="AF111" s="34"/>
      <c r="AG111" s="34"/>
      <c r="AH111" s="34"/>
      <c r="AI111" s="34"/>
      <c r="AJ111" s="34"/>
      <c r="AK111" s="34"/>
      <c r="AL111" s="34"/>
      <c r="AM111" s="34"/>
      <c r="AN111" s="141"/>
      <c r="AO111" s="34"/>
      <c r="AP111" s="34"/>
      <c r="AQ111" s="34"/>
      <c r="AR111" s="34"/>
      <c r="AS111" s="34"/>
      <c r="AT111" s="34"/>
      <c r="AU111" s="34"/>
      <c r="AV111" s="34"/>
    </row>
    <row r="112" spans="1:48" ht="12.75" customHeight="1">
      <c r="A112" s="34"/>
      <c r="B112" s="80"/>
      <c r="C112" s="43">
        <v>68</v>
      </c>
      <c r="D112" s="708"/>
      <c r="E112" s="588"/>
      <c r="F112" s="379"/>
      <c r="G112" s="34"/>
      <c r="H112" s="34"/>
      <c r="I112" s="34"/>
      <c r="J112" s="34"/>
      <c r="K112" s="34"/>
      <c r="L112" s="34"/>
      <c r="M112" s="34"/>
      <c r="N112" s="34"/>
      <c r="O112" s="34"/>
      <c r="P112" s="34"/>
      <c r="Q112" s="34"/>
      <c r="R112" s="34"/>
      <c r="S112" s="34"/>
      <c r="T112" s="141"/>
      <c r="U112" s="34"/>
      <c r="V112" s="80"/>
      <c r="W112" s="43">
        <v>68</v>
      </c>
      <c r="X112" s="708"/>
      <c r="Y112" s="588"/>
      <c r="Z112" s="379"/>
      <c r="AA112" s="34"/>
      <c r="AB112" s="34"/>
      <c r="AC112" s="34"/>
      <c r="AD112" s="34"/>
      <c r="AE112" s="34"/>
      <c r="AF112" s="34"/>
      <c r="AG112" s="34"/>
      <c r="AH112" s="34"/>
      <c r="AI112" s="34"/>
      <c r="AJ112" s="34"/>
      <c r="AK112" s="34"/>
      <c r="AL112" s="34"/>
      <c r="AM112" s="34"/>
      <c r="AN112" s="141"/>
      <c r="AO112" s="34"/>
      <c r="AP112" s="34"/>
      <c r="AQ112" s="34"/>
      <c r="AR112" s="34"/>
      <c r="AS112" s="34"/>
      <c r="AT112" s="34"/>
      <c r="AU112" s="34"/>
      <c r="AV112" s="34"/>
    </row>
    <row r="113" spans="1:48" ht="12.75" customHeight="1">
      <c r="A113" s="34"/>
      <c r="B113" s="80"/>
      <c r="C113" s="43">
        <v>69</v>
      </c>
      <c r="D113" s="708"/>
      <c r="E113" s="588"/>
      <c r="F113" s="379"/>
      <c r="G113" s="34"/>
      <c r="H113" s="34"/>
      <c r="I113" s="34"/>
      <c r="J113" s="34"/>
      <c r="K113" s="34"/>
      <c r="L113" s="34"/>
      <c r="M113" s="34"/>
      <c r="N113" s="34"/>
      <c r="O113" s="34"/>
      <c r="P113" s="34"/>
      <c r="Q113" s="34"/>
      <c r="R113" s="34"/>
      <c r="S113" s="34"/>
      <c r="T113" s="141"/>
      <c r="U113" s="34"/>
      <c r="V113" s="80"/>
      <c r="W113" s="43">
        <v>69</v>
      </c>
      <c r="X113" s="708"/>
      <c r="Y113" s="588"/>
      <c r="Z113" s="379"/>
      <c r="AA113" s="34"/>
      <c r="AB113" s="34"/>
      <c r="AC113" s="34"/>
      <c r="AD113" s="34"/>
      <c r="AE113" s="34"/>
      <c r="AF113" s="34"/>
      <c r="AG113" s="34"/>
      <c r="AH113" s="34"/>
      <c r="AI113" s="34"/>
      <c r="AJ113" s="34"/>
      <c r="AK113" s="34"/>
      <c r="AL113" s="34"/>
      <c r="AM113" s="34"/>
      <c r="AN113" s="141"/>
      <c r="AO113" s="34"/>
      <c r="AP113" s="34"/>
      <c r="AQ113" s="34"/>
      <c r="AR113" s="34"/>
      <c r="AS113" s="34"/>
      <c r="AT113" s="34"/>
      <c r="AU113" s="34"/>
      <c r="AV113" s="34"/>
    </row>
    <row r="114" spans="1:48" ht="12.75" customHeight="1">
      <c r="A114" s="34"/>
      <c r="B114" s="80"/>
      <c r="C114" s="43">
        <v>70</v>
      </c>
      <c r="D114" s="708"/>
      <c r="E114" s="588"/>
      <c r="F114" s="379"/>
      <c r="G114" s="34"/>
      <c r="H114" s="34"/>
      <c r="I114" s="34"/>
      <c r="J114" s="34"/>
      <c r="K114" s="34"/>
      <c r="L114" s="34"/>
      <c r="M114" s="34"/>
      <c r="N114" s="34"/>
      <c r="O114" s="34"/>
      <c r="P114" s="34"/>
      <c r="Q114" s="34"/>
      <c r="R114" s="34"/>
      <c r="S114" s="34"/>
      <c r="T114" s="141"/>
      <c r="U114" s="34"/>
      <c r="V114" s="80"/>
      <c r="W114" s="43">
        <v>70</v>
      </c>
      <c r="X114" s="708"/>
      <c r="Y114" s="588"/>
      <c r="Z114" s="379"/>
      <c r="AA114" s="34"/>
      <c r="AB114" s="34"/>
      <c r="AC114" s="34"/>
      <c r="AD114" s="34"/>
      <c r="AE114" s="34"/>
      <c r="AF114" s="34"/>
      <c r="AG114" s="34"/>
      <c r="AH114" s="34"/>
      <c r="AI114" s="34"/>
      <c r="AJ114" s="34"/>
      <c r="AK114" s="34"/>
      <c r="AL114" s="34"/>
      <c r="AM114" s="34"/>
      <c r="AN114" s="141"/>
      <c r="AO114" s="34"/>
      <c r="AP114" s="34"/>
      <c r="AQ114" s="34"/>
      <c r="AR114" s="34"/>
      <c r="AS114" s="34"/>
      <c r="AT114" s="34"/>
      <c r="AU114" s="34"/>
      <c r="AV114" s="34"/>
    </row>
    <row r="115" spans="1:48" ht="12.75" customHeight="1">
      <c r="A115" s="34"/>
      <c r="B115" s="80"/>
      <c r="C115" s="43">
        <v>71</v>
      </c>
      <c r="D115" s="708"/>
      <c r="E115" s="588"/>
      <c r="F115" s="379"/>
      <c r="G115" s="34"/>
      <c r="H115" s="34"/>
      <c r="I115" s="34"/>
      <c r="J115" s="34"/>
      <c r="K115" s="34"/>
      <c r="L115" s="34"/>
      <c r="M115" s="34"/>
      <c r="N115" s="34"/>
      <c r="O115" s="34"/>
      <c r="P115" s="34"/>
      <c r="Q115" s="34"/>
      <c r="R115" s="34"/>
      <c r="S115" s="34"/>
      <c r="T115" s="141"/>
      <c r="U115" s="34"/>
      <c r="V115" s="80"/>
      <c r="W115" s="43">
        <v>71</v>
      </c>
      <c r="X115" s="708"/>
      <c r="Y115" s="588"/>
      <c r="Z115" s="379"/>
      <c r="AA115" s="34"/>
      <c r="AB115" s="34"/>
      <c r="AC115" s="34"/>
      <c r="AD115" s="34"/>
      <c r="AE115" s="34"/>
      <c r="AF115" s="34"/>
      <c r="AG115" s="34"/>
      <c r="AH115" s="34"/>
      <c r="AI115" s="34"/>
      <c r="AJ115" s="34"/>
      <c r="AK115" s="34"/>
      <c r="AL115" s="34"/>
      <c r="AM115" s="34"/>
      <c r="AN115" s="141"/>
      <c r="AO115" s="34"/>
      <c r="AP115" s="34"/>
      <c r="AQ115" s="34"/>
      <c r="AR115" s="34"/>
      <c r="AS115" s="34"/>
      <c r="AT115" s="34"/>
      <c r="AU115" s="34"/>
      <c r="AV115" s="34"/>
    </row>
    <row r="116" spans="1:48" ht="12.75" customHeight="1">
      <c r="A116" s="34"/>
      <c r="B116" s="80"/>
      <c r="C116" s="43">
        <v>72</v>
      </c>
      <c r="D116" s="708"/>
      <c r="E116" s="588"/>
      <c r="F116" s="379"/>
      <c r="G116" s="34"/>
      <c r="H116" s="34"/>
      <c r="I116" s="34"/>
      <c r="J116" s="34"/>
      <c r="K116" s="34"/>
      <c r="L116" s="34"/>
      <c r="M116" s="34"/>
      <c r="N116" s="34"/>
      <c r="O116" s="34"/>
      <c r="P116" s="34"/>
      <c r="Q116" s="34"/>
      <c r="R116" s="34"/>
      <c r="S116" s="34"/>
      <c r="T116" s="141"/>
      <c r="U116" s="34"/>
      <c r="V116" s="80"/>
      <c r="W116" s="43">
        <v>72</v>
      </c>
      <c r="X116" s="708"/>
      <c r="Y116" s="588"/>
      <c r="Z116" s="379"/>
      <c r="AA116" s="34"/>
      <c r="AB116" s="34"/>
      <c r="AC116" s="34"/>
      <c r="AD116" s="34"/>
      <c r="AE116" s="34"/>
      <c r="AF116" s="34"/>
      <c r="AG116" s="34"/>
      <c r="AH116" s="34"/>
      <c r="AI116" s="34"/>
      <c r="AJ116" s="34"/>
      <c r="AK116" s="34"/>
      <c r="AL116" s="34"/>
      <c r="AM116" s="34"/>
      <c r="AN116" s="141"/>
      <c r="AO116" s="34"/>
      <c r="AP116" s="34"/>
      <c r="AQ116" s="34"/>
      <c r="AR116" s="34"/>
      <c r="AS116" s="34"/>
      <c r="AT116" s="34"/>
      <c r="AU116" s="34"/>
      <c r="AV116" s="34"/>
    </row>
    <row r="117" spans="1:48" ht="12.75" customHeight="1">
      <c r="A117" s="34"/>
      <c r="B117" s="80"/>
      <c r="C117" s="43">
        <v>73</v>
      </c>
      <c r="D117" s="708"/>
      <c r="E117" s="588"/>
      <c r="F117" s="379"/>
      <c r="G117" s="34"/>
      <c r="H117" s="34"/>
      <c r="I117" s="34"/>
      <c r="J117" s="34"/>
      <c r="K117" s="34"/>
      <c r="L117" s="34"/>
      <c r="M117" s="34"/>
      <c r="N117" s="34"/>
      <c r="O117" s="34"/>
      <c r="P117" s="34"/>
      <c r="Q117" s="34"/>
      <c r="R117" s="34"/>
      <c r="S117" s="34"/>
      <c r="T117" s="141"/>
      <c r="U117" s="34"/>
      <c r="V117" s="80"/>
      <c r="W117" s="43">
        <v>73</v>
      </c>
      <c r="X117" s="708"/>
      <c r="Y117" s="588"/>
      <c r="Z117" s="379"/>
      <c r="AA117" s="34"/>
      <c r="AB117" s="34"/>
      <c r="AC117" s="34"/>
      <c r="AD117" s="34"/>
      <c r="AE117" s="34"/>
      <c r="AF117" s="34"/>
      <c r="AG117" s="34"/>
      <c r="AH117" s="34"/>
      <c r="AI117" s="34"/>
      <c r="AJ117" s="34"/>
      <c r="AK117" s="34"/>
      <c r="AL117" s="34"/>
      <c r="AM117" s="34"/>
      <c r="AN117" s="141"/>
      <c r="AO117" s="34"/>
      <c r="AP117" s="34"/>
      <c r="AQ117" s="34"/>
      <c r="AR117" s="34"/>
      <c r="AS117" s="34"/>
      <c r="AT117" s="34"/>
      <c r="AU117" s="34"/>
      <c r="AV117" s="34"/>
    </row>
    <row r="118" spans="1:48" ht="12.75" customHeight="1">
      <c r="A118" s="34"/>
      <c r="B118" s="80"/>
      <c r="C118" s="43">
        <v>74</v>
      </c>
      <c r="D118" s="708"/>
      <c r="E118" s="588"/>
      <c r="F118" s="379"/>
      <c r="G118" s="34"/>
      <c r="H118" s="34"/>
      <c r="I118" s="34"/>
      <c r="J118" s="34"/>
      <c r="K118" s="34"/>
      <c r="L118" s="34"/>
      <c r="M118" s="34"/>
      <c r="N118" s="34"/>
      <c r="O118" s="34"/>
      <c r="P118" s="34"/>
      <c r="Q118" s="34"/>
      <c r="R118" s="34"/>
      <c r="S118" s="34"/>
      <c r="T118" s="141"/>
      <c r="U118" s="34"/>
      <c r="V118" s="80"/>
      <c r="W118" s="43">
        <v>74</v>
      </c>
      <c r="X118" s="708"/>
      <c r="Y118" s="588"/>
      <c r="Z118" s="379"/>
      <c r="AA118" s="34"/>
      <c r="AB118" s="34"/>
      <c r="AC118" s="34"/>
      <c r="AD118" s="34"/>
      <c r="AE118" s="34"/>
      <c r="AF118" s="34"/>
      <c r="AG118" s="34"/>
      <c r="AH118" s="34"/>
      <c r="AI118" s="34"/>
      <c r="AJ118" s="34"/>
      <c r="AK118" s="34"/>
      <c r="AL118" s="34"/>
      <c r="AM118" s="34"/>
      <c r="AN118" s="141"/>
      <c r="AO118" s="34"/>
      <c r="AP118" s="34"/>
      <c r="AQ118" s="34"/>
      <c r="AR118" s="34"/>
      <c r="AS118" s="34"/>
      <c r="AT118" s="34"/>
      <c r="AU118" s="34"/>
      <c r="AV118" s="34"/>
    </row>
    <row r="119" spans="1:48" ht="12.75" customHeight="1">
      <c r="A119" s="34"/>
      <c r="B119" s="80"/>
      <c r="C119" s="43">
        <v>75</v>
      </c>
      <c r="D119" s="708"/>
      <c r="E119" s="588"/>
      <c r="F119" s="379"/>
      <c r="G119" s="34"/>
      <c r="H119" s="34"/>
      <c r="I119" s="34"/>
      <c r="J119" s="34"/>
      <c r="K119" s="34"/>
      <c r="L119" s="34"/>
      <c r="M119" s="34"/>
      <c r="N119" s="34"/>
      <c r="O119" s="34"/>
      <c r="P119" s="34"/>
      <c r="Q119" s="34"/>
      <c r="R119" s="34"/>
      <c r="S119" s="34"/>
      <c r="T119" s="141"/>
      <c r="U119" s="34"/>
      <c r="V119" s="80"/>
      <c r="W119" s="43">
        <v>75</v>
      </c>
      <c r="X119" s="708"/>
      <c r="Y119" s="588"/>
      <c r="Z119" s="379"/>
      <c r="AA119" s="34"/>
      <c r="AB119" s="34"/>
      <c r="AC119" s="34"/>
      <c r="AD119" s="34"/>
      <c r="AE119" s="34"/>
      <c r="AF119" s="34"/>
      <c r="AG119" s="34"/>
      <c r="AH119" s="34"/>
      <c r="AI119" s="34"/>
      <c r="AJ119" s="34"/>
      <c r="AK119" s="34"/>
      <c r="AL119" s="34"/>
      <c r="AM119" s="34"/>
      <c r="AN119" s="141"/>
      <c r="AO119" s="34"/>
      <c r="AP119" s="34"/>
      <c r="AQ119" s="34"/>
      <c r="AR119" s="34"/>
      <c r="AS119" s="34"/>
      <c r="AT119" s="34"/>
      <c r="AU119" s="34"/>
      <c r="AV119" s="34"/>
    </row>
    <row r="120" spans="1:48" ht="12.75" customHeight="1">
      <c r="A120" s="34"/>
      <c r="B120" s="80"/>
      <c r="C120" s="43">
        <v>76</v>
      </c>
      <c r="D120" s="708"/>
      <c r="E120" s="588"/>
      <c r="F120" s="379"/>
      <c r="G120" s="34"/>
      <c r="H120" s="34"/>
      <c r="I120" s="34"/>
      <c r="J120" s="34"/>
      <c r="K120" s="34"/>
      <c r="L120" s="34"/>
      <c r="M120" s="34"/>
      <c r="N120" s="34"/>
      <c r="O120" s="34"/>
      <c r="P120" s="34"/>
      <c r="Q120" s="34"/>
      <c r="R120" s="34"/>
      <c r="S120" s="34"/>
      <c r="T120" s="141"/>
      <c r="U120" s="34"/>
      <c r="V120" s="80"/>
      <c r="W120" s="43">
        <v>76</v>
      </c>
      <c r="X120" s="708"/>
      <c r="Y120" s="588"/>
      <c r="Z120" s="379"/>
      <c r="AA120" s="34"/>
      <c r="AB120" s="34"/>
      <c r="AC120" s="34"/>
      <c r="AD120" s="34"/>
      <c r="AE120" s="34"/>
      <c r="AF120" s="34"/>
      <c r="AG120" s="34"/>
      <c r="AH120" s="34"/>
      <c r="AI120" s="34"/>
      <c r="AJ120" s="34"/>
      <c r="AK120" s="34"/>
      <c r="AL120" s="34"/>
      <c r="AM120" s="34"/>
      <c r="AN120" s="141"/>
      <c r="AO120" s="34"/>
      <c r="AP120" s="34"/>
      <c r="AQ120" s="34"/>
      <c r="AR120" s="34"/>
      <c r="AS120" s="34"/>
      <c r="AT120" s="34"/>
      <c r="AU120" s="34"/>
      <c r="AV120" s="34"/>
    </row>
    <row r="121" spans="1:48" ht="12.75" customHeight="1">
      <c r="A121" s="34"/>
      <c r="B121" s="80"/>
      <c r="C121" s="43">
        <v>77</v>
      </c>
      <c r="D121" s="708"/>
      <c r="E121" s="588"/>
      <c r="F121" s="379"/>
      <c r="G121" s="34"/>
      <c r="H121" s="34"/>
      <c r="I121" s="34"/>
      <c r="J121" s="34"/>
      <c r="K121" s="34"/>
      <c r="L121" s="34"/>
      <c r="M121" s="34"/>
      <c r="N121" s="34"/>
      <c r="O121" s="34"/>
      <c r="P121" s="34"/>
      <c r="Q121" s="34"/>
      <c r="R121" s="34"/>
      <c r="S121" s="34"/>
      <c r="T121" s="141"/>
      <c r="U121" s="34"/>
      <c r="V121" s="80"/>
      <c r="W121" s="43">
        <v>77</v>
      </c>
      <c r="X121" s="708"/>
      <c r="Y121" s="588"/>
      <c r="Z121" s="379"/>
      <c r="AA121" s="34"/>
      <c r="AB121" s="34"/>
      <c r="AC121" s="34"/>
      <c r="AD121" s="34"/>
      <c r="AE121" s="34"/>
      <c r="AF121" s="34"/>
      <c r="AG121" s="34"/>
      <c r="AH121" s="34"/>
      <c r="AI121" s="34"/>
      <c r="AJ121" s="34"/>
      <c r="AK121" s="34"/>
      <c r="AL121" s="34"/>
      <c r="AM121" s="34"/>
      <c r="AN121" s="141"/>
      <c r="AO121" s="34"/>
      <c r="AP121" s="34"/>
      <c r="AQ121" s="34"/>
      <c r="AR121" s="34"/>
      <c r="AS121" s="34"/>
      <c r="AT121" s="34"/>
      <c r="AU121" s="34"/>
      <c r="AV121" s="34"/>
    </row>
    <row r="122" spans="1:48" ht="12.75" customHeight="1">
      <c r="A122" s="34"/>
      <c r="B122" s="80"/>
      <c r="C122" s="43">
        <v>78</v>
      </c>
      <c r="D122" s="708"/>
      <c r="E122" s="588"/>
      <c r="F122" s="379"/>
      <c r="G122" s="34"/>
      <c r="H122" s="34"/>
      <c r="I122" s="34"/>
      <c r="J122" s="34"/>
      <c r="K122" s="34"/>
      <c r="L122" s="34"/>
      <c r="M122" s="34"/>
      <c r="N122" s="34"/>
      <c r="O122" s="34"/>
      <c r="P122" s="34"/>
      <c r="Q122" s="34"/>
      <c r="R122" s="34"/>
      <c r="S122" s="34"/>
      <c r="T122" s="141"/>
      <c r="U122" s="34"/>
      <c r="V122" s="80"/>
      <c r="W122" s="43">
        <v>78</v>
      </c>
      <c r="X122" s="708"/>
      <c r="Y122" s="588"/>
      <c r="Z122" s="379"/>
      <c r="AA122" s="34"/>
      <c r="AB122" s="34"/>
      <c r="AC122" s="34"/>
      <c r="AD122" s="34"/>
      <c r="AE122" s="34"/>
      <c r="AF122" s="34"/>
      <c r="AG122" s="34"/>
      <c r="AH122" s="34"/>
      <c r="AI122" s="34"/>
      <c r="AJ122" s="34"/>
      <c r="AK122" s="34"/>
      <c r="AL122" s="34"/>
      <c r="AM122" s="34"/>
      <c r="AN122" s="141"/>
      <c r="AO122" s="34"/>
      <c r="AP122" s="34"/>
      <c r="AQ122" s="34"/>
      <c r="AR122" s="34"/>
      <c r="AS122" s="34"/>
      <c r="AT122" s="34"/>
      <c r="AU122" s="34"/>
      <c r="AV122" s="34"/>
    </row>
    <row r="123" spans="1:48" ht="12.75" customHeight="1">
      <c r="A123" s="34"/>
      <c r="B123" s="80"/>
      <c r="C123" s="43">
        <v>79</v>
      </c>
      <c r="D123" s="708"/>
      <c r="E123" s="588"/>
      <c r="F123" s="379"/>
      <c r="G123" s="34"/>
      <c r="H123" s="34"/>
      <c r="I123" s="34"/>
      <c r="J123" s="34"/>
      <c r="K123" s="34"/>
      <c r="L123" s="34"/>
      <c r="M123" s="34"/>
      <c r="N123" s="34"/>
      <c r="O123" s="34"/>
      <c r="P123" s="34"/>
      <c r="Q123" s="34"/>
      <c r="R123" s="34"/>
      <c r="S123" s="34"/>
      <c r="T123" s="141"/>
      <c r="U123" s="34"/>
      <c r="V123" s="80"/>
      <c r="W123" s="43">
        <v>79</v>
      </c>
      <c r="X123" s="708"/>
      <c r="Y123" s="588"/>
      <c r="Z123" s="379"/>
      <c r="AA123" s="34"/>
      <c r="AB123" s="34"/>
      <c r="AC123" s="34"/>
      <c r="AD123" s="34"/>
      <c r="AE123" s="34"/>
      <c r="AF123" s="34"/>
      <c r="AG123" s="34"/>
      <c r="AH123" s="34"/>
      <c r="AI123" s="34"/>
      <c r="AJ123" s="34"/>
      <c r="AK123" s="34"/>
      <c r="AL123" s="34"/>
      <c r="AM123" s="34"/>
      <c r="AN123" s="141"/>
      <c r="AO123" s="34"/>
      <c r="AP123" s="34"/>
      <c r="AQ123" s="34"/>
      <c r="AR123" s="34"/>
      <c r="AS123" s="34"/>
      <c r="AT123" s="34"/>
      <c r="AU123" s="34"/>
      <c r="AV123" s="34"/>
    </row>
    <row r="124" spans="1:48" ht="12.75" customHeight="1">
      <c r="A124" s="34"/>
      <c r="B124" s="80"/>
      <c r="C124" s="43">
        <v>80</v>
      </c>
      <c r="D124" s="708"/>
      <c r="E124" s="588"/>
      <c r="F124" s="379"/>
      <c r="G124" s="34"/>
      <c r="H124" s="34"/>
      <c r="I124" s="34"/>
      <c r="J124" s="34"/>
      <c r="K124" s="34"/>
      <c r="L124" s="34"/>
      <c r="M124" s="34"/>
      <c r="N124" s="34"/>
      <c r="O124" s="34"/>
      <c r="P124" s="34"/>
      <c r="Q124" s="34"/>
      <c r="R124" s="34"/>
      <c r="S124" s="34"/>
      <c r="T124" s="141"/>
      <c r="U124" s="34"/>
      <c r="V124" s="80"/>
      <c r="W124" s="43">
        <v>80</v>
      </c>
      <c r="X124" s="708"/>
      <c r="Y124" s="588"/>
      <c r="Z124" s="379"/>
      <c r="AA124" s="34"/>
      <c r="AB124" s="34"/>
      <c r="AC124" s="34"/>
      <c r="AD124" s="34"/>
      <c r="AE124" s="34"/>
      <c r="AF124" s="34"/>
      <c r="AG124" s="34"/>
      <c r="AH124" s="34"/>
      <c r="AI124" s="34"/>
      <c r="AJ124" s="34"/>
      <c r="AK124" s="34"/>
      <c r="AL124" s="34"/>
      <c r="AM124" s="34"/>
      <c r="AN124" s="141"/>
      <c r="AO124" s="34"/>
      <c r="AP124" s="34"/>
      <c r="AQ124" s="34"/>
      <c r="AR124" s="34"/>
      <c r="AS124" s="34"/>
      <c r="AT124" s="34"/>
      <c r="AU124" s="34"/>
      <c r="AV124" s="34"/>
    </row>
    <row r="125" spans="1:48" ht="12.75" customHeight="1">
      <c r="A125" s="34"/>
      <c r="B125" s="80"/>
      <c r="C125" s="43">
        <v>81</v>
      </c>
      <c r="D125" s="708"/>
      <c r="E125" s="588"/>
      <c r="F125" s="379"/>
      <c r="G125" s="34"/>
      <c r="H125" s="34"/>
      <c r="I125" s="34"/>
      <c r="J125" s="34"/>
      <c r="K125" s="34"/>
      <c r="L125" s="34"/>
      <c r="M125" s="34"/>
      <c r="N125" s="34"/>
      <c r="O125" s="34"/>
      <c r="P125" s="34"/>
      <c r="Q125" s="34"/>
      <c r="R125" s="34"/>
      <c r="S125" s="34"/>
      <c r="T125" s="141"/>
      <c r="U125" s="34"/>
      <c r="V125" s="80"/>
      <c r="W125" s="43">
        <v>81</v>
      </c>
      <c r="X125" s="708"/>
      <c r="Y125" s="588"/>
      <c r="Z125" s="379"/>
      <c r="AA125" s="34"/>
      <c r="AB125" s="34"/>
      <c r="AC125" s="34"/>
      <c r="AD125" s="34"/>
      <c r="AE125" s="34"/>
      <c r="AF125" s="34"/>
      <c r="AG125" s="34"/>
      <c r="AH125" s="34"/>
      <c r="AI125" s="34"/>
      <c r="AJ125" s="34"/>
      <c r="AK125" s="34"/>
      <c r="AL125" s="34"/>
      <c r="AM125" s="34"/>
      <c r="AN125" s="141"/>
      <c r="AO125" s="34"/>
      <c r="AP125" s="34"/>
      <c r="AQ125" s="34"/>
      <c r="AR125" s="34"/>
      <c r="AS125" s="34"/>
      <c r="AT125" s="34"/>
      <c r="AU125" s="34"/>
      <c r="AV125" s="34"/>
    </row>
    <row r="126" spans="1:48" ht="12.75" customHeight="1">
      <c r="A126" s="34"/>
      <c r="B126" s="80"/>
      <c r="C126" s="43">
        <v>82</v>
      </c>
      <c r="D126" s="708"/>
      <c r="E126" s="588"/>
      <c r="F126" s="379"/>
      <c r="G126" s="34"/>
      <c r="H126" s="34"/>
      <c r="I126" s="34"/>
      <c r="J126" s="34"/>
      <c r="K126" s="34"/>
      <c r="L126" s="34"/>
      <c r="M126" s="34"/>
      <c r="N126" s="34"/>
      <c r="O126" s="34"/>
      <c r="P126" s="34"/>
      <c r="Q126" s="34"/>
      <c r="R126" s="34"/>
      <c r="S126" s="34"/>
      <c r="T126" s="141"/>
      <c r="U126" s="34"/>
      <c r="V126" s="80"/>
      <c r="W126" s="43">
        <v>82</v>
      </c>
      <c r="X126" s="708"/>
      <c r="Y126" s="588"/>
      <c r="Z126" s="379"/>
      <c r="AA126" s="34"/>
      <c r="AB126" s="34"/>
      <c r="AC126" s="34"/>
      <c r="AD126" s="34"/>
      <c r="AE126" s="34"/>
      <c r="AF126" s="34"/>
      <c r="AG126" s="34"/>
      <c r="AH126" s="34"/>
      <c r="AI126" s="34"/>
      <c r="AJ126" s="34"/>
      <c r="AK126" s="34"/>
      <c r="AL126" s="34"/>
      <c r="AM126" s="34"/>
      <c r="AN126" s="141"/>
      <c r="AO126" s="34"/>
      <c r="AP126" s="34"/>
      <c r="AQ126" s="34"/>
      <c r="AR126" s="34"/>
      <c r="AS126" s="34"/>
      <c r="AT126" s="34"/>
      <c r="AU126" s="34"/>
      <c r="AV126" s="34"/>
    </row>
    <row r="127" spans="1:48" ht="12.75" customHeight="1">
      <c r="A127" s="34"/>
      <c r="B127" s="80"/>
      <c r="C127" s="43">
        <v>83</v>
      </c>
      <c r="D127" s="708"/>
      <c r="E127" s="588"/>
      <c r="F127" s="379"/>
      <c r="G127" s="34"/>
      <c r="H127" s="34"/>
      <c r="I127" s="34"/>
      <c r="J127" s="34"/>
      <c r="K127" s="34"/>
      <c r="L127" s="34"/>
      <c r="M127" s="34"/>
      <c r="N127" s="34"/>
      <c r="O127" s="34"/>
      <c r="P127" s="34"/>
      <c r="Q127" s="34"/>
      <c r="R127" s="34"/>
      <c r="S127" s="34"/>
      <c r="T127" s="141"/>
      <c r="U127" s="34"/>
      <c r="V127" s="80"/>
      <c r="W127" s="43">
        <v>83</v>
      </c>
      <c r="X127" s="708"/>
      <c r="Y127" s="588"/>
      <c r="Z127" s="379"/>
      <c r="AA127" s="34"/>
      <c r="AB127" s="34"/>
      <c r="AC127" s="34"/>
      <c r="AD127" s="34"/>
      <c r="AE127" s="34"/>
      <c r="AF127" s="34"/>
      <c r="AG127" s="34"/>
      <c r="AH127" s="34"/>
      <c r="AI127" s="34"/>
      <c r="AJ127" s="34"/>
      <c r="AK127" s="34"/>
      <c r="AL127" s="34"/>
      <c r="AM127" s="34"/>
      <c r="AN127" s="141"/>
      <c r="AO127" s="34"/>
      <c r="AP127" s="34"/>
      <c r="AQ127" s="34"/>
      <c r="AR127" s="34"/>
      <c r="AS127" s="34"/>
      <c r="AT127" s="34"/>
      <c r="AU127" s="34"/>
      <c r="AV127" s="34"/>
    </row>
    <row r="128" spans="1:48" ht="12.75" customHeight="1">
      <c r="A128" s="34"/>
      <c r="B128" s="80"/>
      <c r="C128" s="43">
        <v>84</v>
      </c>
      <c r="D128" s="708"/>
      <c r="E128" s="588"/>
      <c r="F128" s="379"/>
      <c r="G128" s="34"/>
      <c r="H128" s="34"/>
      <c r="I128" s="34"/>
      <c r="J128" s="34"/>
      <c r="K128" s="34"/>
      <c r="L128" s="34"/>
      <c r="M128" s="34"/>
      <c r="N128" s="34"/>
      <c r="O128" s="34"/>
      <c r="P128" s="34"/>
      <c r="Q128" s="34"/>
      <c r="R128" s="34"/>
      <c r="S128" s="34"/>
      <c r="T128" s="141"/>
      <c r="U128" s="34"/>
      <c r="V128" s="80"/>
      <c r="W128" s="43">
        <v>84</v>
      </c>
      <c r="X128" s="708"/>
      <c r="Y128" s="588"/>
      <c r="Z128" s="379"/>
      <c r="AA128" s="34"/>
      <c r="AB128" s="34"/>
      <c r="AC128" s="34"/>
      <c r="AD128" s="34"/>
      <c r="AE128" s="34"/>
      <c r="AF128" s="34"/>
      <c r="AG128" s="34"/>
      <c r="AH128" s="34"/>
      <c r="AI128" s="34"/>
      <c r="AJ128" s="34"/>
      <c r="AK128" s="34"/>
      <c r="AL128" s="34"/>
      <c r="AM128" s="34"/>
      <c r="AN128" s="141"/>
      <c r="AO128" s="34"/>
      <c r="AP128" s="34"/>
      <c r="AQ128" s="34"/>
      <c r="AR128" s="34"/>
      <c r="AS128" s="34"/>
      <c r="AT128" s="34"/>
      <c r="AU128" s="34"/>
      <c r="AV128" s="34"/>
    </row>
    <row r="129" spans="1:48" ht="12.75" customHeight="1">
      <c r="A129" s="34"/>
      <c r="B129" s="80"/>
      <c r="C129" s="43">
        <v>85</v>
      </c>
      <c r="D129" s="708"/>
      <c r="E129" s="588"/>
      <c r="F129" s="379"/>
      <c r="G129" s="34"/>
      <c r="H129" s="34"/>
      <c r="I129" s="34"/>
      <c r="J129" s="34"/>
      <c r="K129" s="34"/>
      <c r="L129" s="34"/>
      <c r="M129" s="34"/>
      <c r="N129" s="34"/>
      <c r="O129" s="34"/>
      <c r="P129" s="34"/>
      <c r="Q129" s="34"/>
      <c r="R129" s="34"/>
      <c r="S129" s="34"/>
      <c r="T129" s="141"/>
      <c r="U129" s="34"/>
      <c r="V129" s="80"/>
      <c r="W129" s="43">
        <v>85</v>
      </c>
      <c r="X129" s="708"/>
      <c r="Y129" s="588"/>
      <c r="Z129" s="379"/>
      <c r="AA129" s="34"/>
      <c r="AB129" s="34"/>
      <c r="AC129" s="34"/>
      <c r="AD129" s="34"/>
      <c r="AE129" s="34"/>
      <c r="AF129" s="34"/>
      <c r="AG129" s="34"/>
      <c r="AH129" s="34"/>
      <c r="AI129" s="34"/>
      <c r="AJ129" s="34"/>
      <c r="AK129" s="34"/>
      <c r="AL129" s="34"/>
      <c r="AM129" s="34"/>
      <c r="AN129" s="141"/>
      <c r="AO129" s="34"/>
      <c r="AP129" s="34"/>
      <c r="AQ129" s="34"/>
      <c r="AR129" s="34"/>
      <c r="AS129" s="34"/>
      <c r="AT129" s="34"/>
      <c r="AU129" s="34"/>
      <c r="AV129" s="34"/>
    </row>
    <row r="130" spans="1:48" ht="12.75" customHeight="1">
      <c r="A130" s="34"/>
      <c r="B130" s="80"/>
      <c r="C130" s="43">
        <v>86</v>
      </c>
      <c r="D130" s="708"/>
      <c r="E130" s="588"/>
      <c r="F130" s="379"/>
      <c r="G130" s="34"/>
      <c r="H130" s="34"/>
      <c r="I130" s="34"/>
      <c r="J130" s="34"/>
      <c r="K130" s="34"/>
      <c r="L130" s="34"/>
      <c r="M130" s="34"/>
      <c r="N130" s="34"/>
      <c r="O130" s="34"/>
      <c r="P130" s="34"/>
      <c r="Q130" s="34"/>
      <c r="R130" s="34"/>
      <c r="S130" s="34"/>
      <c r="T130" s="141"/>
      <c r="U130" s="34"/>
      <c r="V130" s="80"/>
      <c r="W130" s="43">
        <v>86</v>
      </c>
      <c r="X130" s="708"/>
      <c r="Y130" s="588"/>
      <c r="Z130" s="379"/>
      <c r="AA130" s="34"/>
      <c r="AB130" s="34"/>
      <c r="AC130" s="34"/>
      <c r="AD130" s="34"/>
      <c r="AE130" s="34"/>
      <c r="AF130" s="34"/>
      <c r="AG130" s="34"/>
      <c r="AH130" s="34"/>
      <c r="AI130" s="34"/>
      <c r="AJ130" s="34"/>
      <c r="AK130" s="34"/>
      <c r="AL130" s="34"/>
      <c r="AM130" s="34"/>
      <c r="AN130" s="141"/>
      <c r="AO130" s="34"/>
      <c r="AP130" s="34"/>
      <c r="AQ130" s="34"/>
      <c r="AR130" s="34"/>
      <c r="AS130" s="34"/>
      <c r="AT130" s="34"/>
      <c r="AU130" s="34"/>
      <c r="AV130" s="34"/>
    </row>
    <row r="131" spans="1:48" ht="12.75" customHeight="1">
      <c r="A131" s="34"/>
      <c r="B131" s="80"/>
      <c r="C131" s="43">
        <v>87</v>
      </c>
      <c r="D131" s="708"/>
      <c r="E131" s="588"/>
      <c r="F131" s="379"/>
      <c r="G131" s="34"/>
      <c r="H131" s="34"/>
      <c r="I131" s="34"/>
      <c r="J131" s="34"/>
      <c r="K131" s="34"/>
      <c r="L131" s="34"/>
      <c r="M131" s="34"/>
      <c r="N131" s="34"/>
      <c r="O131" s="34"/>
      <c r="P131" s="34"/>
      <c r="Q131" s="34"/>
      <c r="R131" s="34"/>
      <c r="S131" s="34"/>
      <c r="T131" s="141"/>
      <c r="U131" s="34"/>
      <c r="V131" s="80"/>
      <c r="W131" s="43">
        <v>87</v>
      </c>
      <c r="X131" s="708"/>
      <c r="Y131" s="588"/>
      <c r="Z131" s="379"/>
      <c r="AA131" s="34"/>
      <c r="AB131" s="34"/>
      <c r="AC131" s="34"/>
      <c r="AD131" s="34"/>
      <c r="AE131" s="34"/>
      <c r="AF131" s="34"/>
      <c r="AG131" s="34"/>
      <c r="AH131" s="34"/>
      <c r="AI131" s="34"/>
      <c r="AJ131" s="34"/>
      <c r="AK131" s="34"/>
      <c r="AL131" s="34"/>
      <c r="AM131" s="34"/>
      <c r="AN131" s="141"/>
      <c r="AO131" s="34"/>
      <c r="AP131" s="34"/>
      <c r="AQ131" s="34"/>
      <c r="AR131" s="34"/>
      <c r="AS131" s="34"/>
      <c r="AT131" s="34"/>
      <c r="AU131" s="34"/>
      <c r="AV131" s="34"/>
    </row>
    <row r="132" spans="1:48" ht="12.75" customHeight="1">
      <c r="A132" s="34"/>
      <c r="B132" s="80"/>
      <c r="C132" s="43">
        <v>88</v>
      </c>
      <c r="D132" s="708"/>
      <c r="E132" s="588"/>
      <c r="F132" s="379"/>
      <c r="G132" s="34"/>
      <c r="H132" s="34"/>
      <c r="I132" s="34"/>
      <c r="J132" s="34"/>
      <c r="K132" s="34"/>
      <c r="L132" s="34"/>
      <c r="M132" s="34"/>
      <c r="N132" s="34"/>
      <c r="O132" s="34"/>
      <c r="P132" s="34"/>
      <c r="Q132" s="34"/>
      <c r="R132" s="34"/>
      <c r="S132" s="34"/>
      <c r="T132" s="141"/>
      <c r="U132" s="34"/>
      <c r="V132" s="80"/>
      <c r="W132" s="43">
        <v>88</v>
      </c>
      <c r="X132" s="708"/>
      <c r="Y132" s="588"/>
      <c r="Z132" s="379"/>
      <c r="AA132" s="34"/>
      <c r="AB132" s="34"/>
      <c r="AC132" s="34"/>
      <c r="AD132" s="34"/>
      <c r="AE132" s="34"/>
      <c r="AF132" s="34"/>
      <c r="AG132" s="34"/>
      <c r="AH132" s="34"/>
      <c r="AI132" s="34"/>
      <c r="AJ132" s="34"/>
      <c r="AK132" s="34"/>
      <c r="AL132" s="34"/>
      <c r="AM132" s="34"/>
      <c r="AN132" s="141"/>
      <c r="AO132" s="34"/>
      <c r="AP132" s="34"/>
      <c r="AQ132" s="34"/>
      <c r="AR132" s="34"/>
      <c r="AS132" s="34"/>
      <c r="AT132" s="34"/>
      <c r="AU132" s="34"/>
      <c r="AV132" s="34"/>
    </row>
    <row r="133" spans="1:48" ht="12.75" customHeight="1">
      <c r="A133" s="34"/>
      <c r="B133" s="80"/>
      <c r="C133" s="43">
        <v>89</v>
      </c>
      <c r="D133" s="708"/>
      <c r="E133" s="588"/>
      <c r="F133" s="379"/>
      <c r="G133" s="34"/>
      <c r="H133" s="34"/>
      <c r="I133" s="34"/>
      <c r="J133" s="34"/>
      <c r="K133" s="34"/>
      <c r="L133" s="34"/>
      <c r="M133" s="34"/>
      <c r="N133" s="34"/>
      <c r="O133" s="34"/>
      <c r="P133" s="34"/>
      <c r="Q133" s="34"/>
      <c r="R133" s="34"/>
      <c r="S133" s="34"/>
      <c r="T133" s="141"/>
      <c r="U133" s="34"/>
      <c r="V133" s="80"/>
      <c r="W133" s="43">
        <v>89</v>
      </c>
      <c r="X133" s="708"/>
      <c r="Y133" s="588"/>
      <c r="Z133" s="379"/>
      <c r="AA133" s="34"/>
      <c r="AB133" s="34"/>
      <c r="AC133" s="34"/>
      <c r="AD133" s="34"/>
      <c r="AE133" s="34"/>
      <c r="AF133" s="34"/>
      <c r="AG133" s="34"/>
      <c r="AH133" s="34"/>
      <c r="AI133" s="34"/>
      <c r="AJ133" s="34"/>
      <c r="AK133" s="34"/>
      <c r="AL133" s="34"/>
      <c r="AM133" s="34"/>
      <c r="AN133" s="141"/>
      <c r="AO133" s="34"/>
      <c r="AP133" s="34"/>
      <c r="AQ133" s="34"/>
      <c r="AR133" s="34"/>
      <c r="AS133" s="34"/>
      <c r="AT133" s="34"/>
      <c r="AU133" s="34"/>
      <c r="AV133" s="34"/>
    </row>
    <row r="134" spans="1:48" ht="12.75" customHeight="1">
      <c r="A134" s="34"/>
      <c r="B134" s="80"/>
      <c r="C134" s="43">
        <v>90</v>
      </c>
      <c r="D134" s="708"/>
      <c r="E134" s="588"/>
      <c r="F134" s="379"/>
      <c r="G134" s="34"/>
      <c r="H134" s="34"/>
      <c r="I134" s="34"/>
      <c r="J134" s="34"/>
      <c r="K134" s="34"/>
      <c r="L134" s="34"/>
      <c r="M134" s="34"/>
      <c r="N134" s="34"/>
      <c r="O134" s="34"/>
      <c r="P134" s="34"/>
      <c r="Q134" s="34"/>
      <c r="R134" s="34"/>
      <c r="S134" s="34"/>
      <c r="T134" s="141"/>
      <c r="U134" s="34"/>
      <c r="V134" s="80"/>
      <c r="W134" s="43">
        <v>90</v>
      </c>
      <c r="X134" s="708"/>
      <c r="Y134" s="588"/>
      <c r="Z134" s="379"/>
      <c r="AA134" s="34"/>
      <c r="AB134" s="34"/>
      <c r="AC134" s="34"/>
      <c r="AD134" s="34"/>
      <c r="AE134" s="34"/>
      <c r="AF134" s="34"/>
      <c r="AG134" s="34"/>
      <c r="AH134" s="34"/>
      <c r="AI134" s="34"/>
      <c r="AJ134" s="34"/>
      <c r="AK134" s="34"/>
      <c r="AL134" s="34"/>
      <c r="AM134" s="34"/>
      <c r="AN134" s="141"/>
      <c r="AO134" s="34"/>
      <c r="AP134" s="34"/>
      <c r="AQ134" s="34"/>
      <c r="AR134" s="34"/>
      <c r="AS134" s="34"/>
      <c r="AT134" s="34"/>
      <c r="AU134" s="34"/>
      <c r="AV134" s="34"/>
    </row>
    <row r="135" spans="1:48" ht="12.75" customHeight="1">
      <c r="A135" s="34"/>
      <c r="B135" s="80"/>
      <c r="C135" s="43">
        <v>91</v>
      </c>
      <c r="D135" s="708"/>
      <c r="E135" s="588"/>
      <c r="F135" s="379"/>
      <c r="G135" s="34"/>
      <c r="H135" s="34"/>
      <c r="I135" s="34"/>
      <c r="J135" s="34"/>
      <c r="K135" s="34"/>
      <c r="L135" s="34"/>
      <c r="M135" s="34"/>
      <c r="N135" s="34"/>
      <c r="O135" s="34"/>
      <c r="P135" s="34"/>
      <c r="Q135" s="34"/>
      <c r="R135" s="34"/>
      <c r="S135" s="34"/>
      <c r="T135" s="141"/>
      <c r="U135" s="34"/>
      <c r="V135" s="80"/>
      <c r="W135" s="43">
        <v>91</v>
      </c>
      <c r="X135" s="708"/>
      <c r="Y135" s="588"/>
      <c r="Z135" s="379"/>
      <c r="AA135" s="34"/>
      <c r="AB135" s="34"/>
      <c r="AC135" s="34"/>
      <c r="AD135" s="34"/>
      <c r="AE135" s="34"/>
      <c r="AF135" s="34"/>
      <c r="AG135" s="34"/>
      <c r="AH135" s="34"/>
      <c r="AI135" s="34"/>
      <c r="AJ135" s="34"/>
      <c r="AK135" s="34"/>
      <c r="AL135" s="34"/>
      <c r="AM135" s="34"/>
      <c r="AN135" s="141"/>
      <c r="AO135" s="34"/>
      <c r="AP135" s="34"/>
      <c r="AQ135" s="34"/>
      <c r="AR135" s="34"/>
      <c r="AS135" s="34"/>
      <c r="AT135" s="34"/>
      <c r="AU135" s="34"/>
      <c r="AV135" s="34"/>
    </row>
    <row r="136" spans="1:48" ht="12.75" customHeight="1">
      <c r="A136" s="34"/>
      <c r="B136" s="80"/>
      <c r="C136" s="43">
        <v>92</v>
      </c>
      <c r="D136" s="708"/>
      <c r="E136" s="588"/>
      <c r="F136" s="379"/>
      <c r="G136" s="34"/>
      <c r="H136" s="34"/>
      <c r="I136" s="34"/>
      <c r="J136" s="34"/>
      <c r="K136" s="34"/>
      <c r="L136" s="34"/>
      <c r="M136" s="34"/>
      <c r="N136" s="34"/>
      <c r="O136" s="34"/>
      <c r="P136" s="34"/>
      <c r="Q136" s="34"/>
      <c r="R136" s="34"/>
      <c r="S136" s="34"/>
      <c r="T136" s="141"/>
      <c r="U136" s="34"/>
      <c r="V136" s="80"/>
      <c r="W136" s="43">
        <v>92</v>
      </c>
      <c r="X136" s="708"/>
      <c r="Y136" s="588"/>
      <c r="Z136" s="379"/>
      <c r="AA136" s="34"/>
      <c r="AB136" s="34"/>
      <c r="AC136" s="34"/>
      <c r="AD136" s="34"/>
      <c r="AE136" s="34"/>
      <c r="AF136" s="34"/>
      <c r="AG136" s="34"/>
      <c r="AH136" s="34"/>
      <c r="AI136" s="34"/>
      <c r="AJ136" s="34"/>
      <c r="AK136" s="34"/>
      <c r="AL136" s="34"/>
      <c r="AM136" s="34"/>
      <c r="AN136" s="141"/>
      <c r="AO136" s="34"/>
      <c r="AP136" s="34"/>
      <c r="AQ136" s="34"/>
      <c r="AR136" s="34"/>
      <c r="AS136" s="34"/>
      <c r="AT136" s="34"/>
      <c r="AU136" s="34"/>
      <c r="AV136" s="34"/>
    </row>
    <row r="137" spans="1:48" ht="12.75" customHeight="1">
      <c r="A137" s="34"/>
      <c r="B137" s="80"/>
      <c r="C137" s="43">
        <v>93</v>
      </c>
      <c r="D137" s="708"/>
      <c r="E137" s="588"/>
      <c r="F137" s="379"/>
      <c r="G137" s="34"/>
      <c r="H137" s="34"/>
      <c r="I137" s="34"/>
      <c r="J137" s="34"/>
      <c r="K137" s="34"/>
      <c r="L137" s="34"/>
      <c r="M137" s="34"/>
      <c r="N137" s="34"/>
      <c r="O137" s="34"/>
      <c r="P137" s="34"/>
      <c r="Q137" s="34"/>
      <c r="R137" s="34"/>
      <c r="S137" s="34"/>
      <c r="T137" s="141"/>
      <c r="U137" s="34"/>
      <c r="V137" s="80"/>
      <c r="W137" s="43">
        <v>93</v>
      </c>
      <c r="X137" s="708"/>
      <c r="Y137" s="588"/>
      <c r="Z137" s="379"/>
      <c r="AA137" s="34"/>
      <c r="AB137" s="34"/>
      <c r="AC137" s="34"/>
      <c r="AD137" s="34"/>
      <c r="AE137" s="34"/>
      <c r="AF137" s="34"/>
      <c r="AG137" s="34"/>
      <c r="AH137" s="34"/>
      <c r="AI137" s="34"/>
      <c r="AJ137" s="34"/>
      <c r="AK137" s="34"/>
      <c r="AL137" s="34"/>
      <c r="AM137" s="34"/>
      <c r="AN137" s="141"/>
      <c r="AO137" s="34"/>
      <c r="AP137" s="34"/>
      <c r="AQ137" s="34"/>
      <c r="AR137" s="34"/>
      <c r="AS137" s="34"/>
      <c r="AT137" s="34"/>
      <c r="AU137" s="34"/>
      <c r="AV137" s="34"/>
    </row>
    <row r="138" spans="1:48" ht="12.75" customHeight="1">
      <c r="A138" s="34"/>
      <c r="B138" s="80"/>
      <c r="C138" s="43">
        <v>94</v>
      </c>
      <c r="D138" s="708"/>
      <c r="E138" s="588"/>
      <c r="F138" s="379"/>
      <c r="G138" s="34"/>
      <c r="H138" s="34"/>
      <c r="I138" s="34"/>
      <c r="J138" s="34"/>
      <c r="K138" s="34"/>
      <c r="L138" s="34"/>
      <c r="M138" s="34"/>
      <c r="N138" s="34"/>
      <c r="O138" s="34"/>
      <c r="P138" s="34"/>
      <c r="Q138" s="34"/>
      <c r="R138" s="34"/>
      <c r="S138" s="34"/>
      <c r="T138" s="141"/>
      <c r="U138" s="34"/>
      <c r="V138" s="80"/>
      <c r="W138" s="43">
        <v>94</v>
      </c>
      <c r="X138" s="708"/>
      <c r="Y138" s="588"/>
      <c r="Z138" s="379"/>
      <c r="AA138" s="34"/>
      <c r="AB138" s="34"/>
      <c r="AC138" s="34"/>
      <c r="AD138" s="34"/>
      <c r="AE138" s="34"/>
      <c r="AF138" s="34"/>
      <c r="AG138" s="34"/>
      <c r="AH138" s="34"/>
      <c r="AI138" s="34"/>
      <c r="AJ138" s="34"/>
      <c r="AK138" s="34"/>
      <c r="AL138" s="34"/>
      <c r="AM138" s="34"/>
      <c r="AN138" s="141"/>
      <c r="AO138" s="34"/>
      <c r="AP138" s="34"/>
      <c r="AQ138" s="34"/>
      <c r="AR138" s="34"/>
      <c r="AS138" s="34"/>
      <c r="AT138" s="34"/>
      <c r="AU138" s="34"/>
      <c r="AV138" s="34"/>
    </row>
    <row r="139" spans="1:48" ht="12.75" customHeight="1">
      <c r="A139" s="34"/>
      <c r="B139" s="80"/>
      <c r="C139" s="43">
        <v>95</v>
      </c>
      <c r="D139" s="708"/>
      <c r="E139" s="588"/>
      <c r="F139" s="379"/>
      <c r="G139" s="34"/>
      <c r="H139" s="34"/>
      <c r="I139" s="34"/>
      <c r="J139" s="34"/>
      <c r="K139" s="34"/>
      <c r="L139" s="34"/>
      <c r="M139" s="34"/>
      <c r="N139" s="34"/>
      <c r="O139" s="34"/>
      <c r="P139" s="34"/>
      <c r="Q139" s="34"/>
      <c r="R139" s="34"/>
      <c r="S139" s="34"/>
      <c r="T139" s="141"/>
      <c r="U139" s="34"/>
      <c r="V139" s="80"/>
      <c r="W139" s="43">
        <v>95</v>
      </c>
      <c r="X139" s="708"/>
      <c r="Y139" s="588"/>
      <c r="Z139" s="379"/>
      <c r="AA139" s="34"/>
      <c r="AB139" s="34"/>
      <c r="AC139" s="34"/>
      <c r="AD139" s="34"/>
      <c r="AE139" s="34"/>
      <c r="AF139" s="34"/>
      <c r="AG139" s="34"/>
      <c r="AH139" s="34"/>
      <c r="AI139" s="34"/>
      <c r="AJ139" s="34"/>
      <c r="AK139" s="34"/>
      <c r="AL139" s="34"/>
      <c r="AM139" s="34"/>
      <c r="AN139" s="141"/>
      <c r="AO139" s="34"/>
      <c r="AP139" s="34"/>
      <c r="AQ139" s="34"/>
      <c r="AR139" s="34"/>
      <c r="AS139" s="34"/>
      <c r="AT139" s="34"/>
      <c r="AU139" s="34"/>
      <c r="AV139" s="34"/>
    </row>
    <row r="140" spans="1:48" ht="12.75" customHeight="1">
      <c r="A140" s="34"/>
      <c r="B140" s="80"/>
      <c r="C140" s="43">
        <v>96</v>
      </c>
      <c r="D140" s="708"/>
      <c r="E140" s="588"/>
      <c r="F140" s="379"/>
      <c r="G140" s="34"/>
      <c r="H140" s="34"/>
      <c r="I140" s="34"/>
      <c r="J140" s="34"/>
      <c r="K140" s="34"/>
      <c r="L140" s="34"/>
      <c r="M140" s="34"/>
      <c r="N140" s="34"/>
      <c r="O140" s="34"/>
      <c r="P140" s="34"/>
      <c r="Q140" s="34"/>
      <c r="R140" s="34"/>
      <c r="S140" s="34"/>
      <c r="T140" s="141"/>
      <c r="U140" s="34"/>
      <c r="V140" s="80"/>
      <c r="W140" s="43">
        <v>96</v>
      </c>
      <c r="X140" s="708"/>
      <c r="Y140" s="588"/>
      <c r="Z140" s="379"/>
      <c r="AA140" s="34"/>
      <c r="AB140" s="34"/>
      <c r="AC140" s="34"/>
      <c r="AD140" s="34"/>
      <c r="AE140" s="34"/>
      <c r="AF140" s="34"/>
      <c r="AG140" s="34"/>
      <c r="AH140" s="34"/>
      <c r="AI140" s="34"/>
      <c r="AJ140" s="34"/>
      <c r="AK140" s="34"/>
      <c r="AL140" s="34"/>
      <c r="AM140" s="34"/>
      <c r="AN140" s="141"/>
      <c r="AO140" s="34"/>
      <c r="AP140" s="34"/>
      <c r="AQ140" s="34"/>
      <c r="AR140" s="34"/>
      <c r="AS140" s="34"/>
      <c r="AT140" s="34"/>
      <c r="AU140" s="34"/>
      <c r="AV140" s="34"/>
    </row>
    <row r="141" spans="1:48" ht="12.75" customHeight="1">
      <c r="A141" s="34"/>
      <c r="B141" s="80"/>
      <c r="C141" s="43">
        <v>97</v>
      </c>
      <c r="D141" s="708"/>
      <c r="E141" s="588"/>
      <c r="F141" s="379"/>
      <c r="G141" s="34"/>
      <c r="H141" s="34"/>
      <c r="I141" s="34"/>
      <c r="J141" s="34"/>
      <c r="K141" s="34"/>
      <c r="L141" s="34"/>
      <c r="M141" s="34"/>
      <c r="N141" s="34"/>
      <c r="O141" s="34"/>
      <c r="P141" s="34"/>
      <c r="Q141" s="34"/>
      <c r="R141" s="34"/>
      <c r="S141" s="34"/>
      <c r="T141" s="141"/>
      <c r="U141" s="34"/>
      <c r="V141" s="80"/>
      <c r="W141" s="43">
        <v>97</v>
      </c>
      <c r="X141" s="708"/>
      <c r="Y141" s="588"/>
      <c r="Z141" s="379"/>
      <c r="AA141" s="34"/>
      <c r="AB141" s="34"/>
      <c r="AC141" s="34"/>
      <c r="AD141" s="34"/>
      <c r="AE141" s="34"/>
      <c r="AF141" s="34"/>
      <c r="AG141" s="34"/>
      <c r="AH141" s="34"/>
      <c r="AI141" s="34"/>
      <c r="AJ141" s="34"/>
      <c r="AK141" s="34"/>
      <c r="AL141" s="34"/>
      <c r="AM141" s="34"/>
      <c r="AN141" s="141"/>
      <c r="AO141" s="34"/>
      <c r="AP141" s="34"/>
      <c r="AQ141" s="34"/>
      <c r="AR141" s="34"/>
      <c r="AS141" s="34"/>
      <c r="AT141" s="34"/>
      <c r="AU141" s="34"/>
      <c r="AV141" s="34"/>
    </row>
    <row r="142" spans="1:48" ht="12.75" customHeight="1">
      <c r="A142" s="34"/>
      <c r="B142" s="80"/>
      <c r="C142" s="43">
        <v>98</v>
      </c>
      <c r="D142" s="708"/>
      <c r="E142" s="588"/>
      <c r="F142" s="379"/>
      <c r="G142" s="34"/>
      <c r="H142" s="34"/>
      <c r="I142" s="34"/>
      <c r="J142" s="34"/>
      <c r="K142" s="34"/>
      <c r="L142" s="34"/>
      <c r="M142" s="34"/>
      <c r="N142" s="34"/>
      <c r="O142" s="34"/>
      <c r="P142" s="34"/>
      <c r="Q142" s="34"/>
      <c r="R142" s="34"/>
      <c r="S142" s="34"/>
      <c r="T142" s="141"/>
      <c r="U142" s="34"/>
      <c r="V142" s="80"/>
      <c r="W142" s="43">
        <v>98</v>
      </c>
      <c r="X142" s="708"/>
      <c r="Y142" s="588"/>
      <c r="Z142" s="379"/>
      <c r="AA142" s="34"/>
      <c r="AB142" s="34"/>
      <c r="AC142" s="34"/>
      <c r="AD142" s="34"/>
      <c r="AE142" s="34"/>
      <c r="AF142" s="34"/>
      <c r="AG142" s="34"/>
      <c r="AH142" s="34"/>
      <c r="AI142" s="34"/>
      <c r="AJ142" s="34"/>
      <c r="AK142" s="34"/>
      <c r="AL142" s="34"/>
      <c r="AM142" s="34"/>
      <c r="AN142" s="141"/>
      <c r="AO142" s="34"/>
      <c r="AP142" s="34"/>
      <c r="AQ142" s="34"/>
      <c r="AR142" s="34"/>
      <c r="AS142" s="34"/>
      <c r="AT142" s="34"/>
      <c r="AU142" s="34"/>
      <c r="AV142" s="34"/>
    </row>
    <row r="143" spans="1:48" ht="12.75" customHeight="1">
      <c r="A143" s="34"/>
      <c r="B143" s="80"/>
      <c r="C143" s="43">
        <v>99</v>
      </c>
      <c r="D143" s="708"/>
      <c r="E143" s="588"/>
      <c r="F143" s="379"/>
      <c r="G143" s="34"/>
      <c r="H143" s="34"/>
      <c r="I143" s="34"/>
      <c r="J143" s="34"/>
      <c r="K143" s="34"/>
      <c r="L143" s="34"/>
      <c r="M143" s="34"/>
      <c r="N143" s="34"/>
      <c r="O143" s="34"/>
      <c r="P143" s="34"/>
      <c r="Q143" s="34"/>
      <c r="R143" s="34"/>
      <c r="S143" s="34"/>
      <c r="T143" s="141"/>
      <c r="U143" s="34"/>
      <c r="V143" s="80"/>
      <c r="W143" s="43">
        <v>99</v>
      </c>
      <c r="X143" s="708"/>
      <c r="Y143" s="588"/>
      <c r="Z143" s="379"/>
      <c r="AA143" s="34"/>
      <c r="AB143" s="34"/>
      <c r="AC143" s="34"/>
      <c r="AD143" s="34"/>
      <c r="AE143" s="34"/>
      <c r="AF143" s="34"/>
      <c r="AG143" s="34"/>
      <c r="AH143" s="34"/>
      <c r="AI143" s="34"/>
      <c r="AJ143" s="34"/>
      <c r="AK143" s="34"/>
      <c r="AL143" s="34"/>
      <c r="AM143" s="34"/>
      <c r="AN143" s="141"/>
      <c r="AO143" s="34"/>
      <c r="AP143" s="34"/>
      <c r="AQ143" s="34"/>
      <c r="AR143" s="34"/>
      <c r="AS143" s="34"/>
      <c r="AT143" s="34"/>
      <c r="AU143" s="34"/>
      <c r="AV143" s="34"/>
    </row>
    <row r="144" spans="1:48" ht="12.75" customHeight="1">
      <c r="A144" s="34"/>
      <c r="B144" s="80"/>
      <c r="C144" s="43">
        <v>100</v>
      </c>
      <c r="D144" s="708"/>
      <c r="E144" s="588"/>
      <c r="F144" s="379"/>
      <c r="G144" s="34"/>
      <c r="H144" s="34"/>
      <c r="I144" s="34"/>
      <c r="J144" s="34"/>
      <c r="K144" s="34"/>
      <c r="L144" s="34"/>
      <c r="M144" s="34"/>
      <c r="N144" s="34"/>
      <c r="O144" s="34"/>
      <c r="P144" s="34"/>
      <c r="Q144" s="34"/>
      <c r="R144" s="34"/>
      <c r="S144" s="34"/>
      <c r="T144" s="141"/>
      <c r="U144" s="34"/>
      <c r="V144" s="80"/>
      <c r="W144" s="43">
        <v>100</v>
      </c>
      <c r="X144" s="708"/>
      <c r="Y144" s="588"/>
      <c r="Z144" s="379"/>
      <c r="AA144" s="34"/>
      <c r="AB144" s="34"/>
      <c r="AC144" s="34"/>
      <c r="AD144" s="34"/>
      <c r="AE144" s="34"/>
      <c r="AF144" s="34"/>
      <c r="AG144" s="34"/>
      <c r="AH144" s="34"/>
      <c r="AI144" s="34"/>
      <c r="AJ144" s="34"/>
      <c r="AK144" s="34"/>
      <c r="AL144" s="34"/>
      <c r="AM144" s="34"/>
      <c r="AN144" s="141"/>
      <c r="AO144" s="34"/>
      <c r="AP144" s="34"/>
      <c r="AQ144" s="34"/>
      <c r="AR144" s="34"/>
      <c r="AS144" s="34"/>
      <c r="AT144" s="34"/>
      <c r="AU144" s="34"/>
      <c r="AV144" s="34"/>
    </row>
    <row r="145" spans="1:48" ht="12.75" customHeight="1">
      <c r="A145" s="34"/>
      <c r="B145" s="80"/>
      <c r="C145" s="43">
        <v>101</v>
      </c>
      <c r="D145" s="708"/>
      <c r="E145" s="588"/>
      <c r="F145" s="379"/>
      <c r="G145" s="34"/>
      <c r="H145" s="34"/>
      <c r="I145" s="34"/>
      <c r="J145" s="34"/>
      <c r="K145" s="34"/>
      <c r="L145" s="34"/>
      <c r="M145" s="34"/>
      <c r="N145" s="34"/>
      <c r="O145" s="34"/>
      <c r="P145" s="34"/>
      <c r="Q145" s="34"/>
      <c r="R145" s="34"/>
      <c r="S145" s="34"/>
      <c r="T145" s="141"/>
      <c r="U145" s="34"/>
      <c r="V145" s="80"/>
      <c r="W145" s="43">
        <v>101</v>
      </c>
      <c r="X145" s="708"/>
      <c r="Y145" s="588"/>
      <c r="Z145" s="379"/>
      <c r="AA145" s="34"/>
      <c r="AB145" s="34"/>
      <c r="AC145" s="34"/>
      <c r="AD145" s="34"/>
      <c r="AE145" s="34"/>
      <c r="AF145" s="34"/>
      <c r="AG145" s="34"/>
      <c r="AH145" s="34"/>
      <c r="AI145" s="34"/>
      <c r="AJ145" s="34"/>
      <c r="AK145" s="34"/>
      <c r="AL145" s="34"/>
      <c r="AM145" s="34"/>
      <c r="AN145" s="141"/>
      <c r="AO145" s="34"/>
      <c r="AP145" s="34"/>
      <c r="AQ145" s="34"/>
      <c r="AR145" s="34"/>
      <c r="AS145" s="34"/>
      <c r="AT145" s="34"/>
      <c r="AU145" s="34"/>
      <c r="AV145" s="34"/>
    </row>
    <row r="146" spans="1:48" ht="12.75" customHeight="1">
      <c r="A146" s="34"/>
      <c r="B146" s="80"/>
      <c r="C146" s="43">
        <v>102</v>
      </c>
      <c r="D146" s="708"/>
      <c r="E146" s="588"/>
      <c r="F146" s="379"/>
      <c r="G146" s="34"/>
      <c r="H146" s="34"/>
      <c r="I146" s="34"/>
      <c r="J146" s="34"/>
      <c r="K146" s="34"/>
      <c r="L146" s="34"/>
      <c r="M146" s="34"/>
      <c r="N146" s="34"/>
      <c r="O146" s="34"/>
      <c r="P146" s="34"/>
      <c r="Q146" s="34"/>
      <c r="R146" s="34"/>
      <c r="S146" s="34"/>
      <c r="T146" s="141"/>
      <c r="U146" s="34"/>
      <c r="V146" s="80"/>
      <c r="W146" s="43">
        <v>102</v>
      </c>
      <c r="X146" s="708"/>
      <c r="Y146" s="588"/>
      <c r="Z146" s="379"/>
      <c r="AA146" s="34"/>
      <c r="AB146" s="34"/>
      <c r="AC146" s="34"/>
      <c r="AD146" s="34"/>
      <c r="AE146" s="34"/>
      <c r="AF146" s="34"/>
      <c r="AG146" s="34"/>
      <c r="AH146" s="34"/>
      <c r="AI146" s="34"/>
      <c r="AJ146" s="34"/>
      <c r="AK146" s="34"/>
      <c r="AL146" s="34"/>
      <c r="AM146" s="34"/>
      <c r="AN146" s="141"/>
      <c r="AO146" s="34"/>
      <c r="AP146" s="34"/>
      <c r="AQ146" s="34"/>
      <c r="AR146" s="34"/>
      <c r="AS146" s="34"/>
      <c r="AT146" s="34"/>
      <c r="AU146" s="34"/>
      <c r="AV146" s="34"/>
    </row>
    <row r="147" spans="1:48" ht="12.75" customHeight="1">
      <c r="A147" s="34"/>
      <c r="B147" s="80"/>
      <c r="C147" s="43">
        <v>103</v>
      </c>
      <c r="D147" s="708"/>
      <c r="E147" s="588"/>
      <c r="F147" s="379"/>
      <c r="G147" s="34"/>
      <c r="H147" s="34"/>
      <c r="I147" s="34"/>
      <c r="J147" s="34"/>
      <c r="K147" s="34"/>
      <c r="L147" s="34"/>
      <c r="M147" s="34"/>
      <c r="N147" s="34"/>
      <c r="O147" s="34"/>
      <c r="P147" s="34"/>
      <c r="Q147" s="34"/>
      <c r="R147" s="34"/>
      <c r="S147" s="34"/>
      <c r="T147" s="141"/>
      <c r="U147" s="34"/>
      <c r="V147" s="80"/>
      <c r="W147" s="43">
        <v>103</v>
      </c>
      <c r="X147" s="708"/>
      <c r="Y147" s="588"/>
      <c r="Z147" s="379"/>
      <c r="AA147" s="34"/>
      <c r="AB147" s="34"/>
      <c r="AC147" s="34"/>
      <c r="AD147" s="34"/>
      <c r="AE147" s="34"/>
      <c r="AF147" s="34"/>
      <c r="AG147" s="34"/>
      <c r="AH147" s="34"/>
      <c r="AI147" s="34"/>
      <c r="AJ147" s="34"/>
      <c r="AK147" s="34"/>
      <c r="AL147" s="34"/>
      <c r="AM147" s="34"/>
      <c r="AN147" s="141"/>
      <c r="AO147" s="34"/>
      <c r="AP147" s="34"/>
      <c r="AQ147" s="34"/>
      <c r="AR147" s="34"/>
      <c r="AS147" s="34"/>
      <c r="AT147" s="34"/>
      <c r="AU147" s="34"/>
      <c r="AV147" s="34"/>
    </row>
    <row r="148" spans="1:48" ht="12.75" customHeight="1">
      <c r="A148" s="34"/>
      <c r="B148" s="80"/>
      <c r="C148" s="43">
        <v>104</v>
      </c>
      <c r="D148" s="708"/>
      <c r="E148" s="588"/>
      <c r="F148" s="379"/>
      <c r="G148" s="34"/>
      <c r="H148" s="34"/>
      <c r="I148" s="34"/>
      <c r="J148" s="34"/>
      <c r="K148" s="34"/>
      <c r="L148" s="34"/>
      <c r="M148" s="34"/>
      <c r="N148" s="34"/>
      <c r="O148" s="34"/>
      <c r="P148" s="34"/>
      <c r="Q148" s="34"/>
      <c r="R148" s="34"/>
      <c r="S148" s="34"/>
      <c r="T148" s="141"/>
      <c r="U148" s="34"/>
      <c r="V148" s="80"/>
      <c r="W148" s="43">
        <v>104</v>
      </c>
      <c r="X148" s="708"/>
      <c r="Y148" s="588"/>
      <c r="Z148" s="379"/>
      <c r="AA148" s="34"/>
      <c r="AB148" s="34"/>
      <c r="AC148" s="34"/>
      <c r="AD148" s="34"/>
      <c r="AE148" s="34"/>
      <c r="AF148" s="34"/>
      <c r="AG148" s="34"/>
      <c r="AH148" s="34"/>
      <c r="AI148" s="34"/>
      <c r="AJ148" s="34"/>
      <c r="AK148" s="34"/>
      <c r="AL148" s="34"/>
      <c r="AM148" s="34"/>
      <c r="AN148" s="141"/>
      <c r="AO148" s="34"/>
      <c r="AP148" s="34"/>
      <c r="AQ148" s="34"/>
      <c r="AR148" s="34"/>
      <c r="AS148" s="34"/>
      <c r="AT148" s="34"/>
      <c r="AU148" s="34"/>
      <c r="AV148" s="34"/>
    </row>
    <row r="149" spans="1:48" ht="12.75" customHeight="1">
      <c r="A149" s="34"/>
      <c r="B149" s="80"/>
      <c r="C149" s="43">
        <v>105</v>
      </c>
      <c r="D149" s="708"/>
      <c r="E149" s="588"/>
      <c r="F149" s="379"/>
      <c r="G149" s="34"/>
      <c r="H149" s="34"/>
      <c r="I149" s="34"/>
      <c r="J149" s="34"/>
      <c r="K149" s="34"/>
      <c r="L149" s="34"/>
      <c r="M149" s="34"/>
      <c r="N149" s="34"/>
      <c r="O149" s="34"/>
      <c r="P149" s="34"/>
      <c r="Q149" s="34"/>
      <c r="R149" s="34"/>
      <c r="S149" s="34"/>
      <c r="T149" s="141"/>
      <c r="U149" s="34"/>
      <c r="V149" s="80"/>
      <c r="W149" s="43">
        <v>105</v>
      </c>
      <c r="X149" s="708"/>
      <c r="Y149" s="588"/>
      <c r="Z149" s="379"/>
      <c r="AA149" s="34"/>
      <c r="AB149" s="34"/>
      <c r="AC149" s="34"/>
      <c r="AD149" s="34"/>
      <c r="AE149" s="34"/>
      <c r="AF149" s="34"/>
      <c r="AG149" s="34"/>
      <c r="AH149" s="34"/>
      <c r="AI149" s="34"/>
      <c r="AJ149" s="34"/>
      <c r="AK149" s="34"/>
      <c r="AL149" s="34"/>
      <c r="AM149" s="34"/>
      <c r="AN149" s="141"/>
      <c r="AO149" s="34"/>
      <c r="AP149" s="34"/>
      <c r="AQ149" s="34"/>
      <c r="AR149" s="34"/>
      <c r="AS149" s="34"/>
      <c r="AT149" s="34"/>
      <c r="AU149" s="34"/>
      <c r="AV149" s="34"/>
    </row>
    <row r="150" spans="1:48" ht="12.75" customHeight="1">
      <c r="A150" s="34"/>
      <c r="B150" s="80"/>
      <c r="C150" s="43">
        <v>106</v>
      </c>
      <c r="D150" s="708"/>
      <c r="E150" s="588"/>
      <c r="F150" s="379"/>
      <c r="G150" s="34"/>
      <c r="H150" s="34"/>
      <c r="I150" s="34"/>
      <c r="J150" s="34"/>
      <c r="K150" s="34"/>
      <c r="L150" s="34"/>
      <c r="M150" s="34"/>
      <c r="N150" s="34"/>
      <c r="O150" s="34"/>
      <c r="P150" s="34"/>
      <c r="Q150" s="34"/>
      <c r="R150" s="34"/>
      <c r="S150" s="34"/>
      <c r="T150" s="141"/>
      <c r="U150" s="34"/>
      <c r="V150" s="80"/>
      <c r="W150" s="43">
        <v>106</v>
      </c>
      <c r="X150" s="708"/>
      <c r="Y150" s="588"/>
      <c r="Z150" s="379"/>
      <c r="AA150" s="34"/>
      <c r="AB150" s="34"/>
      <c r="AC150" s="34"/>
      <c r="AD150" s="34"/>
      <c r="AE150" s="34"/>
      <c r="AF150" s="34"/>
      <c r="AG150" s="34"/>
      <c r="AH150" s="34"/>
      <c r="AI150" s="34"/>
      <c r="AJ150" s="34"/>
      <c r="AK150" s="34"/>
      <c r="AL150" s="34"/>
      <c r="AM150" s="34"/>
      <c r="AN150" s="141"/>
      <c r="AO150" s="34"/>
      <c r="AP150" s="34"/>
      <c r="AQ150" s="34"/>
      <c r="AR150" s="34"/>
      <c r="AS150" s="34"/>
      <c r="AT150" s="34"/>
      <c r="AU150" s="34"/>
      <c r="AV150" s="34"/>
    </row>
    <row r="151" spans="1:48" ht="12.75" customHeight="1">
      <c r="A151" s="34"/>
      <c r="B151" s="80"/>
      <c r="C151" s="43">
        <v>107</v>
      </c>
      <c r="D151" s="708"/>
      <c r="E151" s="588"/>
      <c r="F151" s="379"/>
      <c r="G151" s="34"/>
      <c r="H151" s="34"/>
      <c r="I151" s="34"/>
      <c r="J151" s="34"/>
      <c r="K151" s="34"/>
      <c r="L151" s="34"/>
      <c r="M151" s="34"/>
      <c r="N151" s="34"/>
      <c r="O151" s="34"/>
      <c r="P151" s="34"/>
      <c r="Q151" s="34"/>
      <c r="R151" s="34"/>
      <c r="S151" s="34"/>
      <c r="T151" s="141"/>
      <c r="U151" s="34"/>
      <c r="V151" s="80"/>
      <c r="W151" s="43">
        <v>107</v>
      </c>
      <c r="X151" s="708"/>
      <c r="Y151" s="588"/>
      <c r="Z151" s="379"/>
      <c r="AA151" s="34"/>
      <c r="AB151" s="34"/>
      <c r="AC151" s="34"/>
      <c r="AD151" s="34"/>
      <c r="AE151" s="34"/>
      <c r="AF151" s="34"/>
      <c r="AG151" s="34"/>
      <c r="AH151" s="34"/>
      <c r="AI151" s="34"/>
      <c r="AJ151" s="34"/>
      <c r="AK151" s="34"/>
      <c r="AL151" s="34"/>
      <c r="AM151" s="34"/>
      <c r="AN151" s="141"/>
      <c r="AO151" s="34"/>
      <c r="AP151" s="34"/>
      <c r="AQ151" s="34"/>
      <c r="AR151" s="34"/>
      <c r="AS151" s="34"/>
      <c r="AT151" s="34"/>
      <c r="AU151" s="34"/>
      <c r="AV151" s="34"/>
    </row>
    <row r="152" spans="1:48" ht="12.75" customHeight="1">
      <c r="A152" s="34"/>
      <c r="B152" s="80"/>
      <c r="C152" s="43">
        <v>108</v>
      </c>
      <c r="D152" s="708"/>
      <c r="E152" s="588"/>
      <c r="F152" s="379"/>
      <c r="G152" s="34"/>
      <c r="H152" s="34"/>
      <c r="I152" s="34"/>
      <c r="J152" s="34"/>
      <c r="K152" s="34"/>
      <c r="L152" s="34"/>
      <c r="M152" s="34"/>
      <c r="N152" s="34"/>
      <c r="O152" s="34"/>
      <c r="P152" s="34"/>
      <c r="Q152" s="34"/>
      <c r="R152" s="34"/>
      <c r="S152" s="34"/>
      <c r="T152" s="141"/>
      <c r="U152" s="34"/>
      <c r="V152" s="80"/>
      <c r="W152" s="43">
        <v>108</v>
      </c>
      <c r="X152" s="708"/>
      <c r="Y152" s="588"/>
      <c r="Z152" s="379"/>
      <c r="AA152" s="34"/>
      <c r="AB152" s="34"/>
      <c r="AC152" s="34"/>
      <c r="AD152" s="34"/>
      <c r="AE152" s="34"/>
      <c r="AF152" s="34"/>
      <c r="AG152" s="34"/>
      <c r="AH152" s="34"/>
      <c r="AI152" s="34"/>
      <c r="AJ152" s="34"/>
      <c r="AK152" s="34"/>
      <c r="AL152" s="34"/>
      <c r="AM152" s="34"/>
      <c r="AN152" s="141"/>
      <c r="AO152" s="34"/>
      <c r="AP152" s="34"/>
      <c r="AQ152" s="34"/>
      <c r="AR152" s="34"/>
      <c r="AS152" s="34"/>
      <c r="AT152" s="34"/>
      <c r="AU152" s="34"/>
      <c r="AV152" s="34"/>
    </row>
    <row r="153" spans="1:48" ht="12.75" customHeight="1">
      <c r="A153" s="34"/>
      <c r="B153" s="80"/>
      <c r="C153" s="43">
        <v>109</v>
      </c>
      <c r="D153" s="708"/>
      <c r="E153" s="588"/>
      <c r="F153" s="379"/>
      <c r="G153" s="34"/>
      <c r="H153" s="34"/>
      <c r="I153" s="34"/>
      <c r="J153" s="34"/>
      <c r="K153" s="34"/>
      <c r="L153" s="34"/>
      <c r="M153" s="34"/>
      <c r="N153" s="34"/>
      <c r="O153" s="34"/>
      <c r="P153" s="34"/>
      <c r="Q153" s="34"/>
      <c r="R153" s="34"/>
      <c r="S153" s="34"/>
      <c r="T153" s="141"/>
      <c r="U153" s="34"/>
      <c r="V153" s="80"/>
      <c r="W153" s="43">
        <v>109</v>
      </c>
      <c r="X153" s="708"/>
      <c r="Y153" s="588"/>
      <c r="Z153" s="379"/>
      <c r="AA153" s="34"/>
      <c r="AB153" s="34"/>
      <c r="AC153" s="34"/>
      <c r="AD153" s="34"/>
      <c r="AE153" s="34"/>
      <c r="AF153" s="34"/>
      <c r="AG153" s="34"/>
      <c r="AH153" s="34"/>
      <c r="AI153" s="34"/>
      <c r="AJ153" s="34"/>
      <c r="AK153" s="34"/>
      <c r="AL153" s="34"/>
      <c r="AM153" s="34"/>
      <c r="AN153" s="141"/>
      <c r="AO153" s="34"/>
      <c r="AP153" s="34"/>
      <c r="AQ153" s="34"/>
      <c r="AR153" s="34"/>
      <c r="AS153" s="34"/>
      <c r="AT153" s="34"/>
      <c r="AU153" s="34"/>
      <c r="AV153" s="34"/>
    </row>
    <row r="154" spans="1:48" ht="12.75" customHeight="1">
      <c r="A154" s="34"/>
      <c r="B154" s="80"/>
      <c r="C154" s="43">
        <v>110</v>
      </c>
      <c r="D154" s="708"/>
      <c r="E154" s="588"/>
      <c r="F154" s="379"/>
      <c r="G154" s="34"/>
      <c r="H154" s="34"/>
      <c r="I154" s="34"/>
      <c r="J154" s="34"/>
      <c r="K154" s="34"/>
      <c r="L154" s="34"/>
      <c r="M154" s="34"/>
      <c r="N154" s="34"/>
      <c r="O154" s="34"/>
      <c r="P154" s="34"/>
      <c r="Q154" s="34"/>
      <c r="R154" s="34"/>
      <c r="S154" s="34"/>
      <c r="T154" s="141"/>
      <c r="U154" s="34"/>
      <c r="V154" s="80"/>
      <c r="W154" s="43">
        <v>110</v>
      </c>
      <c r="X154" s="708"/>
      <c r="Y154" s="588"/>
      <c r="Z154" s="379"/>
      <c r="AA154" s="34"/>
      <c r="AB154" s="34"/>
      <c r="AC154" s="34"/>
      <c r="AD154" s="34"/>
      <c r="AE154" s="34"/>
      <c r="AF154" s="34"/>
      <c r="AG154" s="34"/>
      <c r="AH154" s="34"/>
      <c r="AI154" s="34"/>
      <c r="AJ154" s="34"/>
      <c r="AK154" s="34"/>
      <c r="AL154" s="34"/>
      <c r="AM154" s="34"/>
      <c r="AN154" s="141"/>
      <c r="AO154" s="34"/>
      <c r="AP154" s="34"/>
      <c r="AQ154" s="34"/>
      <c r="AR154" s="34"/>
      <c r="AS154" s="34"/>
      <c r="AT154" s="34"/>
      <c r="AU154" s="34"/>
      <c r="AV154" s="34"/>
    </row>
    <row r="155" spans="1:48" ht="12.75" customHeight="1">
      <c r="A155" s="34"/>
      <c r="B155" s="80"/>
      <c r="C155" s="43">
        <v>111</v>
      </c>
      <c r="D155" s="708"/>
      <c r="E155" s="588"/>
      <c r="F155" s="379"/>
      <c r="G155" s="34"/>
      <c r="H155" s="34"/>
      <c r="I155" s="34"/>
      <c r="J155" s="34"/>
      <c r="K155" s="34"/>
      <c r="L155" s="34"/>
      <c r="M155" s="34"/>
      <c r="N155" s="34"/>
      <c r="O155" s="34"/>
      <c r="P155" s="34"/>
      <c r="Q155" s="34"/>
      <c r="R155" s="34"/>
      <c r="S155" s="34"/>
      <c r="T155" s="141"/>
      <c r="U155" s="34"/>
      <c r="V155" s="80"/>
      <c r="W155" s="43">
        <v>111</v>
      </c>
      <c r="X155" s="708"/>
      <c r="Y155" s="588"/>
      <c r="Z155" s="379"/>
      <c r="AA155" s="34"/>
      <c r="AB155" s="34"/>
      <c r="AC155" s="34"/>
      <c r="AD155" s="34"/>
      <c r="AE155" s="34"/>
      <c r="AF155" s="34"/>
      <c r="AG155" s="34"/>
      <c r="AH155" s="34"/>
      <c r="AI155" s="34"/>
      <c r="AJ155" s="34"/>
      <c r="AK155" s="34"/>
      <c r="AL155" s="34"/>
      <c r="AM155" s="34"/>
      <c r="AN155" s="141"/>
      <c r="AO155" s="34"/>
      <c r="AP155" s="34"/>
      <c r="AQ155" s="34"/>
      <c r="AR155" s="34"/>
      <c r="AS155" s="34"/>
      <c r="AT155" s="34"/>
      <c r="AU155" s="34"/>
      <c r="AV155" s="34"/>
    </row>
    <row r="156" spans="1:48" ht="12.75" customHeight="1">
      <c r="A156" s="34"/>
      <c r="B156" s="80"/>
      <c r="C156" s="43">
        <v>112</v>
      </c>
      <c r="D156" s="708"/>
      <c r="E156" s="588"/>
      <c r="F156" s="379"/>
      <c r="G156" s="34"/>
      <c r="H156" s="34"/>
      <c r="I156" s="34"/>
      <c r="J156" s="34"/>
      <c r="K156" s="34"/>
      <c r="L156" s="34"/>
      <c r="M156" s="34"/>
      <c r="N156" s="34"/>
      <c r="O156" s="34"/>
      <c r="P156" s="34"/>
      <c r="Q156" s="34"/>
      <c r="R156" s="34"/>
      <c r="S156" s="34"/>
      <c r="T156" s="141"/>
      <c r="U156" s="34"/>
      <c r="V156" s="80"/>
      <c r="W156" s="43">
        <v>112</v>
      </c>
      <c r="X156" s="708"/>
      <c r="Y156" s="588"/>
      <c r="Z156" s="379"/>
      <c r="AA156" s="34"/>
      <c r="AB156" s="34"/>
      <c r="AC156" s="34"/>
      <c r="AD156" s="34"/>
      <c r="AE156" s="34"/>
      <c r="AF156" s="34"/>
      <c r="AG156" s="34"/>
      <c r="AH156" s="34"/>
      <c r="AI156" s="34"/>
      <c r="AJ156" s="34"/>
      <c r="AK156" s="34"/>
      <c r="AL156" s="34"/>
      <c r="AM156" s="34"/>
      <c r="AN156" s="141"/>
      <c r="AO156" s="34"/>
      <c r="AP156" s="34"/>
      <c r="AQ156" s="34"/>
      <c r="AR156" s="34"/>
      <c r="AS156" s="34"/>
      <c r="AT156" s="34"/>
      <c r="AU156" s="34"/>
      <c r="AV156" s="34"/>
    </row>
    <row r="157" spans="1:48" ht="12.75" customHeight="1">
      <c r="A157" s="34"/>
      <c r="B157" s="80"/>
      <c r="C157" s="43">
        <v>113</v>
      </c>
      <c r="D157" s="708"/>
      <c r="E157" s="588"/>
      <c r="F157" s="379"/>
      <c r="G157" s="34"/>
      <c r="H157" s="34"/>
      <c r="I157" s="34"/>
      <c r="J157" s="34"/>
      <c r="K157" s="34"/>
      <c r="L157" s="34"/>
      <c r="M157" s="34"/>
      <c r="N157" s="34"/>
      <c r="O157" s="34"/>
      <c r="P157" s="34"/>
      <c r="Q157" s="34"/>
      <c r="R157" s="34"/>
      <c r="S157" s="34"/>
      <c r="T157" s="141"/>
      <c r="U157" s="34"/>
      <c r="V157" s="80"/>
      <c r="W157" s="43">
        <v>113</v>
      </c>
      <c r="X157" s="708"/>
      <c r="Y157" s="588"/>
      <c r="Z157" s="379"/>
      <c r="AA157" s="34"/>
      <c r="AB157" s="34"/>
      <c r="AC157" s="34"/>
      <c r="AD157" s="34"/>
      <c r="AE157" s="34"/>
      <c r="AF157" s="34"/>
      <c r="AG157" s="34"/>
      <c r="AH157" s="34"/>
      <c r="AI157" s="34"/>
      <c r="AJ157" s="34"/>
      <c r="AK157" s="34"/>
      <c r="AL157" s="34"/>
      <c r="AM157" s="34"/>
      <c r="AN157" s="141"/>
      <c r="AO157" s="34"/>
      <c r="AP157" s="34"/>
      <c r="AQ157" s="34"/>
      <c r="AR157" s="34"/>
      <c r="AS157" s="34"/>
      <c r="AT157" s="34"/>
      <c r="AU157" s="34"/>
      <c r="AV157" s="34"/>
    </row>
    <row r="158" spans="1:48" ht="12.75" customHeight="1">
      <c r="A158" s="34"/>
      <c r="B158" s="80"/>
      <c r="C158" s="43">
        <v>114</v>
      </c>
      <c r="D158" s="708"/>
      <c r="E158" s="588"/>
      <c r="F158" s="379"/>
      <c r="G158" s="34"/>
      <c r="H158" s="34"/>
      <c r="I158" s="34"/>
      <c r="J158" s="34"/>
      <c r="K158" s="34"/>
      <c r="L158" s="34"/>
      <c r="M158" s="34"/>
      <c r="N158" s="34"/>
      <c r="O158" s="34"/>
      <c r="P158" s="34"/>
      <c r="Q158" s="34"/>
      <c r="R158" s="34"/>
      <c r="S158" s="34"/>
      <c r="T158" s="141"/>
      <c r="U158" s="34"/>
      <c r="V158" s="80"/>
      <c r="W158" s="43">
        <v>114</v>
      </c>
      <c r="X158" s="708"/>
      <c r="Y158" s="588"/>
      <c r="Z158" s="379"/>
      <c r="AA158" s="34"/>
      <c r="AB158" s="34"/>
      <c r="AC158" s="34"/>
      <c r="AD158" s="34"/>
      <c r="AE158" s="34"/>
      <c r="AF158" s="34"/>
      <c r="AG158" s="34"/>
      <c r="AH158" s="34"/>
      <c r="AI158" s="34"/>
      <c r="AJ158" s="34"/>
      <c r="AK158" s="34"/>
      <c r="AL158" s="34"/>
      <c r="AM158" s="34"/>
      <c r="AN158" s="141"/>
      <c r="AO158" s="34"/>
      <c r="AP158" s="34"/>
      <c r="AQ158" s="34"/>
      <c r="AR158" s="34"/>
      <c r="AS158" s="34"/>
      <c r="AT158" s="34"/>
      <c r="AU158" s="34"/>
      <c r="AV158" s="34"/>
    </row>
    <row r="159" spans="1:48" ht="12.75" customHeight="1">
      <c r="A159" s="34"/>
      <c r="B159" s="80"/>
      <c r="C159" s="43">
        <v>115</v>
      </c>
      <c r="D159" s="708"/>
      <c r="E159" s="588"/>
      <c r="F159" s="379"/>
      <c r="G159" s="34"/>
      <c r="H159" s="34"/>
      <c r="I159" s="34"/>
      <c r="J159" s="34"/>
      <c r="K159" s="34"/>
      <c r="L159" s="34"/>
      <c r="M159" s="34"/>
      <c r="N159" s="34"/>
      <c r="O159" s="34"/>
      <c r="P159" s="34"/>
      <c r="Q159" s="34"/>
      <c r="R159" s="34"/>
      <c r="S159" s="34"/>
      <c r="T159" s="141"/>
      <c r="U159" s="34"/>
      <c r="V159" s="80"/>
      <c r="W159" s="43">
        <v>115</v>
      </c>
      <c r="X159" s="708"/>
      <c r="Y159" s="588"/>
      <c r="Z159" s="379"/>
      <c r="AA159" s="34"/>
      <c r="AB159" s="34"/>
      <c r="AC159" s="34"/>
      <c r="AD159" s="34"/>
      <c r="AE159" s="34"/>
      <c r="AF159" s="34"/>
      <c r="AG159" s="34"/>
      <c r="AH159" s="34"/>
      <c r="AI159" s="34"/>
      <c r="AJ159" s="34"/>
      <c r="AK159" s="34"/>
      <c r="AL159" s="34"/>
      <c r="AM159" s="34"/>
      <c r="AN159" s="141"/>
      <c r="AO159" s="34"/>
      <c r="AP159" s="34"/>
      <c r="AQ159" s="34"/>
      <c r="AR159" s="34"/>
      <c r="AS159" s="34"/>
      <c r="AT159" s="34"/>
      <c r="AU159" s="34"/>
      <c r="AV159" s="34"/>
    </row>
    <row r="160" spans="1:48" ht="12.75" customHeight="1">
      <c r="A160" s="34"/>
      <c r="B160" s="80"/>
      <c r="C160" s="43">
        <v>116</v>
      </c>
      <c r="D160" s="708"/>
      <c r="E160" s="588"/>
      <c r="F160" s="379"/>
      <c r="G160" s="34"/>
      <c r="H160" s="34"/>
      <c r="I160" s="34"/>
      <c r="J160" s="34"/>
      <c r="K160" s="34"/>
      <c r="L160" s="34"/>
      <c r="M160" s="34"/>
      <c r="N160" s="34"/>
      <c r="O160" s="34"/>
      <c r="P160" s="34"/>
      <c r="Q160" s="34"/>
      <c r="R160" s="34"/>
      <c r="S160" s="34"/>
      <c r="T160" s="141"/>
      <c r="U160" s="34"/>
      <c r="V160" s="80"/>
      <c r="W160" s="43">
        <v>116</v>
      </c>
      <c r="X160" s="708"/>
      <c r="Y160" s="588"/>
      <c r="Z160" s="379"/>
      <c r="AA160" s="34"/>
      <c r="AB160" s="34"/>
      <c r="AC160" s="34"/>
      <c r="AD160" s="34"/>
      <c r="AE160" s="34"/>
      <c r="AF160" s="34"/>
      <c r="AG160" s="34"/>
      <c r="AH160" s="34"/>
      <c r="AI160" s="34"/>
      <c r="AJ160" s="34"/>
      <c r="AK160" s="34"/>
      <c r="AL160" s="34"/>
      <c r="AM160" s="34"/>
      <c r="AN160" s="141"/>
      <c r="AO160" s="34"/>
      <c r="AP160" s="34"/>
      <c r="AQ160" s="34"/>
      <c r="AR160" s="34"/>
      <c r="AS160" s="34"/>
      <c r="AT160" s="34"/>
      <c r="AU160" s="34"/>
      <c r="AV160" s="34"/>
    </row>
    <row r="161" spans="1:48" ht="12.75" customHeight="1">
      <c r="A161" s="34"/>
      <c r="B161" s="80"/>
      <c r="C161" s="43">
        <v>117</v>
      </c>
      <c r="D161" s="708"/>
      <c r="E161" s="588"/>
      <c r="F161" s="379"/>
      <c r="G161" s="34"/>
      <c r="H161" s="34"/>
      <c r="I161" s="34"/>
      <c r="J161" s="34"/>
      <c r="K161" s="34"/>
      <c r="L161" s="34"/>
      <c r="M161" s="34"/>
      <c r="N161" s="34"/>
      <c r="O161" s="34"/>
      <c r="P161" s="34"/>
      <c r="Q161" s="34"/>
      <c r="R161" s="34"/>
      <c r="S161" s="34"/>
      <c r="T161" s="141"/>
      <c r="U161" s="34"/>
      <c r="V161" s="80"/>
      <c r="W161" s="43">
        <v>117</v>
      </c>
      <c r="X161" s="708"/>
      <c r="Y161" s="588"/>
      <c r="Z161" s="379"/>
      <c r="AA161" s="34"/>
      <c r="AB161" s="34"/>
      <c r="AC161" s="34"/>
      <c r="AD161" s="34"/>
      <c r="AE161" s="34"/>
      <c r="AF161" s="34"/>
      <c r="AG161" s="34"/>
      <c r="AH161" s="34"/>
      <c r="AI161" s="34"/>
      <c r="AJ161" s="34"/>
      <c r="AK161" s="34"/>
      <c r="AL161" s="34"/>
      <c r="AM161" s="34"/>
      <c r="AN161" s="141"/>
      <c r="AO161" s="34"/>
      <c r="AP161" s="34"/>
      <c r="AQ161" s="34"/>
      <c r="AR161" s="34"/>
      <c r="AS161" s="34"/>
      <c r="AT161" s="34"/>
      <c r="AU161" s="34"/>
      <c r="AV161" s="34"/>
    </row>
    <row r="162" spans="1:48" ht="12.75" customHeight="1">
      <c r="A162" s="34"/>
      <c r="B162" s="80"/>
      <c r="C162" s="43">
        <v>118</v>
      </c>
      <c r="D162" s="708"/>
      <c r="E162" s="588"/>
      <c r="F162" s="379"/>
      <c r="G162" s="34"/>
      <c r="H162" s="34"/>
      <c r="I162" s="34"/>
      <c r="J162" s="34"/>
      <c r="K162" s="34"/>
      <c r="L162" s="34"/>
      <c r="M162" s="34"/>
      <c r="N162" s="34"/>
      <c r="O162" s="34"/>
      <c r="P162" s="34"/>
      <c r="Q162" s="34"/>
      <c r="R162" s="34"/>
      <c r="S162" s="34"/>
      <c r="T162" s="141"/>
      <c r="U162" s="34"/>
      <c r="V162" s="80"/>
      <c r="W162" s="43">
        <v>118</v>
      </c>
      <c r="X162" s="708"/>
      <c r="Y162" s="588"/>
      <c r="Z162" s="379"/>
      <c r="AA162" s="34"/>
      <c r="AB162" s="34"/>
      <c r="AC162" s="34"/>
      <c r="AD162" s="34"/>
      <c r="AE162" s="34"/>
      <c r="AF162" s="34"/>
      <c r="AG162" s="34"/>
      <c r="AH162" s="34"/>
      <c r="AI162" s="34"/>
      <c r="AJ162" s="34"/>
      <c r="AK162" s="34"/>
      <c r="AL162" s="34"/>
      <c r="AM162" s="34"/>
      <c r="AN162" s="141"/>
      <c r="AO162" s="34"/>
      <c r="AP162" s="34"/>
      <c r="AQ162" s="34"/>
      <c r="AR162" s="34"/>
      <c r="AS162" s="34"/>
      <c r="AT162" s="34"/>
      <c r="AU162" s="34"/>
      <c r="AV162" s="34"/>
    </row>
    <row r="163" spans="1:48" ht="12.75" customHeight="1">
      <c r="A163" s="34"/>
      <c r="B163" s="80"/>
      <c r="C163" s="43">
        <v>119</v>
      </c>
      <c r="D163" s="708"/>
      <c r="E163" s="588"/>
      <c r="F163" s="379"/>
      <c r="G163" s="34"/>
      <c r="H163" s="34"/>
      <c r="I163" s="34"/>
      <c r="J163" s="34"/>
      <c r="K163" s="34"/>
      <c r="L163" s="34"/>
      <c r="M163" s="34"/>
      <c r="N163" s="34"/>
      <c r="O163" s="34"/>
      <c r="P163" s="34"/>
      <c r="Q163" s="34"/>
      <c r="R163" s="34"/>
      <c r="S163" s="34"/>
      <c r="T163" s="141"/>
      <c r="U163" s="34"/>
      <c r="V163" s="80"/>
      <c r="W163" s="43">
        <v>119</v>
      </c>
      <c r="X163" s="708"/>
      <c r="Y163" s="588"/>
      <c r="Z163" s="379"/>
      <c r="AA163" s="34"/>
      <c r="AB163" s="34"/>
      <c r="AC163" s="34"/>
      <c r="AD163" s="34"/>
      <c r="AE163" s="34"/>
      <c r="AF163" s="34"/>
      <c r="AG163" s="34"/>
      <c r="AH163" s="34"/>
      <c r="AI163" s="34"/>
      <c r="AJ163" s="34"/>
      <c r="AK163" s="34"/>
      <c r="AL163" s="34"/>
      <c r="AM163" s="34"/>
      <c r="AN163" s="141"/>
      <c r="AO163" s="34"/>
      <c r="AP163" s="34"/>
      <c r="AQ163" s="34"/>
      <c r="AR163" s="34"/>
      <c r="AS163" s="34"/>
      <c r="AT163" s="34"/>
      <c r="AU163" s="34"/>
      <c r="AV163" s="34"/>
    </row>
    <row r="164" spans="1:48" ht="12.75" customHeight="1">
      <c r="A164" s="34"/>
      <c r="B164" s="80"/>
      <c r="C164" s="43">
        <v>120</v>
      </c>
      <c r="D164" s="708"/>
      <c r="E164" s="588"/>
      <c r="F164" s="379"/>
      <c r="G164" s="34"/>
      <c r="H164" s="34"/>
      <c r="I164" s="34"/>
      <c r="J164" s="34"/>
      <c r="K164" s="34"/>
      <c r="L164" s="34"/>
      <c r="M164" s="34"/>
      <c r="N164" s="34"/>
      <c r="O164" s="34"/>
      <c r="P164" s="34"/>
      <c r="Q164" s="34"/>
      <c r="R164" s="34"/>
      <c r="S164" s="34"/>
      <c r="T164" s="141"/>
      <c r="U164" s="34"/>
      <c r="V164" s="80"/>
      <c r="W164" s="43">
        <v>120</v>
      </c>
      <c r="X164" s="708"/>
      <c r="Y164" s="588"/>
      <c r="Z164" s="379"/>
      <c r="AA164" s="34"/>
      <c r="AB164" s="34"/>
      <c r="AC164" s="34"/>
      <c r="AD164" s="34"/>
      <c r="AE164" s="34"/>
      <c r="AF164" s="34"/>
      <c r="AG164" s="34"/>
      <c r="AH164" s="34"/>
      <c r="AI164" s="34"/>
      <c r="AJ164" s="34"/>
      <c r="AK164" s="34"/>
      <c r="AL164" s="34"/>
      <c r="AM164" s="34"/>
      <c r="AN164" s="141"/>
      <c r="AO164" s="34"/>
      <c r="AP164" s="34"/>
      <c r="AQ164" s="34"/>
      <c r="AR164" s="34"/>
      <c r="AS164" s="34"/>
      <c r="AT164" s="34"/>
      <c r="AU164" s="34"/>
      <c r="AV164" s="34"/>
    </row>
    <row r="165" spans="1:48" ht="12.75" customHeight="1">
      <c r="A165" s="34"/>
      <c r="B165" s="34"/>
      <c r="C165" s="43">
        <v>121</v>
      </c>
      <c r="D165" s="708"/>
      <c r="E165" s="588"/>
      <c r="F165" s="379"/>
      <c r="G165" s="34"/>
      <c r="H165" s="34"/>
      <c r="I165" s="34"/>
      <c r="J165" s="34"/>
      <c r="K165" s="34"/>
      <c r="L165" s="34"/>
      <c r="M165" s="34"/>
      <c r="N165" s="34"/>
      <c r="O165" s="34"/>
      <c r="P165" s="34"/>
      <c r="Q165" s="34"/>
      <c r="R165" s="34"/>
      <c r="S165" s="34"/>
      <c r="T165" s="141"/>
      <c r="U165" s="34"/>
      <c r="V165" s="34"/>
      <c r="W165" s="43">
        <v>121</v>
      </c>
      <c r="X165" s="708"/>
      <c r="Y165" s="588"/>
      <c r="Z165" s="379"/>
      <c r="AA165" s="34"/>
      <c r="AB165" s="34"/>
      <c r="AC165" s="34"/>
      <c r="AD165" s="34"/>
      <c r="AE165" s="34"/>
      <c r="AF165" s="34"/>
      <c r="AG165" s="34"/>
      <c r="AH165" s="34"/>
      <c r="AI165" s="34"/>
      <c r="AJ165" s="34"/>
      <c r="AK165" s="34"/>
      <c r="AL165" s="34"/>
      <c r="AM165" s="34"/>
      <c r="AN165" s="141"/>
      <c r="AO165" s="34"/>
      <c r="AP165" s="34"/>
      <c r="AQ165" s="34"/>
      <c r="AR165" s="34"/>
      <c r="AS165" s="34"/>
      <c r="AT165" s="34"/>
      <c r="AU165" s="34"/>
      <c r="AV165" s="34"/>
    </row>
    <row r="166" spans="1:48" ht="12.75" customHeight="1">
      <c r="A166" s="34"/>
      <c r="C166" s="43">
        <v>122</v>
      </c>
      <c r="D166" s="708"/>
      <c r="E166" s="588"/>
      <c r="F166" s="379"/>
      <c r="T166" s="141"/>
      <c r="U166" s="34"/>
      <c r="W166" s="43">
        <v>122</v>
      </c>
      <c r="X166" s="708"/>
      <c r="Y166" s="588"/>
      <c r="Z166" s="379"/>
      <c r="AN166" s="141"/>
      <c r="AO166" s="34"/>
      <c r="AP166" s="34"/>
      <c r="AQ166" s="34"/>
      <c r="AR166" s="34"/>
      <c r="AS166" s="34"/>
      <c r="AT166" s="34"/>
      <c r="AU166" s="34"/>
      <c r="AV166" s="34"/>
    </row>
    <row r="167" spans="1:48" ht="12.75" customHeight="1">
      <c r="A167" s="34"/>
      <c r="C167" s="43">
        <v>123</v>
      </c>
      <c r="D167" s="708"/>
      <c r="E167" s="588"/>
      <c r="F167" s="379"/>
      <c r="T167" s="141"/>
      <c r="U167" s="34"/>
      <c r="W167" s="43">
        <v>123</v>
      </c>
      <c r="X167" s="708"/>
      <c r="Y167" s="588"/>
      <c r="Z167" s="379"/>
      <c r="AN167" s="141"/>
      <c r="AO167" s="34"/>
      <c r="AP167" s="34"/>
      <c r="AQ167" s="34"/>
      <c r="AR167" s="34"/>
      <c r="AS167" s="34"/>
      <c r="AT167" s="34"/>
      <c r="AU167" s="34"/>
      <c r="AV167" s="34"/>
    </row>
    <row r="168" spans="1:48" ht="12.75" customHeight="1">
      <c r="A168" s="34"/>
      <c r="C168" s="43">
        <v>124</v>
      </c>
      <c r="D168" s="708"/>
      <c r="E168" s="588"/>
      <c r="F168" s="379"/>
      <c r="T168" s="141"/>
      <c r="U168" s="34"/>
      <c r="W168" s="43">
        <v>124</v>
      </c>
      <c r="X168" s="708"/>
      <c r="Y168" s="588"/>
      <c r="Z168" s="379"/>
      <c r="AN168" s="141"/>
      <c r="AO168" s="34"/>
      <c r="AP168" s="34"/>
      <c r="AQ168" s="34"/>
      <c r="AR168" s="34"/>
      <c r="AS168" s="34"/>
      <c r="AT168" s="34"/>
      <c r="AU168" s="34"/>
      <c r="AV168" s="34"/>
    </row>
    <row r="169" spans="1:48" ht="12.75" customHeight="1">
      <c r="A169" s="34"/>
      <c r="C169" s="43">
        <v>125</v>
      </c>
      <c r="D169" s="708"/>
      <c r="E169" s="588"/>
      <c r="F169" s="379"/>
      <c r="T169" s="141"/>
      <c r="U169" s="34"/>
      <c r="W169" s="43">
        <v>125</v>
      </c>
      <c r="X169" s="708"/>
      <c r="Y169" s="588"/>
      <c r="Z169" s="379"/>
      <c r="AN169" s="141"/>
      <c r="AO169" s="34"/>
      <c r="AP169" s="34"/>
      <c r="AQ169" s="34"/>
      <c r="AR169" s="34"/>
      <c r="AS169" s="34"/>
      <c r="AT169" s="34"/>
      <c r="AU169" s="34"/>
      <c r="AV169" s="34"/>
    </row>
    <row r="170" spans="1:48" ht="12.75" customHeight="1">
      <c r="A170" s="34"/>
      <c r="C170" s="43">
        <v>126</v>
      </c>
      <c r="D170" s="708"/>
      <c r="E170" s="588"/>
      <c r="F170" s="379"/>
      <c r="T170" s="141"/>
      <c r="U170" s="34"/>
      <c r="W170" s="43">
        <v>126</v>
      </c>
      <c r="X170" s="708"/>
      <c r="Y170" s="588"/>
      <c r="Z170" s="379"/>
      <c r="AN170" s="141"/>
      <c r="AO170" s="34"/>
      <c r="AP170" s="34"/>
      <c r="AQ170" s="34"/>
      <c r="AR170" s="34"/>
      <c r="AS170" s="34"/>
      <c r="AT170" s="34"/>
      <c r="AU170" s="34"/>
      <c r="AV170" s="34"/>
    </row>
    <row r="171" spans="1:48" ht="12.75" customHeight="1">
      <c r="A171" s="34"/>
      <c r="C171" s="43">
        <v>127</v>
      </c>
      <c r="D171" s="708"/>
      <c r="E171" s="588"/>
      <c r="F171" s="379"/>
      <c r="T171" s="141"/>
      <c r="U171" s="34"/>
      <c r="W171" s="43">
        <v>127</v>
      </c>
      <c r="X171" s="708"/>
      <c r="Y171" s="588"/>
      <c r="Z171" s="379"/>
      <c r="AN171" s="141"/>
      <c r="AO171" s="34"/>
      <c r="AP171" s="34"/>
      <c r="AQ171" s="34"/>
      <c r="AR171" s="34"/>
      <c r="AS171" s="34"/>
      <c r="AT171" s="34"/>
      <c r="AU171" s="34"/>
      <c r="AV171" s="34"/>
    </row>
    <row r="172" spans="1:48" ht="12.75" customHeight="1">
      <c r="A172" s="34"/>
      <c r="C172" s="43">
        <v>128</v>
      </c>
      <c r="D172" s="708"/>
      <c r="E172" s="588"/>
      <c r="F172" s="379"/>
      <c r="T172" s="141"/>
      <c r="U172" s="34"/>
      <c r="W172" s="43">
        <v>128</v>
      </c>
      <c r="X172" s="708"/>
      <c r="Y172" s="588"/>
      <c r="Z172" s="379"/>
      <c r="AN172" s="141"/>
      <c r="AO172" s="34"/>
      <c r="AP172" s="34"/>
      <c r="AQ172" s="34"/>
      <c r="AR172" s="34"/>
      <c r="AS172" s="34"/>
      <c r="AT172" s="34"/>
      <c r="AU172" s="34"/>
      <c r="AV172" s="34"/>
    </row>
    <row r="173" spans="1:48" ht="12.75" customHeight="1">
      <c r="A173" s="34"/>
      <c r="C173" s="43">
        <v>129</v>
      </c>
      <c r="D173" s="708"/>
      <c r="E173" s="588"/>
      <c r="F173" s="379"/>
      <c r="T173" s="141"/>
      <c r="U173" s="34"/>
      <c r="W173" s="43">
        <v>129</v>
      </c>
      <c r="X173" s="708"/>
      <c r="Y173" s="588"/>
      <c r="Z173" s="379"/>
      <c r="AN173" s="141"/>
      <c r="AO173" s="34"/>
      <c r="AP173" s="34"/>
      <c r="AQ173" s="34"/>
      <c r="AR173" s="34"/>
      <c r="AS173" s="34"/>
      <c r="AT173" s="34"/>
      <c r="AU173" s="34"/>
      <c r="AV173" s="34"/>
    </row>
    <row r="174" spans="1:48" ht="12.75" customHeight="1">
      <c r="A174" s="34"/>
      <c r="C174" s="43">
        <v>130</v>
      </c>
      <c r="D174" s="708"/>
      <c r="E174" s="588"/>
      <c r="F174" s="379"/>
      <c r="T174" s="141"/>
      <c r="U174" s="34"/>
      <c r="W174" s="43">
        <v>130</v>
      </c>
      <c r="X174" s="708"/>
      <c r="Y174" s="588"/>
      <c r="Z174" s="379"/>
      <c r="AN174" s="141"/>
      <c r="AO174" s="34"/>
      <c r="AP174" s="34"/>
      <c r="AQ174" s="34"/>
      <c r="AR174" s="34"/>
      <c r="AS174" s="34"/>
      <c r="AT174" s="34"/>
      <c r="AU174" s="34"/>
      <c r="AV174" s="34"/>
    </row>
    <row r="175" spans="1:48" ht="12.75" customHeight="1">
      <c r="A175" s="34"/>
      <c r="C175" s="43">
        <v>131</v>
      </c>
      <c r="D175" s="708"/>
      <c r="E175" s="588"/>
      <c r="F175" s="379"/>
      <c r="T175" s="141"/>
      <c r="U175" s="34"/>
      <c r="W175" s="43">
        <v>131</v>
      </c>
      <c r="X175" s="708"/>
      <c r="Y175" s="588"/>
      <c r="Z175" s="379"/>
      <c r="AN175" s="141"/>
      <c r="AO175" s="34"/>
      <c r="AP175" s="34"/>
      <c r="AQ175" s="34"/>
      <c r="AR175" s="34"/>
      <c r="AS175" s="34"/>
      <c r="AT175" s="34"/>
      <c r="AU175" s="34"/>
      <c r="AV175" s="34"/>
    </row>
    <row r="176" spans="1:48" ht="12.75" customHeight="1">
      <c r="A176" s="34"/>
      <c r="C176" s="43">
        <v>132</v>
      </c>
      <c r="D176" s="708"/>
      <c r="E176" s="588"/>
      <c r="F176" s="379"/>
      <c r="T176" s="141"/>
      <c r="U176" s="34"/>
      <c r="W176" s="43">
        <v>132</v>
      </c>
      <c r="X176" s="708"/>
      <c r="Y176" s="588"/>
      <c r="Z176" s="379"/>
      <c r="AN176" s="141"/>
      <c r="AO176" s="34"/>
      <c r="AP176" s="34"/>
      <c r="AQ176" s="34"/>
      <c r="AR176" s="34"/>
      <c r="AS176" s="34"/>
      <c r="AT176" s="34"/>
      <c r="AU176" s="34"/>
      <c r="AV176" s="34"/>
    </row>
    <row r="177" spans="1:48" ht="12.75" customHeight="1">
      <c r="A177" s="34"/>
      <c r="C177" s="43">
        <v>133</v>
      </c>
      <c r="D177" s="708"/>
      <c r="E177" s="588"/>
      <c r="F177" s="379"/>
      <c r="T177" s="141"/>
      <c r="U177" s="34"/>
      <c r="W177" s="43">
        <v>133</v>
      </c>
      <c r="X177" s="708"/>
      <c r="Y177" s="588"/>
      <c r="Z177" s="379"/>
      <c r="AN177" s="141"/>
      <c r="AO177" s="34"/>
      <c r="AP177" s="34"/>
      <c r="AQ177" s="34"/>
      <c r="AR177" s="34"/>
      <c r="AS177" s="34"/>
      <c r="AT177" s="34"/>
      <c r="AU177" s="34"/>
      <c r="AV177" s="34"/>
    </row>
    <row r="178" spans="1:48" ht="12.75" customHeight="1">
      <c r="A178" s="34"/>
      <c r="C178" s="43">
        <v>134</v>
      </c>
      <c r="D178" s="708"/>
      <c r="E178" s="588"/>
      <c r="F178" s="379"/>
      <c r="T178" s="141"/>
      <c r="U178" s="34"/>
      <c r="W178" s="43">
        <v>134</v>
      </c>
      <c r="X178" s="708"/>
      <c r="Y178" s="588"/>
      <c r="Z178" s="379"/>
      <c r="AN178" s="141"/>
      <c r="AO178" s="34"/>
      <c r="AP178" s="34"/>
      <c r="AQ178" s="34"/>
      <c r="AR178" s="34"/>
      <c r="AS178" s="34"/>
      <c r="AT178" s="34"/>
      <c r="AU178" s="34"/>
      <c r="AV178" s="34"/>
    </row>
    <row r="179" spans="1:48" ht="12.75" customHeight="1">
      <c r="A179" s="34"/>
      <c r="C179" s="43">
        <v>135</v>
      </c>
      <c r="D179" s="708"/>
      <c r="E179" s="588"/>
      <c r="F179" s="379"/>
      <c r="T179" s="141"/>
      <c r="U179" s="34"/>
      <c r="W179" s="43">
        <v>135</v>
      </c>
      <c r="X179" s="708"/>
      <c r="Y179" s="588"/>
      <c r="Z179" s="379"/>
      <c r="AN179" s="141"/>
      <c r="AO179" s="34"/>
      <c r="AP179" s="34"/>
      <c r="AQ179" s="34"/>
      <c r="AR179" s="34"/>
      <c r="AS179" s="34"/>
      <c r="AT179" s="34"/>
      <c r="AU179" s="34"/>
      <c r="AV179" s="34"/>
    </row>
    <row r="180" spans="1:48" ht="12.75" customHeight="1">
      <c r="A180" s="34"/>
      <c r="C180" s="43">
        <v>136</v>
      </c>
      <c r="D180" s="708"/>
      <c r="E180" s="588"/>
      <c r="F180" s="379"/>
      <c r="T180" s="141"/>
      <c r="U180" s="34"/>
      <c r="W180" s="43">
        <v>136</v>
      </c>
      <c r="X180" s="708"/>
      <c r="Y180" s="588"/>
      <c r="Z180" s="379"/>
      <c r="AN180" s="141"/>
      <c r="AO180" s="34"/>
      <c r="AP180" s="34"/>
      <c r="AQ180" s="34"/>
      <c r="AR180" s="34"/>
      <c r="AS180" s="34"/>
      <c r="AT180" s="34"/>
      <c r="AU180" s="34"/>
      <c r="AV180" s="34"/>
    </row>
    <row r="181" spans="1:48" ht="12.75" customHeight="1">
      <c r="A181" s="34"/>
      <c r="C181" s="43">
        <v>137</v>
      </c>
      <c r="D181" s="708"/>
      <c r="E181" s="588"/>
      <c r="F181" s="379"/>
      <c r="T181" s="141"/>
      <c r="U181" s="34"/>
      <c r="W181" s="43">
        <v>137</v>
      </c>
      <c r="X181" s="708"/>
      <c r="Y181" s="588"/>
      <c r="Z181" s="379"/>
      <c r="AN181" s="141"/>
      <c r="AO181" s="34"/>
      <c r="AP181" s="34"/>
      <c r="AQ181" s="34"/>
      <c r="AR181" s="34"/>
      <c r="AS181" s="34"/>
      <c r="AT181" s="34"/>
      <c r="AU181" s="34"/>
      <c r="AV181" s="34"/>
    </row>
    <row r="182" spans="1:48" ht="12.75" customHeight="1">
      <c r="A182" s="34"/>
      <c r="C182" s="43">
        <v>138</v>
      </c>
      <c r="D182" s="708"/>
      <c r="E182" s="588"/>
      <c r="F182" s="379"/>
      <c r="T182" s="141"/>
      <c r="U182" s="34"/>
      <c r="W182" s="43">
        <v>138</v>
      </c>
      <c r="X182" s="708"/>
      <c r="Y182" s="588"/>
      <c r="Z182" s="379"/>
      <c r="AN182" s="141"/>
      <c r="AO182" s="34"/>
      <c r="AP182" s="34"/>
      <c r="AQ182" s="34"/>
      <c r="AR182" s="34"/>
      <c r="AS182" s="34"/>
      <c r="AT182" s="34"/>
      <c r="AU182" s="34"/>
      <c r="AV182" s="34"/>
    </row>
    <row r="183" spans="1:48" ht="12.75" customHeight="1">
      <c r="A183" s="34"/>
      <c r="C183" s="43">
        <v>139</v>
      </c>
      <c r="D183" s="708"/>
      <c r="E183" s="588"/>
      <c r="F183" s="379"/>
      <c r="T183" s="141"/>
      <c r="U183" s="34"/>
      <c r="W183" s="43">
        <v>139</v>
      </c>
      <c r="X183" s="708"/>
      <c r="Y183" s="588"/>
      <c r="Z183" s="379"/>
      <c r="AN183" s="141"/>
      <c r="AO183" s="34"/>
      <c r="AP183" s="34"/>
      <c r="AQ183" s="34"/>
      <c r="AR183" s="34"/>
      <c r="AS183" s="34"/>
      <c r="AT183" s="34"/>
      <c r="AU183" s="34"/>
      <c r="AV183" s="34"/>
    </row>
    <row r="184" spans="1:48" ht="12.75" customHeight="1">
      <c r="A184" s="34"/>
      <c r="C184" s="43">
        <v>140</v>
      </c>
      <c r="D184" s="708"/>
      <c r="E184" s="588"/>
      <c r="F184" s="379"/>
      <c r="T184" s="141"/>
      <c r="U184" s="34"/>
      <c r="W184" s="43">
        <v>140</v>
      </c>
      <c r="X184" s="708"/>
      <c r="Y184" s="588"/>
      <c r="Z184" s="379"/>
      <c r="AN184" s="141"/>
      <c r="AO184" s="34"/>
      <c r="AP184" s="34"/>
      <c r="AQ184" s="34"/>
      <c r="AR184" s="34"/>
      <c r="AS184" s="34"/>
      <c r="AT184" s="34"/>
      <c r="AU184" s="34"/>
      <c r="AV184" s="34"/>
    </row>
    <row r="185" spans="1:48" ht="12.75" customHeight="1">
      <c r="A185" s="34"/>
      <c r="C185" s="43">
        <v>141</v>
      </c>
      <c r="D185" s="708"/>
      <c r="E185" s="588"/>
      <c r="F185" s="379"/>
      <c r="T185" s="141"/>
      <c r="U185" s="34"/>
      <c r="W185" s="43">
        <v>141</v>
      </c>
      <c r="X185" s="708"/>
      <c r="Y185" s="588"/>
      <c r="Z185" s="379"/>
      <c r="AN185" s="141"/>
      <c r="AO185" s="34"/>
      <c r="AP185" s="34"/>
      <c r="AQ185" s="34"/>
      <c r="AR185" s="34"/>
      <c r="AS185" s="34"/>
      <c r="AT185" s="34"/>
      <c r="AU185" s="34"/>
      <c r="AV185" s="34"/>
    </row>
    <row r="186" spans="1:48" ht="12.75" customHeight="1">
      <c r="A186" s="34"/>
      <c r="C186" s="43">
        <v>142</v>
      </c>
      <c r="D186" s="708"/>
      <c r="E186" s="588"/>
      <c r="F186" s="379"/>
      <c r="T186" s="141"/>
      <c r="U186" s="34"/>
      <c r="W186" s="43">
        <v>142</v>
      </c>
      <c r="X186" s="708"/>
      <c r="Y186" s="588"/>
      <c r="Z186" s="379"/>
      <c r="AN186" s="141"/>
      <c r="AO186" s="34"/>
      <c r="AP186" s="34"/>
      <c r="AQ186" s="34"/>
      <c r="AR186" s="34"/>
      <c r="AS186" s="34"/>
      <c r="AT186" s="34"/>
      <c r="AU186" s="34"/>
      <c r="AV186" s="34"/>
    </row>
    <row r="187" spans="1:48" ht="12.75" customHeight="1">
      <c r="A187" s="34"/>
      <c r="C187" s="43">
        <v>143</v>
      </c>
      <c r="D187" s="708"/>
      <c r="E187" s="588"/>
      <c r="F187" s="379"/>
      <c r="T187" s="141"/>
      <c r="U187" s="34"/>
      <c r="W187" s="43">
        <v>143</v>
      </c>
      <c r="X187" s="708"/>
      <c r="Y187" s="588"/>
      <c r="Z187" s="379"/>
      <c r="AN187" s="141"/>
      <c r="AO187" s="34"/>
      <c r="AP187" s="34"/>
      <c r="AQ187" s="34"/>
      <c r="AR187" s="34"/>
      <c r="AS187" s="34"/>
      <c r="AT187" s="34"/>
      <c r="AU187" s="34"/>
      <c r="AV187" s="34"/>
    </row>
    <row r="188" spans="1:48" ht="12.75" customHeight="1">
      <c r="A188" s="34"/>
      <c r="C188" s="43">
        <v>144</v>
      </c>
      <c r="D188" s="708"/>
      <c r="E188" s="588"/>
      <c r="F188" s="379"/>
      <c r="T188" s="141"/>
      <c r="U188" s="34"/>
      <c r="W188" s="43">
        <v>144</v>
      </c>
      <c r="X188" s="708"/>
      <c r="Y188" s="588"/>
      <c r="Z188" s="379"/>
      <c r="AN188" s="141"/>
      <c r="AO188" s="34"/>
      <c r="AP188" s="34"/>
      <c r="AQ188" s="34"/>
      <c r="AR188" s="34"/>
      <c r="AS188" s="34"/>
      <c r="AT188" s="34"/>
      <c r="AU188" s="34"/>
      <c r="AV188" s="34"/>
    </row>
    <row r="189" spans="1:48" ht="12.75" customHeight="1">
      <c r="A189" s="34"/>
      <c r="C189" s="43">
        <v>145</v>
      </c>
      <c r="D189" s="708"/>
      <c r="E189" s="588"/>
      <c r="F189" s="379"/>
      <c r="T189" s="141"/>
      <c r="U189" s="34"/>
      <c r="W189" s="43">
        <v>145</v>
      </c>
      <c r="X189" s="708"/>
      <c r="Y189" s="588"/>
      <c r="Z189" s="379"/>
      <c r="AN189" s="141"/>
      <c r="AO189" s="34"/>
      <c r="AP189" s="34"/>
      <c r="AQ189" s="34"/>
      <c r="AR189" s="34"/>
      <c r="AS189" s="34"/>
      <c r="AT189" s="34"/>
      <c r="AU189" s="34"/>
      <c r="AV189" s="34"/>
    </row>
    <row r="190" spans="1:48" ht="12.75" customHeight="1">
      <c r="A190" s="34"/>
      <c r="C190" s="43">
        <v>146</v>
      </c>
      <c r="D190" s="708"/>
      <c r="E190" s="588"/>
      <c r="F190" s="379"/>
      <c r="T190" s="141"/>
      <c r="U190" s="34"/>
      <c r="W190" s="43">
        <v>146</v>
      </c>
      <c r="X190" s="708"/>
      <c r="Y190" s="588"/>
      <c r="Z190" s="379"/>
      <c r="AN190" s="141"/>
      <c r="AO190" s="34"/>
      <c r="AP190" s="34"/>
      <c r="AQ190" s="34"/>
      <c r="AR190" s="34"/>
      <c r="AS190" s="34"/>
      <c r="AT190" s="34"/>
      <c r="AU190" s="34"/>
      <c r="AV190" s="34"/>
    </row>
    <row r="191" spans="1:48" ht="12.75" customHeight="1">
      <c r="A191" s="34"/>
      <c r="C191" s="43">
        <v>147</v>
      </c>
      <c r="D191" s="708"/>
      <c r="E191" s="588"/>
      <c r="F191" s="379"/>
      <c r="T191" s="141"/>
      <c r="U191" s="34"/>
      <c r="W191" s="43">
        <v>147</v>
      </c>
      <c r="X191" s="708"/>
      <c r="Y191" s="588"/>
      <c r="Z191" s="379"/>
      <c r="AN191" s="141"/>
      <c r="AO191" s="34"/>
      <c r="AP191" s="34"/>
      <c r="AQ191" s="34"/>
      <c r="AR191" s="34"/>
      <c r="AS191" s="34"/>
      <c r="AT191" s="34"/>
      <c r="AU191" s="34"/>
      <c r="AV191" s="34"/>
    </row>
    <row r="192" spans="1:48" ht="12.75" customHeight="1">
      <c r="A192" s="34"/>
      <c r="C192" s="43">
        <v>148</v>
      </c>
      <c r="D192" s="708"/>
      <c r="E192" s="588"/>
      <c r="F192" s="379"/>
      <c r="T192" s="141"/>
      <c r="U192" s="34"/>
      <c r="W192" s="43">
        <v>148</v>
      </c>
      <c r="X192" s="708"/>
      <c r="Y192" s="588"/>
      <c r="Z192" s="379"/>
      <c r="AN192" s="141"/>
      <c r="AO192" s="34"/>
      <c r="AP192" s="34"/>
      <c r="AQ192" s="34"/>
      <c r="AR192" s="34"/>
      <c r="AS192" s="34"/>
      <c r="AT192" s="34"/>
      <c r="AU192" s="34"/>
      <c r="AV192" s="34"/>
    </row>
    <row r="193" spans="1:48" ht="12.75" customHeight="1">
      <c r="A193" s="34"/>
      <c r="C193" s="43">
        <v>149</v>
      </c>
      <c r="D193" s="708"/>
      <c r="E193" s="588"/>
      <c r="F193" s="379"/>
      <c r="T193" s="141"/>
      <c r="U193" s="34"/>
      <c r="W193" s="43">
        <v>149</v>
      </c>
      <c r="X193" s="708"/>
      <c r="Y193" s="588"/>
      <c r="Z193" s="379"/>
      <c r="AN193" s="141"/>
      <c r="AO193" s="34"/>
      <c r="AP193" s="34"/>
      <c r="AQ193" s="34"/>
      <c r="AR193" s="34"/>
      <c r="AS193" s="34"/>
      <c r="AT193" s="34"/>
      <c r="AU193" s="34"/>
      <c r="AV193" s="34"/>
    </row>
    <row r="194" spans="1:48" ht="12.75" customHeight="1">
      <c r="A194" s="34"/>
      <c r="C194" s="43">
        <v>150</v>
      </c>
      <c r="D194" s="708"/>
      <c r="E194" s="588"/>
      <c r="F194" s="379"/>
      <c r="T194" s="141"/>
      <c r="U194" s="34"/>
      <c r="W194" s="43">
        <v>150</v>
      </c>
      <c r="X194" s="708"/>
      <c r="Y194" s="588"/>
      <c r="Z194" s="379"/>
      <c r="AN194" s="141"/>
      <c r="AO194" s="34"/>
      <c r="AP194" s="34"/>
      <c r="AQ194" s="34"/>
      <c r="AR194" s="34"/>
      <c r="AS194" s="34"/>
      <c r="AT194" s="34"/>
      <c r="AU194" s="34"/>
      <c r="AV194" s="34"/>
    </row>
    <row r="195" spans="1:48" ht="12.75" customHeight="1">
      <c r="A195" s="34"/>
      <c r="C195" s="43">
        <v>151</v>
      </c>
      <c r="D195" s="708"/>
      <c r="E195" s="588"/>
      <c r="F195" s="379"/>
      <c r="T195" s="141"/>
      <c r="U195" s="34"/>
      <c r="W195" s="43">
        <v>151</v>
      </c>
      <c r="X195" s="708"/>
      <c r="Y195" s="588"/>
      <c r="Z195" s="379"/>
      <c r="AN195" s="141"/>
      <c r="AO195" s="34"/>
      <c r="AP195" s="34"/>
      <c r="AQ195" s="34"/>
      <c r="AR195" s="34"/>
      <c r="AS195" s="34"/>
      <c r="AT195" s="34"/>
      <c r="AU195" s="34"/>
      <c r="AV195" s="34"/>
    </row>
    <row r="196" spans="1:48" ht="12.75" customHeight="1">
      <c r="A196" s="34"/>
      <c r="C196" s="43">
        <v>152</v>
      </c>
      <c r="D196" s="708"/>
      <c r="E196" s="588"/>
      <c r="F196" s="379"/>
      <c r="T196" s="141"/>
      <c r="U196" s="34"/>
      <c r="W196" s="43">
        <v>152</v>
      </c>
      <c r="X196" s="708"/>
      <c r="Y196" s="588"/>
      <c r="Z196" s="379"/>
      <c r="AN196" s="141"/>
      <c r="AO196" s="34"/>
      <c r="AP196" s="34"/>
      <c r="AQ196" s="34"/>
      <c r="AR196" s="34"/>
      <c r="AS196" s="34"/>
      <c r="AT196" s="34"/>
      <c r="AU196" s="34"/>
      <c r="AV196" s="34"/>
    </row>
    <row r="197" spans="1:48" ht="12.75" customHeight="1">
      <c r="A197" s="34"/>
      <c r="C197" s="43">
        <v>153</v>
      </c>
      <c r="D197" s="708"/>
      <c r="E197" s="588"/>
      <c r="F197" s="379"/>
      <c r="T197" s="141"/>
      <c r="U197" s="34"/>
      <c r="W197" s="43">
        <v>153</v>
      </c>
      <c r="X197" s="708"/>
      <c r="Y197" s="588"/>
      <c r="Z197" s="379"/>
      <c r="AN197" s="141"/>
      <c r="AO197" s="34"/>
      <c r="AP197" s="34"/>
      <c r="AQ197" s="34"/>
      <c r="AR197" s="34"/>
      <c r="AS197" s="34"/>
      <c r="AT197" s="34"/>
      <c r="AU197" s="34"/>
      <c r="AV197" s="34"/>
    </row>
    <row r="198" spans="1:48" ht="12.75" customHeight="1">
      <c r="A198" s="34"/>
      <c r="C198" s="43">
        <v>154</v>
      </c>
      <c r="D198" s="708"/>
      <c r="E198" s="588"/>
      <c r="F198" s="379"/>
      <c r="T198" s="141"/>
      <c r="U198" s="34"/>
      <c r="W198" s="43">
        <v>154</v>
      </c>
      <c r="X198" s="708"/>
      <c r="Y198" s="588"/>
      <c r="Z198" s="379"/>
      <c r="AN198" s="141"/>
      <c r="AO198" s="34"/>
      <c r="AP198" s="34"/>
      <c r="AQ198" s="34"/>
      <c r="AR198" s="34"/>
      <c r="AS198" s="34"/>
      <c r="AT198" s="34"/>
      <c r="AU198" s="34"/>
      <c r="AV198" s="34"/>
    </row>
    <row r="199" spans="1:48" ht="12.75" customHeight="1">
      <c r="A199" s="34"/>
      <c r="C199" s="43">
        <v>155</v>
      </c>
      <c r="D199" s="708"/>
      <c r="E199" s="588"/>
      <c r="F199" s="379"/>
      <c r="T199" s="141"/>
      <c r="U199" s="34"/>
      <c r="W199" s="43">
        <v>155</v>
      </c>
      <c r="X199" s="708"/>
      <c r="Y199" s="588"/>
      <c r="Z199" s="379"/>
      <c r="AN199" s="141"/>
      <c r="AO199" s="34"/>
      <c r="AP199" s="34"/>
      <c r="AQ199" s="34"/>
      <c r="AR199" s="34"/>
      <c r="AS199" s="34"/>
      <c r="AT199" s="34"/>
      <c r="AU199" s="34"/>
      <c r="AV199" s="34"/>
    </row>
    <row r="200" spans="1:48" ht="12.75" customHeight="1">
      <c r="A200" s="34"/>
      <c r="C200" s="43">
        <v>156</v>
      </c>
      <c r="D200" s="708"/>
      <c r="E200" s="588"/>
      <c r="F200" s="379"/>
      <c r="T200" s="141"/>
      <c r="U200" s="34"/>
      <c r="W200" s="43">
        <v>156</v>
      </c>
      <c r="X200" s="708"/>
      <c r="Y200" s="588"/>
      <c r="Z200" s="379"/>
      <c r="AN200" s="141"/>
      <c r="AO200" s="34"/>
      <c r="AP200" s="34"/>
      <c r="AQ200" s="34"/>
      <c r="AR200" s="34"/>
      <c r="AS200" s="34"/>
      <c r="AT200" s="34"/>
      <c r="AU200" s="34"/>
      <c r="AV200" s="34"/>
    </row>
    <row r="201" spans="1:48" ht="12.75" customHeight="1">
      <c r="A201" s="34"/>
      <c r="C201" s="43">
        <v>157</v>
      </c>
      <c r="D201" s="708"/>
      <c r="E201" s="588"/>
      <c r="F201" s="379"/>
      <c r="T201" s="141"/>
      <c r="U201" s="34"/>
      <c r="W201" s="43">
        <v>157</v>
      </c>
      <c r="X201" s="708"/>
      <c r="Y201" s="588"/>
      <c r="Z201" s="379"/>
      <c r="AN201" s="141"/>
      <c r="AO201" s="34"/>
      <c r="AP201" s="34"/>
      <c r="AQ201" s="34"/>
      <c r="AR201" s="34"/>
      <c r="AS201" s="34"/>
      <c r="AT201" s="34"/>
      <c r="AU201" s="34"/>
      <c r="AV201" s="34"/>
    </row>
    <row r="202" spans="1:48" ht="12.75" customHeight="1">
      <c r="A202" s="34"/>
      <c r="C202" s="43">
        <v>158</v>
      </c>
      <c r="D202" s="708"/>
      <c r="E202" s="588"/>
      <c r="F202" s="379"/>
      <c r="T202" s="141"/>
      <c r="U202" s="34"/>
      <c r="W202" s="43">
        <v>158</v>
      </c>
      <c r="X202" s="708"/>
      <c r="Y202" s="588"/>
      <c r="Z202" s="379"/>
      <c r="AN202" s="141"/>
      <c r="AO202" s="34"/>
      <c r="AP202" s="34"/>
      <c r="AQ202" s="34"/>
      <c r="AR202" s="34"/>
      <c r="AS202" s="34"/>
      <c r="AT202" s="34"/>
      <c r="AU202" s="34"/>
      <c r="AV202" s="34"/>
    </row>
    <row r="203" spans="1:48" ht="12.75" customHeight="1">
      <c r="A203" s="34"/>
      <c r="C203" s="43">
        <v>159</v>
      </c>
      <c r="D203" s="708"/>
      <c r="E203" s="588"/>
      <c r="F203" s="379"/>
      <c r="T203" s="141"/>
      <c r="U203" s="34"/>
      <c r="W203" s="43">
        <v>159</v>
      </c>
      <c r="X203" s="708"/>
      <c r="Y203" s="588"/>
      <c r="Z203" s="379"/>
      <c r="AN203" s="141"/>
      <c r="AO203" s="34"/>
      <c r="AP203" s="34"/>
      <c r="AQ203" s="34"/>
      <c r="AR203" s="34"/>
      <c r="AS203" s="34"/>
      <c r="AT203" s="34"/>
      <c r="AU203" s="34"/>
      <c r="AV203" s="34"/>
    </row>
    <row r="204" spans="1:48" ht="12.75" customHeight="1">
      <c r="A204" s="34"/>
      <c r="C204" s="43">
        <v>160</v>
      </c>
      <c r="D204" s="708"/>
      <c r="E204" s="588"/>
      <c r="F204" s="379"/>
      <c r="T204" s="141"/>
      <c r="U204" s="34"/>
      <c r="W204" s="43">
        <v>160</v>
      </c>
      <c r="X204" s="708"/>
      <c r="Y204" s="588"/>
      <c r="Z204" s="379"/>
      <c r="AN204" s="141"/>
      <c r="AO204" s="34"/>
      <c r="AP204" s="34"/>
      <c r="AQ204" s="34"/>
      <c r="AR204" s="34"/>
      <c r="AS204" s="34"/>
      <c r="AT204" s="34"/>
      <c r="AU204" s="34"/>
      <c r="AV204" s="34"/>
    </row>
    <row r="205" spans="1:48" ht="12.75" customHeight="1">
      <c r="A205" s="34"/>
      <c r="C205" s="43">
        <v>161</v>
      </c>
      <c r="D205" s="708"/>
      <c r="E205" s="588"/>
      <c r="F205" s="379"/>
      <c r="T205" s="141"/>
      <c r="U205" s="34"/>
      <c r="W205" s="43">
        <v>161</v>
      </c>
      <c r="X205" s="708"/>
      <c r="Y205" s="588"/>
      <c r="Z205" s="379"/>
      <c r="AN205" s="141"/>
      <c r="AO205" s="34"/>
      <c r="AP205" s="34"/>
      <c r="AQ205" s="34"/>
      <c r="AR205" s="34"/>
      <c r="AS205" s="34"/>
      <c r="AT205" s="34"/>
      <c r="AU205" s="34"/>
      <c r="AV205" s="34"/>
    </row>
    <row r="206" spans="1:48" ht="12.75" customHeight="1">
      <c r="A206" s="34"/>
      <c r="C206" s="43">
        <v>162</v>
      </c>
      <c r="D206" s="708"/>
      <c r="E206" s="588"/>
      <c r="F206" s="379"/>
      <c r="T206" s="141"/>
      <c r="U206" s="34"/>
      <c r="W206" s="43">
        <v>162</v>
      </c>
      <c r="X206" s="708"/>
      <c r="Y206" s="588"/>
      <c r="Z206" s="379"/>
      <c r="AN206" s="141"/>
      <c r="AO206" s="34"/>
      <c r="AP206" s="34"/>
      <c r="AQ206" s="34"/>
      <c r="AR206" s="34"/>
      <c r="AS206" s="34"/>
      <c r="AT206" s="34"/>
      <c r="AU206" s="34"/>
      <c r="AV206" s="34"/>
    </row>
    <row r="207" spans="1:48" ht="12.75" customHeight="1">
      <c r="A207" s="34"/>
      <c r="C207" s="43">
        <v>163</v>
      </c>
      <c r="D207" s="708"/>
      <c r="E207" s="588"/>
      <c r="F207" s="379"/>
      <c r="T207" s="141"/>
      <c r="U207" s="34"/>
      <c r="W207" s="43">
        <v>163</v>
      </c>
      <c r="X207" s="708"/>
      <c r="Y207" s="588"/>
      <c r="Z207" s="379"/>
      <c r="AN207" s="141"/>
      <c r="AO207" s="34"/>
      <c r="AP207" s="34"/>
      <c r="AQ207" s="34"/>
      <c r="AR207" s="34"/>
      <c r="AS207" s="34"/>
      <c r="AT207" s="34"/>
      <c r="AU207" s="34"/>
      <c r="AV207" s="34"/>
    </row>
    <row r="208" spans="1:48" ht="12.75" customHeight="1">
      <c r="A208" s="34"/>
      <c r="C208" s="43">
        <v>164</v>
      </c>
      <c r="D208" s="708"/>
      <c r="E208" s="588"/>
      <c r="F208" s="379"/>
      <c r="T208" s="141"/>
      <c r="U208" s="34"/>
      <c r="W208" s="43">
        <v>164</v>
      </c>
      <c r="X208" s="708"/>
      <c r="Y208" s="588"/>
      <c r="Z208" s="379"/>
      <c r="AN208" s="141"/>
      <c r="AO208" s="34"/>
      <c r="AP208" s="34"/>
      <c r="AQ208" s="34"/>
      <c r="AR208" s="34"/>
      <c r="AS208" s="34"/>
      <c r="AT208" s="34"/>
      <c r="AU208" s="34"/>
      <c r="AV208" s="34"/>
    </row>
    <row r="209" spans="1:48" ht="12.75" customHeight="1">
      <c r="A209" s="34"/>
      <c r="C209" s="43">
        <v>165</v>
      </c>
      <c r="D209" s="708"/>
      <c r="E209" s="588"/>
      <c r="F209" s="379"/>
      <c r="T209" s="141"/>
      <c r="U209" s="34"/>
      <c r="W209" s="43">
        <v>165</v>
      </c>
      <c r="X209" s="708"/>
      <c r="Y209" s="588"/>
      <c r="Z209" s="379"/>
      <c r="AN209" s="141"/>
      <c r="AO209" s="34"/>
      <c r="AP209" s="34"/>
      <c r="AQ209" s="34"/>
      <c r="AR209" s="34"/>
      <c r="AS209" s="34"/>
      <c r="AT209" s="34"/>
      <c r="AU209" s="34"/>
      <c r="AV209" s="34"/>
    </row>
    <row r="210" spans="1:48" ht="12.75" customHeight="1">
      <c r="A210" s="34"/>
      <c r="C210" s="43">
        <v>166</v>
      </c>
      <c r="D210" s="708"/>
      <c r="E210" s="588"/>
      <c r="F210" s="379"/>
      <c r="T210" s="141"/>
      <c r="U210" s="34"/>
      <c r="W210" s="43">
        <v>166</v>
      </c>
      <c r="X210" s="708"/>
      <c r="Y210" s="588"/>
      <c r="Z210" s="379"/>
      <c r="AN210" s="141"/>
      <c r="AO210" s="34"/>
      <c r="AP210" s="34"/>
      <c r="AQ210" s="34"/>
      <c r="AR210" s="34"/>
      <c r="AS210" s="34"/>
      <c r="AT210" s="34"/>
      <c r="AU210" s="34"/>
      <c r="AV210" s="34"/>
    </row>
    <row r="211" spans="1:48" ht="12.75" customHeight="1">
      <c r="A211" s="34"/>
      <c r="C211" s="43">
        <v>167</v>
      </c>
      <c r="D211" s="708"/>
      <c r="E211" s="588"/>
      <c r="F211" s="379"/>
      <c r="T211" s="141"/>
      <c r="U211" s="34"/>
      <c r="W211" s="43">
        <v>167</v>
      </c>
      <c r="X211" s="708"/>
      <c r="Y211" s="588"/>
      <c r="Z211" s="379"/>
      <c r="AN211" s="141"/>
      <c r="AO211" s="34"/>
      <c r="AP211" s="34"/>
      <c r="AQ211" s="34"/>
      <c r="AR211" s="34"/>
      <c r="AS211" s="34"/>
      <c r="AT211" s="34"/>
      <c r="AU211" s="34"/>
      <c r="AV211" s="34"/>
    </row>
    <row r="212" spans="1:48" ht="12.75" customHeight="1">
      <c r="A212" s="34"/>
      <c r="C212" s="43">
        <v>168</v>
      </c>
      <c r="D212" s="708"/>
      <c r="E212" s="588"/>
      <c r="F212" s="379"/>
      <c r="T212" s="141"/>
      <c r="U212" s="34"/>
      <c r="W212" s="43">
        <v>168</v>
      </c>
      <c r="X212" s="708"/>
      <c r="Y212" s="588"/>
      <c r="Z212" s="379"/>
      <c r="AN212" s="141"/>
      <c r="AO212" s="34"/>
      <c r="AP212" s="34"/>
      <c r="AQ212" s="34"/>
      <c r="AR212" s="34"/>
      <c r="AS212" s="34"/>
      <c r="AT212" s="34"/>
      <c r="AU212" s="34"/>
      <c r="AV212" s="34"/>
    </row>
    <row r="213" spans="1:48" ht="12.75" customHeight="1">
      <c r="A213" s="34"/>
      <c r="C213" s="43">
        <v>169</v>
      </c>
      <c r="D213" s="708"/>
      <c r="E213" s="588"/>
      <c r="F213" s="379"/>
      <c r="T213" s="141"/>
      <c r="U213" s="34"/>
      <c r="W213" s="43">
        <v>169</v>
      </c>
      <c r="X213" s="708"/>
      <c r="Y213" s="588"/>
      <c r="Z213" s="379"/>
      <c r="AN213" s="141"/>
      <c r="AO213" s="34"/>
      <c r="AP213" s="34"/>
      <c r="AQ213" s="34"/>
      <c r="AR213" s="34"/>
      <c r="AS213" s="34"/>
      <c r="AT213" s="34"/>
      <c r="AU213" s="34"/>
      <c r="AV213" s="34"/>
    </row>
    <row r="214" spans="1:48" ht="12.75" customHeight="1">
      <c r="A214" s="34"/>
      <c r="C214" s="43">
        <v>170</v>
      </c>
      <c r="D214" s="708"/>
      <c r="E214" s="588"/>
      <c r="F214" s="379"/>
      <c r="T214" s="141"/>
      <c r="U214" s="34"/>
      <c r="W214" s="43">
        <v>170</v>
      </c>
      <c r="X214" s="708"/>
      <c r="Y214" s="588"/>
      <c r="Z214" s="379"/>
      <c r="AN214" s="141"/>
      <c r="AO214" s="34"/>
      <c r="AP214" s="34"/>
      <c r="AQ214" s="34"/>
      <c r="AR214" s="34"/>
      <c r="AS214" s="34"/>
      <c r="AT214" s="34"/>
      <c r="AU214" s="34"/>
      <c r="AV214" s="34"/>
    </row>
    <row r="215" spans="1:48" ht="12.75" customHeight="1">
      <c r="A215" s="34"/>
      <c r="C215" s="43">
        <v>171</v>
      </c>
      <c r="D215" s="708"/>
      <c r="E215" s="588"/>
      <c r="F215" s="379"/>
      <c r="T215" s="141"/>
      <c r="U215" s="34"/>
      <c r="W215" s="43">
        <v>171</v>
      </c>
      <c r="X215" s="708"/>
      <c r="Y215" s="588"/>
      <c r="Z215" s="379"/>
      <c r="AN215" s="141"/>
      <c r="AO215" s="34"/>
      <c r="AP215" s="34"/>
      <c r="AQ215" s="34"/>
      <c r="AR215" s="34"/>
      <c r="AS215" s="34"/>
      <c r="AT215" s="34"/>
      <c r="AU215" s="34"/>
      <c r="AV215" s="34"/>
    </row>
    <row r="216" spans="1:48" ht="12.75" customHeight="1">
      <c r="A216" s="34"/>
      <c r="C216" s="43">
        <v>172</v>
      </c>
      <c r="D216" s="708"/>
      <c r="E216" s="588"/>
      <c r="F216" s="379"/>
      <c r="T216" s="141"/>
      <c r="U216" s="34"/>
      <c r="W216" s="43">
        <v>172</v>
      </c>
      <c r="X216" s="708"/>
      <c r="Y216" s="588"/>
      <c r="Z216" s="379"/>
      <c r="AN216" s="141"/>
      <c r="AO216" s="34"/>
      <c r="AP216" s="34"/>
      <c r="AQ216" s="34"/>
      <c r="AR216" s="34"/>
      <c r="AS216" s="34"/>
      <c r="AT216" s="34"/>
      <c r="AU216" s="34"/>
      <c r="AV216" s="34"/>
    </row>
    <row r="217" spans="1:48" ht="12.75" customHeight="1">
      <c r="A217" s="34"/>
      <c r="C217" s="43">
        <v>173</v>
      </c>
      <c r="D217" s="708"/>
      <c r="E217" s="588"/>
      <c r="F217" s="379"/>
      <c r="T217" s="141"/>
      <c r="U217" s="34"/>
      <c r="W217" s="43">
        <v>173</v>
      </c>
      <c r="X217" s="708"/>
      <c r="Y217" s="588"/>
      <c r="Z217" s="379"/>
      <c r="AN217" s="141"/>
      <c r="AO217" s="34"/>
      <c r="AP217" s="34"/>
      <c r="AQ217" s="34"/>
      <c r="AR217" s="34"/>
      <c r="AS217" s="34"/>
      <c r="AT217" s="34"/>
      <c r="AU217" s="34"/>
      <c r="AV217" s="34"/>
    </row>
    <row r="218" spans="1:48" ht="12.75" customHeight="1">
      <c r="A218" s="34"/>
      <c r="C218" s="43">
        <v>174</v>
      </c>
      <c r="D218" s="708"/>
      <c r="E218" s="588"/>
      <c r="F218" s="379"/>
      <c r="T218" s="141"/>
      <c r="U218" s="34"/>
      <c r="W218" s="43">
        <v>174</v>
      </c>
      <c r="X218" s="708"/>
      <c r="Y218" s="588"/>
      <c r="Z218" s="379"/>
      <c r="AN218" s="141"/>
      <c r="AO218" s="34"/>
      <c r="AP218" s="34"/>
      <c r="AQ218" s="34"/>
      <c r="AR218" s="34"/>
      <c r="AS218" s="34"/>
      <c r="AT218" s="34"/>
      <c r="AU218" s="34"/>
      <c r="AV218" s="34"/>
    </row>
    <row r="219" spans="1:48" ht="12.75" customHeight="1">
      <c r="A219" s="34"/>
      <c r="C219" s="43">
        <v>175</v>
      </c>
      <c r="D219" s="708"/>
      <c r="E219" s="588"/>
      <c r="F219" s="379"/>
      <c r="T219" s="141"/>
      <c r="U219" s="34"/>
      <c r="W219" s="43">
        <v>175</v>
      </c>
      <c r="X219" s="708"/>
      <c r="Y219" s="588"/>
      <c r="Z219" s="379"/>
      <c r="AN219" s="141"/>
      <c r="AO219" s="34"/>
      <c r="AP219" s="34"/>
      <c r="AQ219" s="34"/>
      <c r="AR219" s="34"/>
      <c r="AS219" s="34"/>
      <c r="AT219" s="34"/>
      <c r="AU219" s="34"/>
      <c r="AV219" s="34"/>
    </row>
    <row r="220" spans="1:48" ht="12.75" customHeight="1">
      <c r="A220" s="34"/>
      <c r="C220" s="43">
        <v>176</v>
      </c>
      <c r="D220" s="708"/>
      <c r="E220" s="588"/>
      <c r="F220" s="379"/>
      <c r="T220" s="141"/>
      <c r="U220" s="34"/>
      <c r="W220" s="43">
        <v>176</v>
      </c>
      <c r="X220" s="708"/>
      <c r="Y220" s="588"/>
      <c r="Z220" s="379"/>
      <c r="AN220" s="141"/>
      <c r="AO220" s="34"/>
      <c r="AP220" s="34"/>
      <c r="AQ220" s="34"/>
      <c r="AR220" s="34"/>
      <c r="AS220" s="34"/>
      <c r="AT220" s="34"/>
      <c r="AU220" s="34"/>
      <c r="AV220" s="34"/>
    </row>
    <row r="221" spans="1:48" ht="12.75" customHeight="1">
      <c r="A221" s="34"/>
      <c r="C221" s="43">
        <v>177</v>
      </c>
      <c r="D221" s="708"/>
      <c r="E221" s="588"/>
      <c r="F221" s="379"/>
      <c r="T221" s="141"/>
      <c r="U221" s="34"/>
      <c r="W221" s="43">
        <v>177</v>
      </c>
      <c r="X221" s="708"/>
      <c r="Y221" s="588"/>
      <c r="Z221" s="379"/>
      <c r="AN221" s="141"/>
      <c r="AO221" s="34"/>
      <c r="AP221" s="34"/>
      <c r="AQ221" s="34"/>
      <c r="AR221" s="34"/>
      <c r="AS221" s="34"/>
      <c r="AT221" s="34"/>
      <c r="AU221" s="34"/>
      <c r="AV221" s="34"/>
    </row>
    <row r="222" spans="1:48" ht="12.75" customHeight="1">
      <c r="A222" s="34"/>
      <c r="C222" s="43">
        <v>178</v>
      </c>
      <c r="D222" s="708"/>
      <c r="E222" s="588"/>
      <c r="F222" s="379"/>
      <c r="T222" s="141"/>
      <c r="U222" s="34"/>
      <c r="W222" s="43">
        <v>178</v>
      </c>
      <c r="X222" s="708"/>
      <c r="Y222" s="588"/>
      <c r="Z222" s="379"/>
      <c r="AN222" s="141"/>
      <c r="AO222" s="34"/>
      <c r="AP222" s="34"/>
      <c r="AQ222" s="34"/>
      <c r="AR222" s="34"/>
      <c r="AS222" s="34"/>
      <c r="AT222" s="34"/>
      <c r="AU222" s="34"/>
      <c r="AV222" s="34"/>
    </row>
    <row r="223" spans="1:48" ht="12.75" customHeight="1">
      <c r="A223" s="34"/>
      <c r="C223" s="43">
        <v>179</v>
      </c>
      <c r="D223" s="708"/>
      <c r="E223" s="588"/>
      <c r="F223" s="379"/>
      <c r="T223" s="141"/>
      <c r="U223" s="34"/>
      <c r="W223" s="43">
        <v>179</v>
      </c>
      <c r="X223" s="708"/>
      <c r="Y223" s="588"/>
      <c r="Z223" s="379"/>
      <c r="AN223" s="141"/>
      <c r="AO223" s="34"/>
      <c r="AP223" s="34"/>
      <c r="AQ223" s="34"/>
      <c r="AR223" s="34"/>
      <c r="AS223" s="34"/>
      <c r="AT223" s="34"/>
      <c r="AU223" s="34"/>
      <c r="AV223" s="34"/>
    </row>
    <row r="224" spans="1:48" ht="12.75" customHeight="1">
      <c r="A224" s="34"/>
      <c r="C224" s="43">
        <v>180</v>
      </c>
      <c r="D224" s="708"/>
      <c r="E224" s="588"/>
      <c r="F224" s="379"/>
      <c r="T224" s="141"/>
      <c r="U224" s="34"/>
      <c r="W224" s="43">
        <v>180</v>
      </c>
      <c r="X224" s="708"/>
      <c r="Y224" s="588"/>
      <c r="Z224" s="379"/>
      <c r="AN224" s="141"/>
      <c r="AO224" s="34"/>
      <c r="AP224" s="34"/>
      <c r="AQ224" s="34"/>
      <c r="AR224" s="34"/>
      <c r="AS224" s="34"/>
      <c r="AT224" s="34"/>
      <c r="AU224" s="34"/>
      <c r="AV224" s="34"/>
    </row>
    <row r="225" spans="1:48" ht="12.75" customHeight="1">
      <c r="A225" s="34"/>
      <c r="C225" s="43">
        <v>181</v>
      </c>
      <c r="D225" s="708"/>
      <c r="E225" s="588"/>
      <c r="F225" s="379"/>
      <c r="T225" s="141"/>
      <c r="U225" s="34"/>
      <c r="W225" s="43">
        <v>181</v>
      </c>
      <c r="X225" s="708"/>
      <c r="Y225" s="588"/>
      <c r="Z225" s="379"/>
      <c r="AN225" s="141"/>
      <c r="AO225" s="34"/>
      <c r="AP225" s="34"/>
      <c r="AQ225" s="34"/>
      <c r="AR225" s="34"/>
      <c r="AS225" s="34"/>
      <c r="AT225" s="34"/>
      <c r="AU225" s="34"/>
      <c r="AV225" s="34"/>
    </row>
    <row r="226" spans="1:48" ht="12.75" customHeight="1">
      <c r="A226" s="34"/>
      <c r="C226" s="43">
        <v>182</v>
      </c>
      <c r="D226" s="708"/>
      <c r="E226" s="588"/>
      <c r="F226" s="379"/>
      <c r="T226" s="141"/>
      <c r="U226" s="34"/>
      <c r="W226" s="43">
        <v>182</v>
      </c>
      <c r="X226" s="708"/>
      <c r="Y226" s="588"/>
      <c r="Z226" s="379"/>
      <c r="AN226" s="141"/>
      <c r="AO226" s="34"/>
      <c r="AP226" s="34"/>
      <c r="AQ226" s="34"/>
      <c r="AR226" s="34"/>
      <c r="AS226" s="34"/>
      <c r="AT226" s="34"/>
      <c r="AU226" s="34"/>
      <c r="AV226" s="34"/>
    </row>
    <row r="227" spans="1:48" ht="12.75" customHeight="1">
      <c r="A227" s="34"/>
      <c r="C227" s="43">
        <v>183</v>
      </c>
      <c r="D227" s="708"/>
      <c r="E227" s="588"/>
      <c r="F227" s="379"/>
      <c r="T227" s="141"/>
      <c r="U227" s="34"/>
      <c r="W227" s="43">
        <v>183</v>
      </c>
      <c r="X227" s="708"/>
      <c r="Y227" s="588"/>
      <c r="Z227" s="379"/>
      <c r="AN227" s="141"/>
      <c r="AO227" s="34"/>
      <c r="AP227" s="34"/>
      <c r="AQ227" s="34"/>
      <c r="AR227" s="34"/>
      <c r="AS227" s="34"/>
      <c r="AT227" s="34"/>
      <c r="AU227" s="34"/>
      <c r="AV227" s="34"/>
    </row>
    <row r="228" spans="1:48" ht="12.75" customHeight="1">
      <c r="A228" s="34"/>
      <c r="C228" s="43">
        <v>184</v>
      </c>
      <c r="D228" s="708"/>
      <c r="E228" s="588"/>
      <c r="F228" s="379"/>
      <c r="T228" s="141"/>
      <c r="U228" s="34"/>
      <c r="W228" s="43">
        <v>184</v>
      </c>
      <c r="X228" s="708"/>
      <c r="Y228" s="588"/>
      <c r="Z228" s="379"/>
      <c r="AN228" s="141"/>
      <c r="AO228" s="34"/>
      <c r="AP228" s="34"/>
      <c r="AQ228" s="34"/>
      <c r="AR228" s="34"/>
      <c r="AS228" s="34"/>
      <c r="AT228" s="34"/>
      <c r="AU228" s="34"/>
      <c r="AV228" s="34"/>
    </row>
    <row r="229" spans="1:48" ht="12.75" customHeight="1">
      <c r="A229" s="34"/>
      <c r="C229" s="43">
        <v>185</v>
      </c>
      <c r="D229" s="708"/>
      <c r="E229" s="588"/>
      <c r="F229" s="379"/>
      <c r="T229" s="141"/>
      <c r="U229" s="34"/>
      <c r="W229" s="43">
        <v>185</v>
      </c>
      <c r="X229" s="708"/>
      <c r="Y229" s="588"/>
      <c r="Z229" s="379"/>
      <c r="AN229" s="141"/>
      <c r="AO229" s="34"/>
      <c r="AP229" s="34"/>
      <c r="AQ229" s="34"/>
      <c r="AR229" s="34"/>
      <c r="AS229" s="34"/>
      <c r="AT229" s="34"/>
      <c r="AU229" s="34"/>
      <c r="AV229" s="34"/>
    </row>
    <row r="230" spans="1:48" ht="12.75" customHeight="1">
      <c r="A230" s="34"/>
      <c r="C230" s="43">
        <v>186</v>
      </c>
      <c r="D230" s="708"/>
      <c r="E230" s="588"/>
      <c r="F230" s="379"/>
      <c r="T230" s="141"/>
      <c r="U230" s="34"/>
      <c r="W230" s="43">
        <v>186</v>
      </c>
      <c r="X230" s="708"/>
      <c r="Y230" s="588"/>
      <c r="Z230" s="379"/>
      <c r="AN230" s="141"/>
      <c r="AO230" s="34"/>
      <c r="AP230" s="34"/>
      <c r="AQ230" s="34"/>
      <c r="AR230" s="34"/>
      <c r="AS230" s="34"/>
      <c r="AT230" s="34"/>
      <c r="AU230" s="34"/>
      <c r="AV230" s="34"/>
    </row>
    <row r="231" spans="1:48" ht="12.75" customHeight="1">
      <c r="A231" s="34"/>
      <c r="C231" s="43">
        <v>187</v>
      </c>
      <c r="D231" s="708"/>
      <c r="E231" s="588"/>
      <c r="F231" s="379"/>
      <c r="T231" s="141"/>
      <c r="U231" s="34"/>
      <c r="W231" s="43">
        <v>187</v>
      </c>
      <c r="X231" s="708"/>
      <c r="Y231" s="588"/>
      <c r="Z231" s="379"/>
      <c r="AN231" s="141"/>
      <c r="AO231" s="34"/>
      <c r="AP231" s="34"/>
      <c r="AQ231" s="34"/>
      <c r="AR231" s="34"/>
      <c r="AS231" s="34"/>
      <c r="AT231" s="34"/>
      <c r="AU231" s="34"/>
      <c r="AV231" s="34"/>
    </row>
    <row r="232" spans="1:48" ht="12.75" customHeight="1">
      <c r="A232" s="34"/>
      <c r="C232" s="43">
        <v>188</v>
      </c>
      <c r="D232" s="708"/>
      <c r="E232" s="588"/>
      <c r="F232" s="379"/>
      <c r="T232" s="141"/>
      <c r="U232" s="34"/>
      <c r="W232" s="43">
        <v>188</v>
      </c>
      <c r="X232" s="708"/>
      <c r="Y232" s="588"/>
      <c r="Z232" s="379"/>
      <c r="AN232" s="141"/>
      <c r="AO232" s="34"/>
      <c r="AP232" s="34"/>
      <c r="AQ232" s="34"/>
      <c r="AR232" s="34"/>
      <c r="AS232" s="34"/>
      <c r="AT232" s="34"/>
      <c r="AU232" s="34"/>
      <c r="AV232" s="34"/>
    </row>
    <row r="233" spans="1:48" ht="12.75" customHeight="1">
      <c r="A233" s="34"/>
      <c r="C233" s="43">
        <v>189</v>
      </c>
      <c r="D233" s="708"/>
      <c r="E233" s="588"/>
      <c r="F233" s="379"/>
      <c r="T233" s="141"/>
      <c r="U233" s="34"/>
      <c r="W233" s="43">
        <v>189</v>
      </c>
      <c r="X233" s="708"/>
      <c r="Y233" s="588"/>
      <c r="Z233" s="379"/>
      <c r="AN233" s="141"/>
      <c r="AO233" s="34"/>
      <c r="AP233" s="34"/>
      <c r="AQ233" s="34"/>
      <c r="AR233" s="34"/>
      <c r="AS233" s="34"/>
      <c r="AT233" s="34"/>
      <c r="AU233" s="34"/>
      <c r="AV233" s="34"/>
    </row>
    <row r="234" spans="1:48" ht="12.75" customHeight="1">
      <c r="A234" s="34"/>
      <c r="C234" s="43">
        <v>190</v>
      </c>
      <c r="D234" s="708"/>
      <c r="E234" s="588"/>
      <c r="F234" s="379"/>
      <c r="T234" s="141"/>
      <c r="U234" s="34"/>
      <c r="W234" s="43">
        <v>190</v>
      </c>
      <c r="X234" s="708"/>
      <c r="Y234" s="588"/>
      <c r="Z234" s="379"/>
      <c r="AN234" s="141"/>
      <c r="AO234" s="34"/>
      <c r="AP234" s="34"/>
      <c r="AQ234" s="34"/>
      <c r="AR234" s="34"/>
      <c r="AS234" s="34"/>
      <c r="AT234" s="34"/>
      <c r="AU234" s="34"/>
      <c r="AV234" s="34"/>
    </row>
    <row r="235" spans="1:48" ht="12.75" customHeight="1">
      <c r="A235" s="34"/>
      <c r="C235" s="43">
        <v>191</v>
      </c>
      <c r="D235" s="708"/>
      <c r="E235" s="588"/>
      <c r="F235" s="379"/>
      <c r="T235" s="141"/>
      <c r="U235" s="34"/>
      <c r="W235" s="43">
        <v>191</v>
      </c>
      <c r="X235" s="708"/>
      <c r="Y235" s="588"/>
      <c r="Z235" s="379"/>
      <c r="AN235" s="141"/>
      <c r="AO235" s="34"/>
      <c r="AP235" s="34"/>
      <c r="AQ235" s="34"/>
      <c r="AR235" s="34"/>
      <c r="AS235" s="34"/>
      <c r="AT235" s="34"/>
      <c r="AU235" s="34"/>
      <c r="AV235" s="34"/>
    </row>
    <row r="236" spans="1:48" ht="12.75" customHeight="1">
      <c r="A236" s="34"/>
      <c r="C236" s="43">
        <v>192</v>
      </c>
      <c r="D236" s="708"/>
      <c r="E236" s="588"/>
      <c r="F236" s="379"/>
      <c r="T236" s="141"/>
      <c r="U236" s="34"/>
      <c r="W236" s="43">
        <v>192</v>
      </c>
      <c r="X236" s="708"/>
      <c r="Y236" s="588"/>
      <c r="Z236" s="379"/>
      <c r="AN236" s="141"/>
      <c r="AO236" s="34"/>
      <c r="AP236" s="34"/>
      <c r="AQ236" s="34"/>
      <c r="AR236" s="34"/>
      <c r="AS236" s="34"/>
      <c r="AT236" s="34"/>
      <c r="AU236" s="34"/>
      <c r="AV236" s="34"/>
    </row>
    <row r="237" spans="1:48" ht="12.75" customHeight="1">
      <c r="A237" s="34"/>
      <c r="C237" s="43">
        <v>193</v>
      </c>
      <c r="D237" s="708"/>
      <c r="E237" s="588"/>
      <c r="F237" s="379"/>
      <c r="T237" s="141"/>
      <c r="U237" s="34"/>
      <c r="W237" s="43">
        <v>193</v>
      </c>
      <c r="X237" s="708"/>
      <c r="Y237" s="588"/>
      <c r="Z237" s="379"/>
      <c r="AN237" s="141"/>
      <c r="AO237" s="34"/>
      <c r="AP237" s="34"/>
      <c r="AQ237" s="34"/>
      <c r="AR237" s="34"/>
      <c r="AS237" s="34"/>
      <c r="AT237" s="34"/>
      <c r="AU237" s="34"/>
      <c r="AV237" s="34"/>
    </row>
    <row r="238" spans="1:48" ht="12.75" customHeight="1">
      <c r="A238" s="34"/>
      <c r="C238" s="43">
        <v>194</v>
      </c>
      <c r="D238" s="708"/>
      <c r="E238" s="588"/>
      <c r="F238" s="379"/>
      <c r="T238" s="141"/>
      <c r="U238" s="34"/>
      <c r="W238" s="43">
        <v>194</v>
      </c>
      <c r="X238" s="708"/>
      <c r="Y238" s="588"/>
      <c r="Z238" s="379"/>
      <c r="AN238" s="141"/>
      <c r="AO238" s="34"/>
      <c r="AP238" s="34"/>
      <c r="AQ238" s="34"/>
      <c r="AR238" s="34"/>
      <c r="AS238" s="34"/>
      <c r="AT238" s="34"/>
      <c r="AU238" s="34"/>
      <c r="AV238" s="34"/>
    </row>
    <row r="239" spans="1:48" ht="12.75" customHeight="1">
      <c r="A239" s="34"/>
      <c r="C239" s="43">
        <v>195</v>
      </c>
      <c r="D239" s="708"/>
      <c r="E239" s="588"/>
      <c r="F239" s="379"/>
      <c r="T239" s="141"/>
      <c r="U239" s="34"/>
      <c r="W239" s="43">
        <v>195</v>
      </c>
      <c r="X239" s="708"/>
      <c r="Y239" s="588"/>
      <c r="Z239" s="379"/>
      <c r="AN239" s="141"/>
      <c r="AO239" s="34"/>
      <c r="AP239" s="34"/>
      <c r="AQ239" s="34"/>
      <c r="AR239" s="34"/>
      <c r="AS239" s="34"/>
      <c r="AT239" s="34"/>
      <c r="AU239" s="34"/>
      <c r="AV239" s="34"/>
    </row>
    <row r="240" spans="1:48" ht="12.75" customHeight="1">
      <c r="A240" s="34"/>
      <c r="C240" s="43">
        <v>196</v>
      </c>
      <c r="D240" s="708"/>
      <c r="E240" s="588"/>
      <c r="F240" s="379"/>
      <c r="T240" s="141"/>
      <c r="U240" s="34"/>
      <c r="W240" s="43">
        <v>196</v>
      </c>
      <c r="X240" s="708"/>
      <c r="Y240" s="588"/>
      <c r="Z240" s="379"/>
      <c r="AN240" s="141"/>
      <c r="AO240" s="34"/>
      <c r="AP240" s="34"/>
      <c r="AQ240" s="34"/>
      <c r="AR240" s="34"/>
      <c r="AS240" s="34"/>
      <c r="AT240" s="34"/>
      <c r="AU240" s="34"/>
      <c r="AV240" s="34"/>
    </row>
    <row r="241" spans="1:48" ht="12.75" customHeight="1">
      <c r="A241" s="34"/>
      <c r="C241" s="43">
        <v>197</v>
      </c>
      <c r="D241" s="708"/>
      <c r="E241" s="588"/>
      <c r="F241" s="379"/>
      <c r="T241" s="141"/>
      <c r="U241" s="34"/>
      <c r="W241" s="43">
        <v>197</v>
      </c>
      <c r="X241" s="708"/>
      <c r="Y241" s="588"/>
      <c r="Z241" s="379"/>
      <c r="AN241" s="141"/>
      <c r="AO241" s="34"/>
      <c r="AP241" s="34"/>
      <c r="AQ241" s="34"/>
      <c r="AR241" s="34"/>
      <c r="AS241" s="34"/>
      <c r="AT241" s="34"/>
      <c r="AU241" s="34"/>
      <c r="AV241" s="34"/>
    </row>
    <row r="242" spans="1:48" ht="12.75" customHeight="1">
      <c r="A242" s="34"/>
      <c r="C242" s="43">
        <v>198</v>
      </c>
      <c r="D242" s="708"/>
      <c r="E242" s="588"/>
      <c r="F242" s="379"/>
      <c r="T242" s="141"/>
      <c r="U242" s="34"/>
      <c r="W242" s="43">
        <v>198</v>
      </c>
      <c r="X242" s="708"/>
      <c r="Y242" s="588"/>
      <c r="Z242" s="379"/>
      <c r="AN242" s="141"/>
      <c r="AO242" s="34"/>
      <c r="AP242" s="34"/>
      <c r="AQ242" s="34"/>
      <c r="AR242" s="34"/>
      <c r="AS242" s="34"/>
      <c r="AT242" s="34"/>
      <c r="AU242" s="34"/>
      <c r="AV242" s="34"/>
    </row>
    <row r="243" spans="1:48" ht="12.75" customHeight="1">
      <c r="A243" s="34"/>
      <c r="C243" s="43">
        <v>199</v>
      </c>
      <c r="D243" s="708"/>
      <c r="E243" s="588"/>
      <c r="F243" s="379"/>
      <c r="T243" s="141"/>
      <c r="U243" s="34"/>
      <c r="W243" s="43">
        <v>199</v>
      </c>
      <c r="X243" s="708"/>
      <c r="Y243" s="588"/>
      <c r="Z243" s="379"/>
      <c r="AN243" s="141"/>
      <c r="AO243" s="34"/>
      <c r="AP243" s="34"/>
      <c r="AQ243" s="34"/>
      <c r="AR243" s="34"/>
      <c r="AS243" s="34"/>
      <c r="AT243" s="34"/>
      <c r="AU243" s="34"/>
      <c r="AV243" s="34"/>
    </row>
    <row r="244" spans="1:48" ht="12.75" customHeight="1">
      <c r="A244" s="34"/>
      <c r="C244" s="43">
        <v>200</v>
      </c>
      <c r="D244" s="708"/>
      <c r="E244" s="588"/>
      <c r="F244" s="379"/>
      <c r="T244" s="141"/>
      <c r="U244" s="34"/>
      <c r="W244" s="43">
        <v>200</v>
      </c>
      <c r="X244" s="708"/>
      <c r="Y244" s="588"/>
      <c r="Z244" s="379"/>
      <c r="AN244" s="141"/>
      <c r="AO244" s="34"/>
      <c r="AP244" s="34"/>
      <c r="AQ244" s="34"/>
      <c r="AR244" s="34"/>
      <c r="AS244" s="34"/>
      <c r="AT244" s="34"/>
      <c r="AU244" s="34"/>
      <c r="AV244" s="34"/>
    </row>
    <row r="245" spans="1:48" ht="12.75" customHeight="1">
      <c r="A245" s="34"/>
      <c r="C245" s="43">
        <v>201</v>
      </c>
      <c r="D245" s="708"/>
      <c r="E245" s="588"/>
      <c r="F245" s="379"/>
      <c r="T245" s="141"/>
      <c r="U245" s="34"/>
      <c r="W245" s="43">
        <v>201</v>
      </c>
      <c r="X245" s="708"/>
      <c r="Y245" s="588"/>
      <c r="Z245" s="379"/>
      <c r="AN245" s="141"/>
      <c r="AO245" s="34"/>
      <c r="AP245" s="34"/>
      <c r="AQ245" s="34"/>
      <c r="AR245" s="34"/>
      <c r="AS245" s="34"/>
      <c r="AT245" s="34"/>
      <c r="AU245" s="34"/>
      <c r="AV245" s="34"/>
    </row>
    <row r="246" spans="1:48" ht="12.75" customHeight="1">
      <c r="A246" s="34"/>
      <c r="C246" s="43">
        <v>202</v>
      </c>
      <c r="D246" s="708"/>
      <c r="E246" s="588"/>
      <c r="F246" s="379"/>
      <c r="T246" s="141"/>
      <c r="U246" s="34"/>
      <c r="W246" s="43">
        <v>202</v>
      </c>
      <c r="X246" s="708"/>
      <c r="Y246" s="588"/>
      <c r="Z246" s="379"/>
      <c r="AN246" s="141"/>
      <c r="AO246" s="34"/>
      <c r="AP246" s="34"/>
      <c r="AQ246" s="34"/>
      <c r="AR246" s="34"/>
      <c r="AS246" s="34"/>
      <c r="AT246" s="34"/>
      <c r="AU246" s="34"/>
      <c r="AV246" s="34"/>
    </row>
    <row r="247" spans="1:48" ht="12.75" customHeight="1">
      <c r="A247" s="34"/>
      <c r="C247" s="43">
        <v>203</v>
      </c>
      <c r="D247" s="708"/>
      <c r="E247" s="588"/>
      <c r="F247" s="379"/>
      <c r="T247" s="141"/>
      <c r="U247" s="34"/>
      <c r="W247" s="43">
        <v>203</v>
      </c>
      <c r="X247" s="708"/>
      <c r="Y247" s="588"/>
      <c r="Z247" s="379"/>
      <c r="AN247" s="141"/>
      <c r="AO247" s="34"/>
      <c r="AP247" s="34"/>
      <c r="AQ247" s="34"/>
      <c r="AR247" s="34"/>
      <c r="AS247" s="34"/>
      <c r="AT247" s="34"/>
      <c r="AU247" s="34"/>
      <c r="AV247" s="34"/>
    </row>
    <row r="248" spans="1:48" ht="12.75" customHeight="1">
      <c r="A248" s="34"/>
      <c r="C248" s="43">
        <v>204</v>
      </c>
      <c r="D248" s="708"/>
      <c r="E248" s="588"/>
      <c r="F248" s="379"/>
      <c r="T248" s="141"/>
      <c r="U248" s="34"/>
      <c r="W248" s="43">
        <v>204</v>
      </c>
      <c r="X248" s="708"/>
      <c r="Y248" s="588"/>
      <c r="Z248" s="379"/>
      <c r="AN248" s="141"/>
      <c r="AO248" s="34"/>
      <c r="AP248" s="34"/>
      <c r="AQ248" s="34"/>
      <c r="AR248" s="34"/>
      <c r="AS248" s="34"/>
      <c r="AT248" s="34"/>
      <c r="AU248" s="34"/>
      <c r="AV248" s="34"/>
    </row>
    <row r="249" spans="1:48" ht="12.75" customHeight="1">
      <c r="A249" s="34"/>
      <c r="C249" s="43">
        <v>205</v>
      </c>
      <c r="D249" s="708"/>
      <c r="E249" s="588"/>
      <c r="F249" s="379"/>
      <c r="T249" s="141"/>
      <c r="U249" s="34"/>
      <c r="W249" s="43">
        <v>205</v>
      </c>
      <c r="X249" s="708"/>
      <c r="Y249" s="588"/>
      <c r="Z249" s="379"/>
      <c r="AN249" s="141"/>
      <c r="AO249" s="34"/>
      <c r="AP249" s="34"/>
      <c r="AQ249" s="34"/>
      <c r="AR249" s="34"/>
      <c r="AS249" s="34"/>
      <c r="AT249" s="34"/>
      <c r="AU249" s="34"/>
      <c r="AV249" s="34"/>
    </row>
    <row r="250" spans="1:48" ht="12.75" customHeight="1">
      <c r="A250" s="34"/>
      <c r="C250" s="43">
        <v>206</v>
      </c>
      <c r="D250" s="708"/>
      <c r="E250" s="588"/>
      <c r="F250" s="379"/>
      <c r="T250" s="141"/>
      <c r="U250" s="34"/>
      <c r="W250" s="43">
        <v>206</v>
      </c>
      <c r="X250" s="708"/>
      <c r="Y250" s="588"/>
      <c r="Z250" s="379"/>
      <c r="AN250" s="141"/>
      <c r="AO250" s="34"/>
      <c r="AP250" s="34"/>
      <c r="AQ250" s="34"/>
      <c r="AR250" s="34"/>
      <c r="AS250" s="34"/>
      <c r="AT250" s="34"/>
      <c r="AU250" s="34"/>
      <c r="AV250" s="34"/>
    </row>
    <row r="251" spans="1:48" ht="12.75" customHeight="1">
      <c r="A251" s="34"/>
      <c r="C251" s="43">
        <v>207</v>
      </c>
      <c r="D251" s="708"/>
      <c r="E251" s="588"/>
      <c r="F251" s="379"/>
      <c r="T251" s="141"/>
      <c r="U251" s="34"/>
      <c r="W251" s="43">
        <v>207</v>
      </c>
      <c r="X251" s="708"/>
      <c r="Y251" s="588"/>
      <c r="Z251" s="379"/>
      <c r="AN251" s="141"/>
      <c r="AO251" s="34"/>
      <c r="AP251" s="34"/>
      <c r="AQ251" s="34"/>
      <c r="AR251" s="34"/>
      <c r="AS251" s="34"/>
      <c r="AT251" s="34"/>
      <c r="AU251" s="34"/>
      <c r="AV251" s="34"/>
    </row>
    <row r="252" spans="1:48" ht="12.75" customHeight="1">
      <c r="A252" s="34"/>
      <c r="C252" s="43">
        <v>208</v>
      </c>
      <c r="D252" s="708"/>
      <c r="E252" s="588"/>
      <c r="F252" s="379"/>
      <c r="T252" s="141"/>
      <c r="U252" s="34"/>
      <c r="W252" s="43">
        <v>208</v>
      </c>
      <c r="X252" s="708"/>
      <c r="Y252" s="588"/>
      <c r="Z252" s="379"/>
      <c r="AN252" s="141"/>
      <c r="AO252" s="34"/>
      <c r="AP252" s="34"/>
      <c r="AQ252" s="34"/>
      <c r="AR252" s="34"/>
      <c r="AS252" s="34"/>
      <c r="AT252" s="34"/>
      <c r="AU252" s="34"/>
      <c r="AV252" s="34"/>
    </row>
    <row r="253" spans="1:48" ht="12.75" customHeight="1">
      <c r="A253" s="34"/>
      <c r="C253" s="43">
        <v>209</v>
      </c>
      <c r="D253" s="708"/>
      <c r="E253" s="588"/>
      <c r="F253" s="379"/>
      <c r="T253" s="141"/>
      <c r="U253" s="34"/>
      <c r="W253" s="43">
        <v>209</v>
      </c>
      <c r="X253" s="708"/>
      <c r="Y253" s="588"/>
      <c r="Z253" s="379"/>
      <c r="AN253" s="141"/>
      <c r="AO253" s="34"/>
      <c r="AP253" s="34"/>
      <c r="AQ253" s="34"/>
      <c r="AR253" s="34"/>
      <c r="AS253" s="34"/>
      <c r="AT253" s="34"/>
      <c r="AU253" s="34"/>
      <c r="AV253" s="34"/>
    </row>
    <row r="254" spans="1:48" ht="12.75" customHeight="1">
      <c r="A254" s="34"/>
      <c r="C254" s="43">
        <v>210</v>
      </c>
      <c r="D254" s="708"/>
      <c r="E254" s="588"/>
      <c r="F254" s="379"/>
      <c r="T254" s="141"/>
      <c r="U254" s="34"/>
      <c r="W254" s="43">
        <v>210</v>
      </c>
      <c r="X254" s="708"/>
      <c r="Y254" s="588"/>
      <c r="Z254" s="379"/>
      <c r="AN254" s="141"/>
      <c r="AO254" s="34"/>
      <c r="AP254" s="34"/>
      <c r="AQ254" s="34"/>
      <c r="AR254" s="34"/>
      <c r="AS254" s="34"/>
      <c r="AT254" s="34"/>
      <c r="AU254" s="34"/>
      <c r="AV254" s="34"/>
    </row>
    <row r="255" spans="1:48" ht="12.75" customHeight="1">
      <c r="A255" s="34"/>
      <c r="C255" s="43">
        <v>211</v>
      </c>
      <c r="D255" s="708"/>
      <c r="E255" s="588"/>
      <c r="F255" s="379"/>
      <c r="T255" s="141"/>
      <c r="U255" s="34"/>
      <c r="W255" s="43">
        <v>211</v>
      </c>
      <c r="X255" s="708"/>
      <c r="Y255" s="588"/>
      <c r="Z255" s="379"/>
      <c r="AN255" s="141"/>
      <c r="AO255" s="34"/>
      <c r="AP255" s="34"/>
      <c r="AQ255" s="34"/>
      <c r="AR255" s="34"/>
      <c r="AS255" s="34"/>
      <c r="AT255" s="34"/>
      <c r="AU255" s="34"/>
      <c r="AV255" s="34"/>
    </row>
    <row r="256" spans="1:48" ht="12.75" customHeight="1">
      <c r="A256" s="34"/>
      <c r="C256" s="43">
        <v>212</v>
      </c>
      <c r="D256" s="708"/>
      <c r="E256" s="588"/>
      <c r="F256" s="379"/>
      <c r="T256" s="141"/>
      <c r="U256" s="34"/>
      <c r="W256" s="43">
        <v>212</v>
      </c>
      <c r="X256" s="708"/>
      <c r="Y256" s="588"/>
      <c r="Z256" s="379"/>
      <c r="AN256" s="141"/>
      <c r="AO256" s="34"/>
      <c r="AP256" s="34"/>
      <c r="AQ256" s="34"/>
      <c r="AR256" s="34"/>
      <c r="AS256" s="34"/>
      <c r="AT256" s="34"/>
      <c r="AU256" s="34"/>
      <c r="AV256" s="34"/>
    </row>
    <row r="257" spans="1:48" ht="12.75" customHeight="1">
      <c r="A257" s="34"/>
      <c r="C257" s="43">
        <v>213</v>
      </c>
      <c r="D257" s="708"/>
      <c r="E257" s="588"/>
      <c r="F257" s="379"/>
      <c r="T257" s="141"/>
      <c r="U257" s="34"/>
      <c r="W257" s="43">
        <v>213</v>
      </c>
      <c r="X257" s="708"/>
      <c r="Y257" s="588"/>
      <c r="Z257" s="379"/>
      <c r="AN257" s="141"/>
      <c r="AO257" s="34"/>
      <c r="AP257" s="34"/>
      <c r="AQ257" s="34"/>
      <c r="AR257" s="34"/>
      <c r="AS257" s="34"/>
      <c r="AT257" s="34"/>
      <c r="AU257" s="34"/>
      <c r="AV257" s="34"/>
    </row>
    <row r="258" spans="1:48" ht="12.75" customHeight="1">
      <c r="A258" s="34"/>
      <c r="C258" s="43">
        <v>214</v>
      </c>
      <c r="D258" s="708"/>
      <c r="E258" s="588"/>
      <c r="F258" s="379"/>
      <c r="T258" s="141"/>
      <c r="U258" s="34"/>
      <c r="W258" s="43">
        <v>214</v>
      </c>
      <c r="X258" s="708"/>
      <c r="Y258" s="588"/>
      <c r="Z258" s="379"/>
      <c r="AN258" s="141"/>
      <c r="AO258" s="34"/>
      <c r="AP258" s="34"/>
      <c r="AQ258" s="34"/>
      <c r="AR258" s="34"/>
      <c r="AS258" s="34"/>
      <c r="AT258" s="34"/>
      <c r="AU258" s="34"/>
      <c r="AV258" s="34"/>
    </row>
    <row r="259" spans="1:48" ht="12.75" customHeight="1">
      <c r="A259" s="34"/>
      <c r="C259" s="43">
        <v>215</v>
      </c>
      <c r="D259" s="708"/>
      <c r="E259" s="588"/>
      <c r="F259" s="379"/>
      <c r="T259" s="141"/>
      <c r="U259" s="34"/>
      <c r="W259" s="43">
        <v>215</v>
      </c>
      <c r="X259" s="708"/>
      <c r="Y259" s="588"/>
      <c r="Z259" s="379"/>
      <c r="AN259" s="141"/>
      <c r="AO259" s="34"/>
      <c r="AP259" s="34"/>
      <c r="AQ259" s="34"/>
      <c r="AR259" s="34"/>
      <c r="AS259" s="34"/>
      <c r="AT259" s="34"/>
      <c r="AU259" s="34"/>
      <c r="AV259" s="34"/>
    </row>
    <row r="260" spans="1:48" ht="12.75" customHeight="1">
      <c r="A260" s="34"/>
      <c r="C260" s="43">
        <v>216</v>
      </c>
      <c r="D260" s="708"/>
      <c r="E260" s="588"/>
      <c r="F260" s="379"/>
      <c r="T260" s="141"/>
      <c r="U260" s="34"/>
      <c r="W260" s="43">
        <v>216</v>
      </c>
      <c r="X260" s="708"/>
      <c r="Y260" s="588"/>
      <c r="Z260" s="379"/>
      <c r="AN260" s="141"/>
      <c r="AO260" s="34"/>
      <c r="AP260" s="34"/>
      <c r="AQ260" s="34"/>
      <c r="AR260" s="34"/>
      <c r="AS260" s="34"/>
      <c r="AT260" s="34"/>
      <c r="AU260" s="34"/>
      <c r="AV260" s="34"/>
    </row>
    <row r="261" spans="1:48" ht="12.75" customHeight="1">
      <c r="A261" s="34"/>
      <c r="C261" s="43">
        <v>217</v>
      </c>
      <c r="D261" s="708"/>
      <c r="E261" s="588"/>
      <c r="F261" s="379"/>
      <c r="T261" s="141"/>
      <c r="U261" s="34"/>
      <c r="W261" s="43">
        <v>217</v>
      </c>
      <c r="X261" s="708"/>
      <c r="Y261" s="588"/>
      <c r="Z261" s="379"/>
      <c r="AN261" s="141"/>
      <c r="AO261" s="34"/>
      <c r="AP261" s="34"/>
      <c r="AQ261" s="34"/>
      <c r="AR261" s="34"/>
      <c r="AS261" s="34"/>
      <c r="AT261" s="34"/>
      <c r="AU261" s="34"/>
      <c r="AV261" s="34"/>
    </row>
    <row r="262" spans="1:48" ht="12.75" customHeight="1">
      <c r="A262" s="34"/>
      <c r="C262" s="43">
        <v>218</v>
      </c>
      <c r="D262" s="708"/>
      <c r="E262" s="588"/>
      <c r="F262" s="379"/>
      <c r="T262" s="141"/>
      <c r="U262" s="34"/>
      <c r="W262" s="43">
        <v>218</v>
      </c>
      <c r="X262" s="708"/>
      <c r="Y262" s="588"/>
      <c r="Z262" s="379"/>
      <c r="AN262" s="141"/>
      <c r="AO262" s="34"/>
      <c r="AP262" s="34"/>
      <c r="AQ262" s="34"/>
      <c r="AR262" s="34"/>
      <c r="AS262" s="34"/>
      <c r="AT262" s="34"/>
      <c r="AU262" s="34"/>
      <c r="AV262" s="34"/>
    </row>
    <row r="263" spans="1:48" ht="12.75" customHeight="1">
      <c r="A263" s="34"/>
      <c r="C263" s="43">
        <v>219</v>
      </c>
      <c r="D263" s="708"/>
      <c r="E263" s="588"/>
      <c r="F263" s="379"/>
      <c r="T263" s="141"/>
      <c r="U263" s="34"/>
      <c r="W263" s="43">
        <v>219</v>
      </c>
      <c r="X263" s="708"/>
      <c r="Y263" s="588"/>
      <c r="Z263" s="379"/>
      <c r="AN263" s="141"/>
      <c r="AO263" s="34"/>
      <c r="AP263" s="34"/>
      <c r="AQ263" s="34"/>
      <c r="AR263" s="34"/>
      <c r="AS263" s="34"/>
      <c r="AT263" s="34"/>
      <c r="AU263" s="34"/>
      <c r="AV263" s="34"/>
    </row>
    <row r="264" spans="1:48" ht="12.75" customHeight="1">
      <c r="A264" s="34"/>
      <c r="C264" s="43">
        <v>220</v>
      </c>
      <c r="D264" s="708"/>
      <c r="E264" s="588"/>
      <c r="F264" s="379"/>
      <c r="T264" s="141"/>
      <c r="U264" s="34"/>
      <c r="W264" s="43">
        <v>220</v>
      </c>
      <c r="X264" s="708"/>
      <c r="Y264" s="588"/>
      <c r="Z264" s="379"/>
      <c r="AN264" s="141"/>
      <c r="AO264" s="34"/>
      <c r="AP264" s="34"/>
      <c r="AQ264" s="34"/>
      <c r="AR264" s="34"/>
      <c r="AS264" s="34"/>
      <c r="AT264" s="34"/>
      <c r="AU264" s="34"/>
      <c r="AV264" s="34"/>
    </row>
    <row r="265" spans="1:48" ht="12.75" customHeight="1">
      <c r="A265" s="34"/>
      <c r="C265" s="43">
        <v>221</v>
      </c>
      <c r="D265" s="708"/>
      <c r="E265" s="588"/>
      <c r="F265" s="379"/>
      <c r="T265" s="141"/>
      <c r="U265" s="34"/>
      <c r="W265" s="43">
        <v>221</v>
      </c>
      <c r="X265" s="708"/>
      <c r="Y265" s="588"/>
      <c r="Z265" s="379"/>
      <c r="AN265" s="141"/>
      <c r="AO265" s="34"/>
      <c r="AP265" s="34"/>
      <c r="AQ265" s="34"/>
      <c r="AR265" s="34"/>
      <c r="AS265" s="34"/>
      <c r="AT265" s="34"/>
      <c r="AU265" s="34"/>
      <c r="AV265" s="34"/>
    </row>
    <row r="266" spans="1:48" ht="12.75" customHeight="1">
      <c r="A266" s="34"/>
      <c r="C266" s="43">
        <v>222</v>
      </c>
      <c r="D266" s="708"/>
      <c r="E266" s="588"/>
      <c r="F266" s="379"/>
      <c r="T266" s="141"/>
      <c r="U266" s="34"/>
      <c r="W266" s="43">
        <v>222</v>
      </c>
      <c r="X266" s="708"/>
      <c r="Y266" s="588"/>
      <c r="Z266" s="379"/>
      <c r="AN266" s="141"/>
      <c r="AO266" s="34"/>
      <c r="AP266" s="34"/>
      <c r="AQ266" s="34"/>
      <c r="AR266" s="34"/>
      <c r="AS266" s="34"/>
      <c r="AT266" s="34"/>
      <c r="AU266" s="34"/>
      <c r="AV266" s="34"/>
    </row>
    <row r="267" spans="1:48" ht="12.75" customHeight="1">
      <c r="A267" s="34"/>
      <c r="C267" s="43">
        <v>223</v>
      </c>
      <c r="D267" s="708"/>
      <c r="E267" s="588"/>
      <c r="F267" s="379"/>
      <c r="T267" s="141"/>
      <c r="U267" s="34"/>
      <c r="W267" s="43">
        <v>223</v>
      </c>
      <c r="X267" s="708"/>
      <c r="Y267" s="588"/>
      <c r="Z267" s="379"/>
      <c r="AN267" s="141"/>
      <c r="AO267" s="34"/>
      <c r="AP267" s="34"/>
      <c r="AQ267" s="34"/>
      <c r="AR267" s="34"/>
      <c r="AS267" s="34"/>
      <c r="AT267" s="34"/>
      <c r="AU267" s="34"/>
      <c r="AV267" s="34"/>
    </row>
    <row r="268" spans="1:48" ht="12.75" customHeight="1">
      <c r="A268" s="34"/>
      <c r="C268" s="43">
        <v>224</v>
      </c>
      <c r="D268" s="708"/>
      <c r="E268" s="588"/>
      <c r="F268" s="379"/>
      <c r="T268" s="141"/>
      <c r="U268" s="34"/>
      <c r="W268" s="43">
        <v>224</v>
      </c>
      <c r="X268" s="708"/>
      <c r="Y268" s="588"/>
      <c r="Z268" s="379"/>
      <c r="AN268" s="141"/>
      <c r="AO268" s="34"/>
      <c r="AP268" s="34"/>
      <c r="AQ268" s="34"/>
      <c r="AR268" s="34"/>
      <c r="AS268" s="34"/>
      <c r="AT268" s="34"/>
      <c r="AU268" s="34"/>
      <c r="AV268" s="34"/>
    </row>
    <row r="269" spans="1:48" ht="12.75" customHeight="1">
      <c r="A269" s="34"/>
      <c r="C269" s="43">
        <v>225</v>
      </c>
      <c r="D269" s="708"/>
      <c r="E269" s="588"/>
      <c r="F269" s="379"/>
      <c r="T269" s="141"/>
      <c r="U269" s="34"/>
      <c r="W269" s="43">
        <v>225</v>
      </c>
      <c r="X269" s="708"/>
      <c r="Y269" s="588"/>
      <c r="Z269" s="379"/>
      <c r="AN269" s="141"/>
      <c r="AO269" s="34"/>
      <c r="AP269" s="34"/>
      <c r="AQ269" s="34"/>
      <c r="AR269" s="34"/>
      <c r="AS269" s="34"/>
      <c r="AT269" s="34"/>
      <c r="AU269" s="34"/>
      <c r="AV269" s="34"/>
    </row>
    <row r="270" spans="1:48" ht="12.75" customHeight="1">
      <c r="A270" s="34"/>
      <c r="C270" s="43">
        <v>226</v>
      </c>
      <c r="D270" s="708"/>
      <c r="E270" s="588"/>
      <c r="F270" s="379"/>
      <c r="T270" s="141"/>
      <c r="U270" s="34"/>
      <c r="W270" s="43">
        <v>226</v>
      </c>
      <c r="X270" s="708"/>
      <c r="Y270" s="588"/>
      <c r="Z270" s="379"/>
      <c r="AN270" s="141"/>
      <c r="AO270" s="34"/>
      <c r="AP270" s="34"/>
      <c r="AQ270" s="34"/>
      <c r="AR270" s="34"/>
      <c r="AS270" s="34"/>
      <c r="AT270" s="34"/>
      <c r="AU270" s="34"/>
      <c r="AV270" s="34"/>
    </row>
    <row r="271" spans="1:48" ht="12.75" customHeight="1">
      <c r="A271" s="34"/>
      <c r="C271" s="43">
        <v>227</v>
      </c>
      <c r="D271" s="708"/>
      <c r="E271" s="588"/>
      <c r="F271" s="379"/>
      <c r="T271" s="141"/>
      <c r="U271" s="34"/>
      <c r="W271" s="43">
        <v>227</v>
      </c>
      <c r="X271" s="708"/>
      <c r="Y271" s="588"/>
      <c r="Z271" s="379"/>
      <c r="AN271" s="141"/>
      <c r="AO271" s="34"/>
      <c r="AP271" s="34"/>
      <c r="AQ271" s="34"/>
      <c r="AR271" s="34"/>
      <c r="AS271" s="34"/>
      <c r="AT271" s="34"/>
      <c r="AU271" s="34"/>
      <c r="AV271" s="34"/>
    </row>
    <row r="272" spans="1:48" ht="12.75" customHeight="1">
      <c r="A272" s="34"/>
      <c r="C272" s="43">
        <v>228</v>
      </c>
      <c r="D272" s="708"/>
      <c r="E272" s="588"/>
      <c r="F272" s="379"/>
      <c r="T272" s="141"/>
      <c r="U272" s="34"/>
      <c r="W272" s="43">
        <v>228</v>
      </c>
      <c r="X272" s="708"/>
      <c r="Y272" s="588"/>
      <c r="Z272" s="379"/>
      <c r="AN272" s="141"/>
      <c r="AO272" s="34"/>
      <c r="AP272" s="34"/>
      <c r="AQ272" s="34"/>
      <c r="AR272" s="34"/>
      <c r="AS272" s="34"/>
      <c r="AT272" s="34"/>
      <c r="AU272" s="34"/>
      <c r="AV272" s="34"/>
    </row>
    <row r="273" spans="1:48" ht="12.75" customHeight="1">
      <c r="A273" s="34"/>
      <c r="C273" s="43">
        <v>229</v>
      </c>
      <c r="D273" s="708"/>
      <c r="E273" s="588"/>
      <c r="F273" s="379"/>
      <c r="T273" s="141"/>
      <c r="U273" s="34"/>
      <c r="W273" s="43">
        <v>229</v>
      </c>
      <c r="X273" s="708"/>
      <c r="Y273" s="588"/>
      <c r="Z273" s="379"/>
      <c r="AN273" s="141"/>
      <c r="AO273" s="34"/>
      <c r="AP273" s="34"/>
      <c r="AQ273" s="34"/>
      <c r="AR273" s="34"/>
      <c r="AS273" s="34"/>
      <c r="AT273" s="34"/>
      <c r="AU273" s="34"/>
      <c r="AV273" s="34"/>
    </row>
    <row r="274" spans="1:48" ht="12.75" customHeight="1">
      <c r="A274" s="34"/>
      <c r="C274" s="43">
        <v>230</v>
      </c>
      <c r="D274" s="708"/>
      <c r="E274" s="588"/>
      <c r="F274" s="379"/>
      <c r="T274" s="141"/>
      <c r="U274" s="34"/>
      <c r="W274" s="43">
        <v>230</v>
      </c>
      <c r="X274" s="708"/>
      <c r="Y274" s="588"/>
      <c r="Z274" s="379"/>
      <c r="AN274" s="141"/>
      <c r="AO274" s="34"/>
      <c r="AP274" s="34"/>
      <c r="AQ274" s="34"/>
      <c r="AR274" s="34"/>
      <c r="AS274" s="34"/>
      <c r="AT274" s="34"/>
      <c r="AU274" s="34"/>
      <c r="AV274" s="34"/>
    </row>
    <row r="275" spans="1:48" ht="12.75" customHeight="1">
      <c r="A275" s="34"/>
      <c r="C275" s="43">
        <v>231</v>
      </c>
      <c r="D275" s="708"/>
      <c r="E275" s="588"/>
      <c r="F275" s="379"/>
      <c r="T275" s="141"/>
      <c r="U275" s="34"/>
      <c r="W275" s="43">
        <v>231</v>
      </c>
      <c r="X275" s="708"/>
      <c r="Y275" s="588"/>
      <c r="Z275" s="379"/>
      <c r="AN275" s="141"/>
      <c r="AO275" s="34"/>
      <c r="AP275" s="34"/>
      <c r="AQ275" s="34"/>
      <c r="AR275" s="34"/>
      <c r="AS275" s="34"/>
      <c r="AT275" s="34"/>
      <c r="AU275" s="34"/>
      <c r="AV275" s="34"/>
    </row>
    <row r="276" spans="1:48" ht="12.75" customHeight="1">
      <c r="A276" s="34"/>
      <c r="C276" s="43">
        <v>232</v>
      </c>
      <c r="D276" s="708"/>
      <c r="E276" s="588"/>
      <c r="F276" s="379"/>
      <c r="T276" s="141"/>
      <c r="U276" s="34"/>
      <c r="W276" s="43">
        <v>232</v>
      </c>
      <c r="X276" s="708"/>
      <c r="Y276" s="588"/>
      <c r="Z276" s="379"/>
      <c r="AN276" s="141"/>
      <c r="AO276" s="34"/>
      <c r="AP276" s="34"/>
      <c r="AQ276" s="34"/>
      <c r="AR276" s="34"/>
      <c r="AS276" s="34"/>
      <c r="AT276" s="34"/>
      <c r="AU276" s="34"/>
      <c r="AV276" s="34"/>
    </row>
    <row r="277" spans="1:48" ht="12.75" customHeight="1">
      <c r="A277" s="34"/>
      <c r="C277" s="43">
        <v>233</v>
      </c>
      <c r="D277" s="708"/>
      <c r="E277" s="588"/>
      <c r="F277" s="379"/>
      <c r="T277" s="141"/>
      <c r="U277" s="34"/>
      <c r="W277" s="43">
        <v>233</v>
      </c>
      <c r="X277" s="708"/>
      <c r="Y277" s="588"/>
      <c r="Z277" s="379"/>
      <c r="AN277" s="141"/>
      <c r="AO277" s="34"/>
      <c r="AP277" s="34"/>
      <c r="AQ277" s="34"/>
      <c r="AR277" s="34"/>
      <c r="AS277" s="34"/>
      <c r="AT277" s="34"/>
      <c r="AU277" s="34"/>
      <c r="AV277" s="34"/>
    </row>
    <row r="278" spans="1:48" ht="12.75" customHeight="1">
      <c r="A278" s="34"/>
      <c r="C278" s="43">
        <v>234</v>
      </c>
      <c r="D278" s="708"/>
      <c r="E278" s="588"/>
      <c r="F278" s="379"/>
      <c r="T278" s="141"/>
      <c r="U278" s="34"/>
      <c r="W278" s="43">
        <v>234</v>
      </c>
      <c r="X278" s="708"/>
      <c r="Y278" s="588"/>
      <c r="Z278" s="379"/>
      <c r="AN278" s="141"/>
      <c r="AO278" s="34"/>
      <c r="AP278" s="34"/>
      <c r="AQ278" s="34"/>
      <c r="AR278" s="34"/>
      <c r="AS278" s="34"/>
      <c r="AT278" s="34"/>
      <c r="AU278" s="34"/>
      <c r="AV278" s="34"/>
    </row>
    <row r="279" spans="1:48" ht="12.75" customHeight="1">
      <c r="A279" s="34"/>
      <c r="C279" s="43">
        <v>235</v>
      </c>
      <c r="D279" s="708"/>
      <c r="E279" s="588"/>
      <c r="F279" s="379"/>
      <c r="T279" s="141"/>
      <c r="U279" s="34"/>
      <c r="W279" s="43">
        <v>235</v>
      </c>
      <c r="X279" s="708"/>
      <c r="Y279" s="588"/>
      <c r="Z279" s="379"/>
      <c r="AN279" s="141"/>
      <c r="AO279" s="34"/>
      <c r="AP279" s="34"/>
      <c r="AQ279" s="34"/>
      <c r="AR279" s="34"/>
      <c r="AS279" s="34"/>
      <c r="AT279" s="34"/>
      <c r="AU279" s="34"/>
      <c r="AV279" s="34"/>
    </row>
    <row r="280" spans="1:48" ht="12.75" customHeight="1">
      <c r="A280" s="34"/>
      <c r="C280" s="43">
        <v>236</v>
      </c>
      <c r="D280" s="708"/>
      <c r="E280" s="588"/>
      <c r="F280" s="379"/>
      <c r="T280" s="141"/>
      <c r="U280" s="34"/>
      <c r="W280" s="43">
        <v>236</v>
      </c>
      <c r="X280" s="708"/>
      <c r="Y280" s="588"/>
      <c r="Z280" s="379"/>
      <c r="AN280" s="141"/>
      <c r="AO280" s="34"/>
      <c r="AP280" s="34"/>
      <c r="AQ280" s="34"/>
      <c r="AR280" s="34"/>
      <c r="AS280" s="34"/>
      <c r="AT280" s="34"/>
      <c r="AU280" s="34"/>
      <c r="AV280" s="34"/>
    </row>
    <row r="281" spans="1:48" ht="12.75" customHeight="1">
      <c r="A281" s="34"/>
      <c r="C281" s="43">
        <v>237</v>
      </c>
      <c r="D281" s="708"/>
      <c r="E281" s="588"/>
      <c r="F281" s="379"/>
      <c r="T281" s="141"/>
      <c r="U281" s="34"/>
      <c r="W281" s="43">
        <v>237</v>
      </c>
      <c r="X281" s="708"/>
      <c r="Y281" s="588"/>
      <c r="Z281" s="379"/>
      <c r="AN281" s="141"/>
      <c r="AO281" s="34"/>
      <c r="AP281" s="34"/>
      <c r="AQ281" s="34"/>
      <c r="AR281" s="34"/>
      <c r="AS281" s="34"/>
      <c r="AT281" s="34"/>
      <c r="AU281" s="34"/>
      <c r="AV281" s="34"/>
    </row>
    <row r="282" spans="1:48" ht="12.75" customHeight="1">
      <c r="A282" s="34"/>
      <c r="C282" s="43">
        <v>238</v>
      </c>
      <c r="D282" s="708"/>
      <c r="E282" s="588"/>
      <c r="F282" s="379"/>
      <c r="T282" s="141"/>
      <c r="U282" s="34"/>
      <c r="W282" s="43">
        <v>238</v>
      </c>
      <c r="X282" s="708"/>
      <c r="Y282" s="588"/>
      <c r="Z282" s="379"/>
      <c r="AN282" s="141"/>
      <c r="AO282" s="34"/>
      <c r="AP282" s="34"/>
      <c r="AQ282" s="34"/>
      <c r="AR282" s="34"/>
      <c r="AS282" s="34"/>
      <c r="AT282" s="34"/>
      <c r="AU282" s="34"/>
      <c r="AV282" s="34"/>
    </row>
    <row r="283" spans="1:48" ht="12.75" customHeight="1">
      <c r="A283" s="34"/>
      <c r="C283" s="43">
        <v>239</v>
      </c>
      <c r="D283" s="708"/>
      <c r="E283" s="588"/>
      <c r="F283" s="379"/>
      <c r="T283" s="141"/>
      <c r="U283" s="34"/>
      <c r="W283" s="43">
        <v>239</v>
      </c>
      <c r="X283" s="708"/>
      <c r="Y283" s="588"/>
      <c r="Z283" s="379"/>
      <c r="AN283" s="141"/>
      <c r="AO283" s="34"/>
      <c r="AP283" s="34"/>
      <c r="AQ283" s="34"/>
      <c r="AR283" s="34"/>
      <c r="AS283" s="34"/>
      <c r="AT283" s="34"/>
      <c r="AU283" s="34"/>
      <c r="AV283" s="34"/>
    </row>
    <row r="284" spans="1:48" ht="12.75" customHeight="1">
      <c r="A284" s="34"/>
      <c r="C284" s="43">
        <v>240</v>
      </c>
      <c r="D284" s="708"/>
      <c r="E284" s="588"/>
      <c r="F284" s="379"/>
      <c r="T284" s="141"/>
      <c r="U284" s="34"/>
      <c r="W284" s="43">
        <v>240</v>
      </c>
      <c r="X284" s="708"/>
      <c r="Y284" s="588"/>
      <c r="Z284" s="379"/>
      <c r="AN284" s="141"/>
      <c r="AO284" s="34"/>
      <c r="AP284" s="34"/>
      <c r="AQ284" s="34"/>
      <c r="AR284" s="34"/>
      <c r="AS284" s="34"/>
      <c r="AT284" s="34"/>
      <c r="AU284" s="34"/>
      <c r="AV284" s="34"/>
    </row>
    <row r="285" spans="1:48" ht="12.75" customHeight="1">
      <c r="A285" s="34"/>
      <c r="C285" s="43">
        <v>241</v>
      </c>
      <c r="D285" s="708"/>
      <c r="E285" s="588"/>
      <c r="F285" s="379"/>
      <c r="T285" s="141"/>
      <c r="U285" s="34"/>
      <c r="W285" s="43">
        <v>241</v>
      </c>
      <c r="X285" s="708"/>
      <c r="Y285" s="588"/>
      <c r="Z285" s="379"/>
      <c r="AN285" s="141"/>
      <c r="AO285" s="34"/>
      <c r="AP285" s="34"/>
      <c r="AQ285" s="34"/>
      <c r="AR285" s="34"/>
      <c r="AS285" s="34"/>
      <c r="AT285" s="34"/>
      <c r="AU285" s="34"/>
      <c r="AV285" s="34"/>
    </row>
    <row r="286" spans="1:48" ht="12.75" customHeight="1">
      <c r="A286" s="34"/>
      <c r="C286" s="43">
        <v>242</v>
      </c>
      <c r="D286" s="708"/>
      <c r="E286" s="588"/>
      <c r="F286" s="379"/>
      <c r="T286" s="141"/>
      <c r="U286" s="34"/>
      <c r="W286" s="43">
        <v>242</v>
      </c>
      <c r="X286" s="708"/>
      <c r="Y286" s="588"/>
      <c r="Z286" s="379"/>
      <c r="AN286" s="141"/>
      <c r="AO286" s="34"/>
      <c r="AP286" s="34"/>
      <c r="AQ286" s="34"/>
      <c r="AR286" s="34"/>
      <c r="AS286" s="34"/>
      <c r="AT286" s="34"/>
      <c r="AU286" s="34"/>
      <c r="AV286" s="34"/>
    </row>
    <row r="287" spans="1:48" ht="12.75" customHeight="1">
      <c r="A287" s="34"/>
      <c r="C287" s="43">
        <v>243</v>
      </c>
      <c r="D287" s="708"/>
      <c r="E287" s="588"/>
      <c r="F287" s="379"/>
      <c r="T287" s="141"/>
      <c r="U287" s="34"/>
      <c r="W287" s="43">
        <v>243</v>
      </c>
      <c r="X287" s="708"/>
      <c r="Y287" s="588"/>
      <c r="Z287" s="379"/>
      <c r="AN287" s="141"/>
      <c r="AO287" s="34"/>
      <c r="AP287" s="34"/>
      <c r="AQ287" s="34"/>
      <c r="AR287" s="34"/>
      <c r="AS287" s="34"/>
      <c r="AT287" s="34"/>
      <c r="AU287" s="34"/>
      <c r="AV287" s="34"/>
    </row>
    <row r="288" spans="1:48" ht="12.75" customHeight="1">
      <c r="A288" s="34"/>
      <c r="C288" s="43">
        <v>244</v>
      </c>
      <c r="D288" s="708"/>
      <c r="E288" s="588"/>
      <c r="F288" s="379"/>
      <c r="T288" s="141"/>
      <c r="U288" s="34"/>
      <c r="W288" s="43">
        <v>244</v>
      </c>
      <c r="X288" s="708"/>
      <c r="Y288" s="588"/>
      <c r="Z288" s="379"/>
      <c r="AN288" s="141"/>
      <c r="AO288" s="34"/>
      <c r="AP288" s="34"/>
      <c r="AQ288" s="34"/>
      <c r="AR288" s="34"/>
      <c r="AS288" s="34"/>
      <c r="AT288" s="34"/>
      <c r="AU288" s="34"/>
      <c r="AV288" s="34"/>
    </row>
    <row r="289" spans="1:48" ht="12.75" customHeight="1">
      <c r="A289" s="34"/>
      <c r="C289" s="43">
        <v>245</v>
      </c>
      <c r="D289" s="708"/>
      <c r="E289" s="588"/>
      <c r="F289" s="379"/>
      <c r="T289" s="141"/>
      <c r="U289" s="34"/>
      <c r="W289" s="43">
        <v>245</v>
      </c>
      <c r="X289" s="708"/>
      <c r="Y289" s="588"/>
      <c r="Z289" s="379"/>
      <c r="AN289" s="141"/>
      <c r="AO289" s="34"/>
      <c r="AP289" s="34"/>
      <c r="AQ289" s="34"/>
      <c r="AR289" s="34"/>
      <c r="AS289" s="34"/>
      <c r="AT289" s="34"/>
      <c r="AU289" s="34"/>
      <c r="AV289" s="34"/>
    </row>
    <row r="290" spans="1:48" ht="12.75" customHeight="1">
      <c r="A290" s="34"/>
      <c r="C290" s="43">
        <v>246</v>
      </c>
      <c r="D290" s="708"/>
      <c r="E290" s="588"/>
      <c r="F290" s="379"/>
      <c r="T290" s="141"/>
      <c r="U290" s="34"/>
      <c r="W290" s="43">
        <v>246</v>
      </c>
      <c r="X290" s="708"/>
      <c r="Y290" s="588"/>
      <c r="Z290" s="379"/>
      <c r="AN290" s="141"/>
      <c r="AO290" s="34"/>
      <c r="AP290" s="34"/>
      <c r="AQ290" s="34"/>
      <c r="AR290" s="34"/>
      <c r="AS290" s="34"/>
      <c r="AT290" s="34"/>
      <c r="AU290" s="34"/>
      <c r="AV290" s="34"/>
    </row>
    <row r="291" spans="1:48" ht="12.75" customHeight="1">
      <c r="A291" s="34"/>
      <c r="C291" s="43">
        <v>247</v>
      </c>
      <c r="D291" s="708"/>
      <c r="E291" s="588"/>
      <c r="F291" s="379"/>
      <c r="T291" s="141"/>
      <c r="U291" s="34"/>
      <c r="W291" s="43">
        <v>247</v>
      </c>
      <c r="X291" s="708"/>
      <c r="Y291" s="588"/>
      <c r="Z291" s="379"/>
      <c r="AN291" s="141"/>
      <c r="AO291" s="34"/>
      <c r="AP291" s="34"/>
      <c r="AQ291" s="34"/>
      <c r="AR291" s="34"/>
      <c r="AS291" s="34"/>
      <c r="AT291" s="34"/>
      <c r="AU291" s="34"/>
      <c r="AV291" s="34"/>
    </row>
    <row r="292" spans="1:48" ht="12.75" customHeight="1">
      <c r="A292" s="34"/>
      <c r="C292" s="43">
        <v>248</v>
      </c>
      <c r="D292" s="708"/>
      <c r="E292" s="588"/>
      <c r="F292" s="379"/>
      <c r="T292" s="141"/>
      <c r="U292" s="34"/>
      <c r="W292" s="43">
        <v>248</v>
      </c>
      <c r="X292" s="708"/>
      <c r="Y292" s="588"/>
      <c r="Z292" s="379"/>
      <c r="AN292" s="141"/>
      <c r="AO292" s="34"/>
      <c r="AP292" s="34"/>
      <c r="AQ292" s="34"/>
      <c r="AR292" s="34"/>
      <c r="AS292" s="34"/>
      <c r="AT292" s="34"/>
      <c r="AU292" s="34"/>
      <c r="AV292" s="34"/>
    </row>
    <row r="293" spans="1:48" ht="12.75" customHeight="1">
      <c r="A293" s="34"/>
      <c r="C293" s="43">
        <v>249</v>
      </c>
      <c r="D293" s="708"/>
      <c r="E293" s="588"/>
      <c r="F293" s="379"/>
      <c r="T293" s="141"/>
      <c r="U293" s="34"/>
      <c r="W293" s="43">
        <v>249</v>
      </c>
      <c r="X293" s="708"/>
      <c r="Y293" s="588"/>
      <c r="Z293" s="379"/>
      <c r="AN293" s="141"/>
      <c r="AO293" s="34"/>
      <c r="AP293" s="34"/>
      <c r="AQ293" s="34"/>
      <c r="AR293" s="34"/>
      <c r="AS293" s="34"/>
      <c r="AT293" s="34"/>
      <c r="AU293" s="34"/>
      <c r="AV293" s="34"/>
    </row>
    <row r="294" spans="1:48" ht="12.75" customHeight="1">
      <c r="A294" s="34"/>
      <c r="C294" s="43">
        <v>250</v>
      </c>
      <c r="D294" s="708"/>
      <c r="E294" s="588"/>
      <c r="F294" s="379"/>
      <c r="T294" s="141"/>
      <c r="U294" s="34"/>
      <c r="W294" s="43">
        <v>250</v>
      </c>
      <c r="X294" s="708"/>
      <c r="Y294" s="588"/>
      <c r="Z294" s="379"/>
      <c r="AN294" s="141"/>
      <c r="AO294" s="34"/>
      <c r="AP294" s="34"/>
      <c r="AQ294" s="34"/>
      <c r="AR294" s="34"/>
      <c r="AS294" s="34"/>
      <c r="AT294" s="34"/>
      <c r="AU294" s="34"/>
      <c r="AV294" s="34"/>
    </row>
    <row r="295" spans="1:48" ht="12.75" customHeight="1">
      <c r="A295" s="34"/>
      <c r="C295" s="43">
        <v>251</v>
      </c>
      <c r="D295" s="708"/>
      <c r="E295" s="588"/>
      <c r="F295" s="379"/>
      <c r="T295" s="141"/>
      <c r="U295" s="34"/>
      <c r="W295" s="43">
        <v>251</v>
      </c>
      <c r="X295" s="708"/>
      <c r="Y295" s="588"/>
      <c r="Z295" s="379"/>
      <c r="AN295" s="141"/>
      <c r="AO295" s="34"/>
      <c r="AP295" s="34"/>
      <c r="AQ295" s="34"/>
      <c r="AR295" s="34"/>
      <c r="AS295" s="34"/>
      <c r="AT295" s="34"/>
      <c r="AU295" s="34"/>
      <c r="AV295" s="34"/>
    </row>
    <row r="296" spans="1:48" ht="12.75" customHeight="1">
      <c r="A296" s="34"/>
      <c r="C296" s="43">
        <v>252</v>
      </c>
      <c r="D296" s="708"/>
      <c r="E296" s="588"/>
      <c r="F296" s="379"/>
      <c r="T296" s="141"/>
      <c r="U296" s="34"/>
      <c r="W296" s="43">
        <v>252</v>
      </c>
      <c r="X296" s="708"/>
      <c r="Y296" s="588"/>
      <c r="Z296" s="379"/>
      <c r="AN296" s="141"/>
      <c r="AO296" s="34"/>
      <c r="AP296" s="34"/>
      <c r="AQ296" s="34"/>
      <c r="AR296" s="34"/>
      <c r="AS296" s="34"/>
      <c r="AT296" s="34"/>
      <c r="AU296" s="34"/>
      <c r="AV296" s="34"/>
    </row>
    <row r="297" spans="1:48" ht="12.75" customHeight="1">
      <c r="A297" s="34"/>
      <c r="C297" s="43">
        <v>253</v>
      </c>
      <c r="D297" s="708"/>
      <c r="E297" s="588"/>
      <c r="F297" s="379"/>
      <c r="T297" s="141"/>
      <c r="U297" s="34"/>
      <c r="W297" s="43">
        <v>253</v>
      </c>
      <c r="X297" s="708"/>
      <c r="Y297" s="588"/>
      <c r="Z297" s="379"/>
      <c r="AN297" s="141"/>
      <c r="AO297" s="34"/>
      <c r="AP297" s="34"/>
      <c r="AQ297" s="34"/>
      <c r="AR297" s="34"/>
      <c r="AS297" s="34"/>
      <c r="AT297" s="34"/>
      <c r="AU297" s="34"/>
      <c r="AV297" s="34"/>
    </row>
    <row r="298" spans="1:48" ht="12.75" customHeight="1">
      <c r="A298" s="34"/>
      <c r="C298" s="43">
        <v>254</v>
      </c>
      <c r="D298" s="708"/>
      <c r="E298" s="588"/>
      <c r="F298" s="379"/>
      <c r="T298" s="141"/>
      <c r="U298" s="34"/>
      <c r="W298" s="43">
        <v>254</v>
      </c>
      <c r="X298" s="708"/>
      <c r="Y298" s="588"/>
      <c r="Z298" s="379"/>
      <c r="AN298" s="141"/>
      <c r="AO298" s="34"/>
      <c r="AP298" s="34"/>
      <c r="AQ298" s="34"/>
      <c r="AR298" s="34"/>
      <c r="AS298" s="34"/>
      <c r="AT298" s="34"/>
      <c r="AU298" s="34"/>
      <c r="AV298" s="34"/>
    </row>
    <row r="299" spans="1:48" ht="12.75" customHeight="1">
      <c r="A299" s="34"/>
      <c r="C299" s="43">
        <v>255</v>
      </c>
      <c r="D299" s="708"/>
      <c r="E299" s="588"/>
      <c r="F299" s="379"/>
      <c r="T299" s="141"/>
      <c r="U299" s="34"/>
      <c r="W299" s="43">
        <v>255</v>
      </c>
      <c r="X299" s="708"/>
      <c r="Y299" s="588"/>
      <c r="Z299" s="379"/>
      <c r="AN299" s="141"/>
      <c r="AO299" s="34"/>
      <c r="AP299" s="34"/>
      <c r="AQ299" s="34"/>
      <c r="AR299" s="34"/>
      <c r="AS299" s="34"/>
      <c r="AT299" s="34"/>
      <c r="AU299" s="34"/>
      <c r="AV299" s="34"/>
    </row>
    <row r="300" spans="1:48" ht="12.75" customHeight="1">
      <c r="A300" s="34"/>
      <c r="C300" s="43">
        <v>256</v>
      </c>
      <c r="D300" s="708"/>
      <c r="E300" s="588"/>
      <c r="F300" s="379"/>
      <c r="T300" s="141"/>
      <c r="U300" s="34"/>
      <c r="W300" s="43">
        <v>256</v>
      </c>
      <c r="X300" s="708"/>
      <c r="Y300" s="588"/>
      <c r="Z300" s="379"/>
      <c r="AN300" s="141"/>
      <c r="AO300" s="34"/>
      <c r="AP300" s="34"/>
      <c r="AQ300" s="34"/>
      <c r="AR300" s="34"/>
      <c r="AS300" s="34"/>
      <c r="AT300" s="34"/>
      <c r="AU300" s="34"/>
      <c r="AV300" s="34"/>
    </row>
    <row r="301" spans="1:48" ht="12.75" customHeight="1">
      <c r="A301" s="34"/>
      <c r="C301" s="43">
        <v>257</v>
      </c>
      <c r="D301" s="708"/>
      <c r="E301" s="588"/>
      <c r="F301" s="379"/>
      <c r="T301" s="141"/>
      <c r="U301" s="34"/>
      <c r="W301" s="43">
        <v>257</v>
      </c>
      <c r="X301" s="708"/>
      <c r="Y301" s="588"/>
      <c r="Z301" s="379"/>
      <c r="AN301" s="141"/>
      <c r="AO301" s="34"/>
      <c r="AP301" s="34"/>
      <c r="AQ301" s="34"/>
      <c r="AR301" s="34"/>
      <c r="AS301" s="34"/>
      <c r="AT301" s="34"/>
      <c r="AU301" s="34"/>
      <c r="AV301" s="34"/>
    </row>
    <row r="302" spans="1:48" ht="12.75" customHeight="1">
      <c r="A302" s="34"/>
      <c r="C302" s="43">
        <v>258</v>
      </c>
      <c r="D302" s="708"/>
      <c r="E302" s="588"/>
      <c r="F302" s="379"/>
      <c r="T302" s="141"/>
      <c r="U302" s="34"/>
      <c r="W302" s="43">
        <v>258</v>
      </c>
      <c r="X302" s="708"/>
      <c r="Y302" s="588"/>
      <c r="Z302" s="379"/>
      <c r="AN302" s="141"/>
      <c r="AO302" s="34"/>
      <c r="AP302" s="34"/>
      <c r="AQ302" s="34"/>
      <c r="AR302" s="34"/>
      <c r="AS302" s="34"/>
      <c r="AT302" s="34"/>
      <c r="AU302" s="34"/>
      <c r="AV302" s="34"/>
    </row>
    <row r="303" spans="1:48" ht="12.75" customHeight="1">
      <c r="A303" s="34"/>
      <c r="C303" s="43">
        <v>259</v>
      </c>
      <c r="D303" s="708"/>
      <c r="E303" s="588"/>
      <c r="F303" s="379"/>
      <c r="T303" s="141"/>
      <c r="U303" s="34"/>
      <c r="W303" s="43">
        <v>259</v>
      </c>
      <c r="X303" s="708"/>
      <c r="Y303" s="588"/>
      <c r="Z303" s="379"/>
      <c r="AN303" s="141"/>
      <c r="AO303" s="34"/>
      <c r="AP303" s="34"/>
      <c r="AQ303" s="34"/>
      <c r="AR303" s="34"/>
      <c r="AS303" s="34"/>
      <c r="AT303" s="34"/>
      <c r="AU303" s="34"/>
      <c r="AV303" s="34"/>
    </row>
    <row r="304" spans="1:48" ht="12.75" customHeight="1">
      <c r="A304" s="34"/>
      <c r="C304" s="43">
        <v>260</v>
      </c>
      <c r="D304" s="708"/>
      <c r="E304" s="588"/>
      <c r="F304" s="379"/>
      <c r="T304" s="141"/>
      <c r="U304" s="34"/>
      <c r="W304" s="43">
        <v>260</v>
      </c>
      <c r="X304" s="708"/>
      <c r="Y304" s="588"/>
      <c r="Z304" s="379"/>
      <c r="AN304" s="141"/>
      <c r="AO304" s="34"/>
      <c r="AP304" s="34"/>
      <c r="AQ304" s="34"/>
      <c r="AR304" s="34"/>
      <c r="AS304" s="34"/>
      <c r="AT304" s="34"/>
      <c r="AU304" s="34"/>
      <c r="AV304" s="34"/>
    </row>
    <row r="305" spans="1:48" ht="12.75" customHeight="1">
      <c r="A305" s="34"/>
      <c r="C305" s="43">
        <v>261</v>
      </c>
      <c r="D305" s="708"/>
      <c r="E305" s="588"/>
      <c r="F305" s="379"/>
      <c r="T305" s="141"/>
      <c r="U305" s="34"/>
      <c r="W305" s="43">
        <v>261</v>
      </c>
      <c r="X305" s="708"/>
      <c r="Y305" s="588"/>
      <c r="Z305" s="379"/>
      <c r="AN305" s="141"/>
      <c r="AO305" s="34"/>
      <c r="AP305" s="34"/>
      <c r="AQ305" s="34"/>
      <c r="AR305" s="34"/>
      <c r="AS305" s="34"/>
      <c r="AT305" s="34"/>
      <c r="AU305" s="34"/>
      <c r="AV305" s="34"/>
    </row>
    <row r="306" spans="1:48" ht="12.75" customHeight="1">
      <c r="A306" s="34"/>
      <c r="C306" s="43">
        <v>262</v>
      </c>
      <c r="D306" s="708"/>
      <c r="E306" s="588"/>
      <c r="F306" s="379"/>
      <c r="T306" s="141"/>
      <c r="U306" s="34"/>
      <c r="W306" s="43">
        <v>262</v>
      </c>
      <c r="X306" s="708"/>
      <c r="Y306" s="588"/>
      <c r="Z306" s="379"/>
      <c r="AN306" s="141"/>
      <c r="AO306" s="34"/>
      <c r="AP306" s="34"/>
      <c r="AQ306" s="34"/>
      <c r="AR306" s="34"/>
      <c r="AS306" s="34"/>
      <c r="AT306" s="34"/>
      <c r="AU306" s="34"/>
      <c r="AV306" s="34"/>
    </row>
    <row r="307" spans="1:48" ht="12.75" customHeight="1">
      <c r="A307" s="34"/>
      <c r="C307" s="43">
        <v>263</v>
      </c>
      <c r="D307" s="708"/>
      <c r="E307" s="588"/>
      <c r="F307" s="379"/>
      <c r="T307" s="141"/>
      <c r="U307" s="34"/>
      <c r="W307" s="43">
        <v>263</v>
      </c>
      <c r="X307" s="708"/>
      <c r="Y307" s="588"/>
      <c r="Z307" s="379"/>
      <c r="AN307" s="141"/>
      <c r="AO307" s="34"/>
      <c r="AP307" s="34"/>
      <c r="AQ307" s="34"/>
      <c r="AR307" s="34"/>
      <c r="AS307" s="34"/>
      <c r="AT307" s="34"/>
      <c r="AU307" s="34"/>
      <c r="AV307" s="34"/>
    </row>
    <row r="308" spans="1:48" ht="12.75" customHeight="1">
      <c r="A308" s="34"/>
      <c r="C308" s="43">
        <v>264</v>
      </c>
      <c r="D308" s="708"/>
      <c r="E308" s="588"/>
      <c r="F308" s="379"/>
      <c r="T308" s="141"/>
      <c r="U308" s="34"/>
      <c r="W308" s="43">
        <v>264</v>
      </c>
      <c r="X308" s="708"/>
      <c r="Y308" s="588"/>
      <c r="Z308" s="379"/>
      <c r="AN308" s="141"/>
      <c r="AO308" s="34"/>
      <c r="AP308" s="34"/>
      <c r="AQ308" s="34"/>
      <c r="AR308" s="34"/>
      <c r="AS308" s="34"/>
      <c r="AT308" s="34"/>
      <c r="AU308" s="34"/>
      <c r="AV308" s="34"/>
    </row>
    <row r="309" spans="1:48" ht="12.75" customHeight="1">
      <c r="A309" s="34"/>
      <c r="C309" s="43">
        <v>265</v>
      </c>
      <c r="D309" s="708"/>
      <c r="E309" s="588"/>
      <c r="F309" s="379"/>
      <c r="T309" s="141"/>
      <c r="U309" s="34"/>
      <c r="W309" s="43">
        <v>265</v>
      </c>
      <c r="X309" s="708"/>
      <c r="Y309" s="588"/>
      <c r="Z309" s="379"/>
      <c r="AN309" s="141"/>
      <c r="AO309" s="34"/>
      <c r="AP309" s="34"/>
      <c r="AQ309" s="34"/>
      <c r="AR309" s="34"/>
      <c r="AS309" s="34"/>
      <c r="AT309" s="34"/>
      <c r="AU309" s="34"/>
      <c r="AV309" s="34"/>
    </row>
    <row r="310" spans="1:48" ht="12.75" customHeight="1">
      <c r="A310" s="34"/>
      <c r="C310" s="43">
        <v>266</v>
      </c>
      <c r="D310" s="708"/>
      <c r="E310" s="588"/>
      <c r="F310" s="379"/>
      <c r="T310" s="141"/>
      <c r="U310" s="34"/>
      <c r="W310" s="43">
        <v>266</v>
      </c>
      <c r="X310" s="708"/>
      <c r="Y310" s="588"/>
      <c r="Z310" s="379"/>
      <c r="AN310" s="141"/>
      <c r="AO310" s="34"/>
      <c r="AP310" s="34"/>
      <c r="AQ310" s="34"/>
      <c r="AR310" s="34"/>
      <c r="AS310" s="34"/>
      <c r="AT310" s="34"/>
      <c r="AU310" s="34"/>
      <c r="AV310" s="34"/>
    </row>
    <row r="311" spans="1:48" ht="12.75" customHeight="1">
      <c r="A311" s="34"/>
      <c r="C311" s="43">
        <v>267</v>
      </c>
      <c r="D311" s="708"/>
      <c r="E311" s="588"/>
      <c r="F311" s="379"/>
      <c r="T311" s="141"/>
      <c r="U311" s="34"/>
      <c r="W311" s="43">
        <v>267</v>
      </c>
      <c r="X311" s="708"/>
      <c r="Y311" s="588"/>
      <c r="Z311" s="379"/>
      <c r="AN311" s="141"/>
      <c r="AO311" s="34"/>
      <c r="AP311" s="34"/>
      <c r="AQ311" s="34"/>
      <c r="AR311" s="34"/>
      <c r="AS311" s="34"/>
      <c r="AT311" s="34"/>
      <c r="AU311" s="34"/>
      <c r="AV311" s="34"/>
    </row>
    <row r="312" spans="1:48" ht="12.75" customHeight="1">
      <c r="A312" s="34"/>
      <c r="C312" s="43">
        <v>268</v>
      </c>
      <c r="D312" s="708"/>
      <c r="E312" s="588"/>
      <c r="F312" s="379"/>
      <c r="T312" s="141"/>
      <c r="U312" s="34"/>
      <c r="W312" s="43">
        <v>268</v>
      </c>
      <c r="X312" s="708"/>
      <c r="Y312" s="588"/>
      <c r="Z312" s="379"/>
      <c r="AN312" s="141"/>
      <c r="AO312" s="34"/>
      <c r="AP312" s="34"/>
      <c r="AQ312" s="34"/>
      <c r="AR312" s="34"/>
      <c r="AS312" s="34"/>
      <c r="AT312" s="34"/>
      <c r="AU312" s="34"/>
      <c r="AV312" s="34"/>
    </row>
    <row r="313" spans="1:48" ht="12.75" customHeight="1">
      <c r="A313" s="34"/>
      <c r="C313" s="43">
        <v>269</v>
      </c>
      <c r="D313" s="708"/>
      <c r="E313" s="588"/>
      <c r="F313" s="379"/>
      <c r="T313" s="141"/>
      <c r="U313" s="34"/>
      <c r="W313" s="43">
        <v>269</v>
      </c>
      <c r="X313" s="708"/>
      <c r="Y313" s="588"/>
      <c r="Z313" s="379"/>
      <c r="AN313" s="141"/>
      <c r="AO313" s="34"/>
      <c r="AP313" s="34"/>
      <c r="AQ313" s="34"/>
      <c r="AR313" s="34"/>
      <c r="AS313" s="34"/>
      <c r="AT313" s="34"/>
      <c r="AU313" s="34"/>
      <c r="AV313" s="34"/>
    </row>
    <row r="314" spans="1:48" ht="12.75" customHeight="1">
      <c r="A314" s="34"/>
      <c r="C314" s="43">
        <v>270</v>
      </c>
      <c r="D314" s="708"/>
      <c r="E314" s="588"/>
      <c r="F314" s="379"/>
      <c r="T314" s="141"/>
      <c r="U314" s="34"/>
      <c r="W314" s="43">
        <v>270</v>
      </c>
      <c r="X314" s="708"/>
      <c r="Y314" s="588"/>
      <c r="Z314" s="379"/>
      <c r="AN314" s="141"/>
      <c r="AO314" s="34"/>
      <c r="AP314" s="34"/>
      <c r="AQ314" s="34"/>
      <c r="AR314" s="34"/>
      <c r="AS314" s="34"/>
      <c r="AT314" s="34"/>
      <c r="AU314" s="34"/>
      <c r="AV314" s="34"/>
    </row>
    <row r="315" spans="1:48" ht="12.75" customHeight="1">
      <c r="A315" s="34"/>
      <c r="C315" s="43">
        <v>271</v>
      </c>
      <c r="D315" s="708"/>
      <c r="E315" s="588"/>
      <c r="F315" s="379"/>
      <c r="T315" s="141"/>
      <c r="U315" s="34"/>
      <c r="W315" s="43">
        <v>271</v>
      </c>
      <c r="X315" s="708"/>
      <c r="Y315" s="588"/>
      <c r="Z315" s="379"/>
      <c r="AN315" s="141"/>
      <c r="AO315" s="34"/>
      <c r="AP315" s="34"/>
      <c r="AQ315" s="34"/>
      <c r="AR315" s="34"/>
      <c r="AS315" s="34"/>
      <c r="AT315" s="34"/>
      <c r="AU315" s="34"/>
      <c r="AV315" s="34"/>
    </row>
    <row r="316" spans="1:48" ht="12.75" customHeight="1">
      <c r="A316" s="34"/>
      <c r="C316" s="43">
        <v>272</v>
      </c>
      <c r="D316" s="708"/>
      <c r="E316" s="588"/>
      <c r="F316" s="379"/>
      <c r="T316" s="141"/>
      <c r="U316" s="34"/>
      <c r="W316" s="43">
        <v>272</v>
      </c>
      <c r="X316" s="708"/>
      <c r="Y316" s="588"/>
      <c r="Z316" s="379"/>
      <c r="AN316" s="141"/>
      <c r="AO316" s="34"/>
      <c r="AP316" s="34"/>
      <c r="AQ316" s="34"/>
      <c r="AR316" s="34"/>
      <c r="AS316" s="34"/>
      <c r="AT316" s="34"/>
      <c r="AU316" s="34"/>
      <c r="AV316" s="34"/>
    </row>
    <row r="317" spans="1:48" ht="12.75" customHeight="1">
      <c r="A317" s="34"/>
      <c r="C317" s="43">
        <v>273</v>
      </c>
      <c r="D317" s="708"/>
      <c r="E317" s="588"/>
      <c r="F317" s="379"/>
      <c r="T317" s="141"/>
      <c r="U317" s="34"/>
      <c r="W317" s="43">
        <v>273</v>
      </c>
      <c r="X317" s="708"/>
      <c r="Y317" s="588"/>
      <c r="Z317" s="379"/>
      <c r="AN317" s="141"/>
      <c r="AO317" s="34"/>
      <c r="AP317" s="34"/>
      <c r="AQ317" s="34"/>
      <c r="AR317" s="34"/>
      <c r="AS317" s="34"/>
      <c r="AT317" s="34"/>
      <c r="AU317" s="34"/>
      <c r="AV317" s="34"/>
    </row>
    <row r="318" spans="1:48" ht="12.75" customHeight="1">
      <c r="A318" s="34"/>
      <c r="C318" s="43">
        <v>274</v>
      </c>
      <c r="D318" s="708"/>
      <c r="E318" s="588"/>
      <c r="F318" s="379"/>
      <c r="T318" s="141"/>
      <c r="U318" s="34"/>
      <c r="W318" s="43">
        <v>274</v>
      </c>
      <c r="X318" s="708"/>
      <c r="Y318" s="588"/>
      <c r="Z318" s="379"/>
      <c r="AN318" s="141"/>
      <c r="AO318" s="34"/>
      <c r="AP318" s="34"/>
      <c r="AQ318" s="34"/>
      <c r="AR318" s="34"/>
      <c r="AS318" s="34"/>
      <c r="AT318" s="34"/>
      <c r="AU318" s="34"/>
      <c r="AV318" s="34"/>
    </row>
    <row r="319" spans="1:48" ht="12.75" customHeight="1">
      <c r="A319" s="34"/>
      <c r="C319" s="43">
        <v>275</v>
      </c>
      <c r="D319" s="708"/>
      <c r="E319" s="588"/>
      <c r="F319" s="379"/>
      <c r="T319" s="141"/>
      <c r="U319" s="34"/>
      <c r="W319" s="43">
        <v>275</v>
      </c>
      <c r="X319" s="708"/>
      <c r="Y319" s="588"/>
      <c r="Z319" s="379"/>
      <c r="AN319" s="141"/>
      <c r="AO319" s="34"/>
      <c r="AP319" s="34"/>
      <c r="AQ319" s="34"/>
      <c r="AR319" s="34"/>
      <c r="AS319" s="34"/>
      <c r="AT319" s="34"/>
      <c r="AU319" s="34"/>
      <c r="AV319" s="34"/>
    </row>
    <row r="320" spans="1:48" ht="12.75" customHeight="1">
      <c r="A320" s="34"/>
      <c r="C320" s="43">
        <v>276</v>
      </c>
      <c r="D320" s="708"/>
      <c r="E320" s="588"/>
      <c r="F320" s="379"/>
      <c r="T320" s="141"/>
      <c r="U320" s="34"/>
      <c r="W320" s="43">
        <v>276</v>
      </c>
      <c r="X320" s="708"/>
      <c r="Y320" s="588"/>
      <c r="Z320" s="379"/>
      <c r="AN320" s="141"/>
      <c r="AO320" s="34"/>
      <c r="AP320" s="34"/>
      <c r="AQ320" s="34"/>
      <c r="AR320" s="34"/>
      <c r="AS320" s="34"/>
      <c r="AT320" s="34"/>
      <c r="AU320" s="34"/>
      <c r="AV320" s="34"/>
    </row>
    <row r="321" spans="1:48" ht="12.75" customHeight="1">
      <c r="A321" s="34"/>
      <c r="C321" s="43">
        <v>277</v>
      </c>
      <c r="D321" s="708"/>
      <c r="E321" s="588"/>
      <c r="F321" s="379"/>
      <c r="T321" s="141"/>
      <c r="U321" s="34"/>
      <c r="W321" s="43">
        <v>277</v>
      </c>
      <c r="X321" s="708"/>
      <c r="Y321" s="588"/>
      <c r="Z321" s="379"/>
      <c r="AN321" s="141"/>
      <c r="AO321" s="34"/>
      <c r="AP321" s="34"/>
      <c r="AQ321" s="34"/>
      <c r="AR321" s="34"/>
      <c r="AS321" s="34"/>
      <c r="AT321" s="34"/>
      <c r="AU321" s="34"/>
      <c r="AV321" s="34"/>
    </row>
    <row r="322" spans="1:48" ht="12.75" customHeight="1">
      <c r="A322" s="34"/>
      <c r="C322" s="43">
        <v>278</v>
      </c>
      <c r="D322" s="708"/>
      <c r="E322" s="588"/>
      <c r="F322" s="379"/>
      <c r="T322" s="141"/>
      <c r="U322" s="34"/>
      <c r="W322" s="43">
        <v>278</v>
      </c>
      <c r="X322" s="708"/>
      <c r="Y322" s="588"/>
      <c r="Z322" s="379"/>
      <c r="AN322" s="141"/>
      <c r="AO322" s="34"/>
      <c r="AP322" s="34"/>
      <c r="AQ322" s="34"/>
      <c r="AR322" s="34"/>
      <c r="AS322" s="34"/>
      <c r="AT322" s="34"/>
      <c r="AU322" s="34"/>
      <c r="AV322" s="34"/>
    </row>
    <row r="323" spans="1:48" ht="12.75" customHeight="1">
      <c r="A323" s="34"/>
      <c r="C323" s="43">
        <v>279</v>
      </c>
      <c r="D323" s="708"/>
      <c r="E323" s="588"/>
      <c r="F323" s="379"/>
      <c r="T323" s="141"/>
      <c r="U323" s="34"/>
      <c r="W323" s="43">
        <v>279</v>
      </c>
      <c r="X323" s="708"/>
      <c r="Y323" s="588"/>
      <c r="Z323" s="379"/>
      <c r="AN323" s="141"/>
      <c r="AO323" s="34"/>
      <c r="AP323" s="34"/>
      <c r="AQ323" s="34"/>
      <c r="AR323" s="34"/>
      <c r="AS323" s="34"/>
      <c r="AT323" s="34"/>
      <c r="AU323" s="34"/>
      <c r="AV323" s="34"/>
    </row>
    <row r="324" spans="1:48" ht="12.75" customHeight="1">
      <c r="A324" s="34"/>
      <c r="C324" s="43">
        <v>280</v>
      </c>
      <c r="D324" s="708"/>
      <c r="E324" s="588"/>
      <c r="F324" s="379"/>
      <c r="T324" s="141"/>
      <c r="U324" s="34"/>
      <c r="W324" s="43">
        <v>280</v>
      </c>
      <c r="X324" s="708"/>
      <c r="Y324" s="588"/>
      <c r="Z324" s="379"/>
      <c r="AN324" s="141"/>
      <c r="AO324" s="34"/>
      <c r="AP324" s="34"/>
      <c r="AQ324" s="34"/>
      <c r="AR324" s="34"/>
      <c r="AS324" s="34"/>
      <c r="AT324" s="34"/>
      <c r="AU324" s="34"/>
      <c r="AV324" s="34"/>
    </row>
    <row r="325" spans="1:48" ht="12.75" customHeight="1">
      <c r="A325" s="34"/>
      <c r="C325" s="43">
        <v>281</v>
      </c>
      <c r="D325" s="708"/>
      <c r="E325" s="588"/>
      <c r="F325" s="379"/>
      <c r="T325" s="141"/>
      <c r="U325" s="34"/>
      <c r="W325" s="43">
        <v>281</v>
      </c>
      <c r="X325" s="708"/>
      <c r="Y325" s="588"/>
      <c r="Z325" s="379"/>
      <c r="AN325" s="141"/>
      <c r="AO325" s="34"/>
      <c r="AP325" s="34"/>
      <c r="AQ325" s="34"/>
      <c r="AR325" s="34"/>
      <c r="AS325" s="34"/>
      <c r="AT325" s="34"/>
      <c r="AU325" s="34"/>
      <c r="AV325" s="34"/>
    </row>
    <row r="326" spans="1:48" ht="12.75" customHeight="1">
      <c r="A326" s="34"/>
      <c r="C326" s="43">
        <v>282</v>
      </c>
      <c r="D326" s="708"/>
      <c r="E326" s="588"/>
      <c r="F326" s="379"/>
      <c r="T326" s="141"/>
      <c r="U326" s="34"/>
      <c r="W326" s="43">
        <v>282</v>
      </c>
      <c r="X326" s="708"/>
      <c r="Y326" s="588"/>
      <c r="Z326" s="379"/>
      <c r="AN326" s="141"/>
      <c r="AO326" s="34"/>
      <c r="AP326" s="34"/>
      <c r="AQ326" s="34"/>
      <c r="AR326" s="34"/>
      <c r="AS326" s="34"/>
      <c r="AT326" s="34"/>
      <c r="AU326" s="34"/>
      <c r="AV326" s="34"/>
    </row>
    <row r="327" spans="1:48" ht="12.75" customHeight="1">
      <c r="A327" s="34"/>
      <c r="C327" s="43">
        <v>283</v>
      </c>
      <c r="D327" s="708"/>
      <c r="E327" s="588"/>
      <c r="F327" s="379"/>
      <c r="T327" s="141"/>
      <c r="U327" s="34"/>
      <c r="W327" s="43">
        <v>283</v>
      </c>
      <c r="X327" s="708"/>
      <c r="Y327" s="588"/>
      <c r="Z327" s="379"/>
      <c r="AN327" s="141"/>
      <c r="AO327" s="34"/>
      <c r="AP327" s="34"/>
      <c r="AQ327" s="34"/>
      <c r="AR327" s="34"/>
      <c r="AS327" s="34"/>
      <c r="AT327" s="34"/>
      <c r="AU327" s="34"/>
      <c r="AV327" s="34"/>
    </row>
    <row r="328" spans="1:48" ht="12.75" customHeight="1">
      <c r="A328" s="34"/>
      <c r="C328" s="43">
        <v>284</v>
      </c>
      <c r="D328" s="708"/>
      <c r="E328" s="588"/>
      <c r="F328" s="379"/>
      <c r="T328" s="141"/>
      <c r="U328" s="34"/>
      <c r="W328" s="43">
        <v>284</v>
      </c>
      <c r="X328" s="708"/>
      <c r="Y328" s="588"/>
      <c r="Z328" s="379"/>
      <c r="AN328" s="141"/>
      <c r="AO328" s="34"/>
      <c r="AP328" s="34"/>
      <c r="AQ328" s="34"/>
      <c r="AR328" s="34"/>
      <c r="AS328" s="34"/>
      <c r="AT328" s="34"/>
      <c r="AU328" s="34"/>
      <c r="AV328" s="34"/>
    </row>
    <row r="329" spans="1:48" ht="12.75" customHeight="1">
      <c r="A329" s="34"/>
      <c r="C329" s="43">
        <v>285</v>
      </c>
      <c r="D329" s="708"/>
      <c r="E329" s="588"/>
      <c r="F329" s="379"/>
      <c r="T329" s="141"/>
      <c r="U329" s="34"/>
      <c r="W329" s="43">
        <v>285</v>
      </c>
      <c r="X329" s="708"/>
      <c r="Y329" s="588"/>
      <c r="Z329" s="379"/>
      <c r="AN329" s="141"/>
      <c r="AO329" s="34"/>
      <c r="AP329" s="34"/>
      <c r="AQ329" s="34"/>
      <c r="AR329" s="34"/>
      <c r="AS329" s="34"/>
      <c r="AT329" s="34"/>
      <c r="AU329" s="34"/>
      <c r="AV329" s="34"/>
    </row>
    <row r="330" spans="1:48" ht="12.75" customHeight="1">
      <c r="A330" s="34"/>
      <c r="C330" s="43">
        <v>286</v>
      </c>
      <c r="D330" s="708"/>
      <c r="E330" s="588"/>
      <c r="F330" s="379"/>
      <c r="T330" s="141"/>
      <c r="U330" s="34"/>
      <c r="W330" s="43">
        <v>286</v>
      </c>
      <c r="X330" s="708"/>
      <c r="Y330" s="588"/>
      <c r="Z330" s="379"/>
      <c r="AN330" s="141"/>
      <c r="AO330" s="34"/>
      <c r="AP330" s="34"/>
      <c r="AQ330" s="34"/>
      <c r="AR330" s="34"/>
      <c r="AS330" s="34"/>
      <c r="AT330" s="34"/>
      <c r="AU330" s="34"/>
      <c r="AV330" s="34"/>
    </row>
    <row r="331" spans="1:48" ht="12.75" customHeight="1">
      <c r="A331" s="34"/>
      <c r="C331" s="43">
        <v>287</v>
      </c>
      <c r="D331" s="708"/>
      <c r="E331" s="588"/>
      <c r="F331" s="379"/>
      <c r="T331" s="141"/>
      <c r="U331" s="34"/>
      <c r="W331" s="43">
        <v>287</v>
      </c>
      <c r="X331" s="708"/>
      <c r="Y331" s="588"/>
      <c r="Z331" s="379"/>
      <c r="AN331" s="141"/>
      <c r="AO331" s="34"/>
      <c r="AP331" s="34"/>
      <c r="AQ331" s="34"/>
      <c r="AR331" s="34"/>
      <c r="AS331" s="34"/>
      <c r="AT331" s="34"/>
      <c r="AU331" s="34"/>
      <c r="AV331" s="34"/>
    </row>
    <row r="332" spans="1:48" ht="12.75" customHeight="1">
      <c r="A332" s="34"/>
      <c r="C332" s="43">
        <v>288</v>
      </c>
      <c r="D332" s="708"/>
      <c r="E332" s="588"/>
      <c r="F332" s="379"/>
      <c r="T332" s="141"/>
      <c r="U332" s="34"/>
      <c r="W332" s="43">
        <v>288</v>
      </c>
      <c r="X332" s="708"/>
      <c r="Y332" s="588"/>
      <c r="Z332" s="379"/>
      <c r="AN332" s="141"/>
      <c r="AO332" s="34"/>
      <c r="AP332" s="34"/>
      <c r="AQ332" s="34"/>
      <c r="AR332" s="34"/>
      <c r="AS332" s="34"/>
      <c r="AT332" s="34"/>
      <c r="AU332" s="34"/>
      <c r="AV332" s="34"/>
    </row>
    <row r="333" spans="1:48" ht="12.75" customHeight="1">
      <c r="A333" s="34"/>
      <c r="C333" s="43">
        <v>289</v>
      </c>
      <c r="D333" s="708"/>
      <c r="E333" s="588"/>
      <c r="F333" s="379"/>
      <c r="T333" s="141"/>
      <c r="U333" s="34"/>
      <c r="W333" s="43">
        <v>289</v>
      </c>
      <c r="X333" s="708"/>
      <c r="Y333" s="588"/>
      <c r="Z333" s="379"/>
      <c r="AN333" s="141"/>
      <c r="AO333" s="34"/>
      <c r="AP333" s="34"/>
      <c r="AQ333" s="34"/>
      <c r="AR333" s="34"/>
      <c r="AS333" s="34"/>
      <c r="AT333" s="34"/>
      <c r="AU333" s="34"/>
      <c r="AV333" s="34"/>
    </row>
    <row r="334" spans="1:48" ht="12.75" customHeight="1">
      <c r="A334" s="34"/>
      <c r="C334" s="43">
        <v>290</v>
      </c>
      <c r="D334" s="708"/>
      <c r="E334" s="588"/>
      <c r="F334" s="379"/>
      <c r="T334" s="141"/>
      <c r="U334" s="34"/>
      <c r="W334" s="43">
        <v>290</v>
      </c>
      <c r="X334" s="708"/>
      <c r="Y334" s="588"/>
      <c r="Z334" s="379"/>
      <c r="AN334" s="141"/>
      <c r="AO334" s="34"/>
      <c r="AP334" s="34"/>
      <c r="AQ334" s="34"/>
      <c r="AR334" s="34"/>
      <c r="AS334" s="34"/>
      <c r="AT334" s="34"/>
      <c r="AU334" s="34"/>
      <c r="AV334" s="34"/>
    </row>
    <row r="335" spans="1:48" ht="12.75" customHeight="1">
      <c r="A335" s="34"/>
      <c r="C335" s="43">
        <v>291</v>
      </c>
      <c r="D335" s="708"/>
      <c r="E335" s="588"/>
      <c r="F335" s="379"/>
      <c r="T335" s="141"/>
      <c r="U335" s="34"/>
      <c r="W335" s="43">
        <v>291</v>
      </c>
      <c r="X335" s="708"/>
      <c r="Y335" s="588"/>
      <c r="Z335" s="379"/>
      <c r="AN335" s="141"/>
      <c r="AO335" s="34"/>
      <c r="AP335" s="34"/>
      <c r="AQ335" s="34"/>
      <c r="AR335" s="34"/>
      <c r="AS335" s="34"/>
      <c r="AT335" s="34"/>
      <c r="AU335" s="34"/>
      <c r="AV335" s="34"/>
    </row>
    <row r="336" spans="1:48" ht="12.75" customHeight="1">
      <c r="A336" s="34"/>
      <c r="C336" s="43">
        <v>292</v>
      </c>
      <c r="D336" s="708"/>
      <c r="E336" s="588"/>
      <c r="F336" s="379"/>
      <c r="T336" s="141"/>
      <c r="U336" s="34"/>
      <c r="W336" s="43">
        <v>292</v>
      </c>
      <c r="X336" s="708"/>
      <c r="Y336" s="588"/>
      <c r="Z336" s="379"/>
      <c r="AN336" s="141"/>
      <c r="AO336" s="34"/>
      <c r="AP336" s="34"/>
      <c r="AQ336" s="34"/>
      <c r="AR336" s="34"/>
      <c r="AS336" s="34"/>
      <c r="AT336" s="34"/>
      <c r="AU336" s="34"/>
      <c r="AV336" s="34"/>
    </row>
    <row r="337" spans="1:48" ht="12.75" customHeight="1">
      <c r="A337" s="34"/>
      <c r="C337" s="43">
        <v>293</v>
      </c>
      <c r="D337" s="708"/>
      <c r="E337" s="588"/>
      <c r="F337" s="379"/>
      <c r="T337" s="141"/>
      <c r="U337" s="34"/>
      <c r="W337" s="43">
        <v>293</v>
      </c>
      <c r="X337" s="708"/>
      <c r="Y337" s="588"/>
      <c r="Z337" s="379"/>
      <c r="AN337" s="141"/>
      <c r="AO337" s="34"/>
      <c r="AP337" s="34"/>
      <c r="AQ337" s="34"/>
      <c r="AR337" s="34"/>
      <c r="AS337" s="34"/>
      <c r="AT337" s="34"/>
      <c r="AU337" s="34"/>
      <c r="AV337" s="34"/>
    </row>
    <row r="338" spans="1:48" ht="12.75" customHeight="1">
      <c r="A338" s="34"/>
      <c r="C338" s="43">
        <v>294</v>
      </c>
      <c r="D338" s="708"/>
      <c r="E338" s="588"/>
      <c r="F338" s="379"/>
      <c r="T338" s="141"/>
      <c r="U338" s="34"/>
      <c r="W338" s="43">
        <v>294</v>
      </c>
      <c r="X338" s="708"/>
      <c r="Y338" s="588"/>
      <c r="Z338" s="379"/>
      <c r="AN338" s="141"/>
      <c r="AO338" s="34"/>
      <c r="AP338" s="34"/>
      <c r="AQ338" s="34"/>
      <c r="AR338" s="34"/>
      <c r="AS338" s="34"/>
      <c r="AT338" s="34"/>
      <c r="AU338" s="34"/>
      <c r="AV338" s="34"/>
    </row>
    <row r="339" spans="1:48" ht="12.75" customHeight="1">
      <c r="A339" s="34"/>
      <c r="C339" s="43">
        <v>295</v>
      </c>
      <c r="D339" s="708"/>
      <c r="E339" s="588"/>
      <c r="F339" s="379"/>
      <c r="T339" s="141"/>
      <c r="U339" s="34"/>
      <c r="W339" s="43">
        <v>295</v>
      </c>
      <c r="X339" s="708"/>
      <c r="Y339" s="588"/>
      <c r="Z339" s="379"/>
      <c r="AN339" s="141"/>
      <c r="AO339" s="34"/>
      <c r="AP339" s="34"/>
      <c r="AQ339" s="34"/>
      <c r="AR339" s="34"/>
      <c r="AS339" s="34"/>
      <c r="AT339" s="34"/>
      <c r="AU339" s="34"/>
      <c r="AV339" s="34"/>
    </row>
    <row r="340" spans="1:48" ht="12.75" customHeight="1">
      <c r="A340" s="34"/>
      <c r="C340" s="43">
        <v>296</v>
      </c>
      <c r="D340" s="708"/>
      <c r="E340" s="588"/>
      <c r="F340" s="379"/>
      <c r="T340" s="141"/>
      <c r="U340" s="34"/>
      <c r="W340" s="43">
        <v>296</v>
      </c>
      <c r="X340" s="708"/>
      <c r="Y340" s="588"/>
      <c r="Z340" s="379"/>
      <c r="AN340" s="141"/>
      <c r="AO340" s="34"/>
      <c r="AP340" s="34"/>
      <c r="AQ340" s="34"/>
      <c r="AR340" s="34"/>
      <c r="AS340" s="34"/>
      <c r="AT340" s="34"/>
      <c r="AU340" s="34"/>
      <c r="AV340" s="34"/>
    </row>
    <row r="341" spans="1:48" ht="12.75" customHeight="1">
      <c r="A341" s="34"/>
      <c r="C341" s="43">
        <v>297</v>
      </c>
      <c r="D341" s="708"/>
      <c r="E341" s="588"/>
      <c r="F341" s="379"/>
      <c r="T341" s="141"/>
      <c r="U341" s="34"/>
      <c r="W341" s="43">
        <v>297</v>
      </c>
      <c r="X341" s="708"/>
      <c r="Y341" s="588"/>
      <c r="Z341" s="379"/>
      <c r="AN341" s="141"/>
      <c r="AO341" s="34"/>
      <c r="AP341" s="34"/>
      <c r="AQ341" s="34"/>
      <c r="AR341" s="34"/>
      <c r="AS341" s="34"/>
      <c r="AT341" s="34"/>
      <c r="AU341" s="34"/>
      <c r="AV341" s="34"/>
    </row>
    <row r="342" spans="1:48" ht="12.75" customHeight="1">
      <c r="A342" s="34"/>
      <c r="C342" s="43">
        <v>298</v>
      </c>
      <c r="D342" s="708"/>
      <c r="E342" s="588"/>
      <c r="F342" s="379"/>
      <c r="T342" s="141"/>
      <c r="U342" s="34"/>
      <c r="W342" s="43">
        <v>298</v>
      </c>
      <c r="X342" s="708"/>
      <c r="Y342" s="588"/>
      <c r="Z342" s="379"/>
      <c r="AN342" s="141"/>
      <c r="AO342" s="34"/>
      <c r="AP342" s="34"/>
      <c r="AQ342" s="34"/>
      <c r="AR342" s="34"/>
      <c r="AS342" s="34"/>
      <c r="AT342" s="34"/>
      <c r="AU342" s="34"/>
      <c r="AV342" s="34"/>
    </row>
    <row r="343" spans="1:48" ht="12.75" customHeight="1">
      <c r="A343" s="34"/>
      <c r="C343" s="43">
        <v>299</v>
      </c>
      <c r="D343" s="708"/>
      <c r="E343" s="588"/>
      <c r="F343" s="379"/>
      <c r="T343" s="141"/>
      <c r="U343" s="34"/>
      <c r="W343" s="43">
        <v>299</v>
      </c>
      <c r="X343" s="708"/>
      <c r="Y343" s="588"/>
      <c r="Z343" s="379"/>
      <c r="AN343" s="141"/>
      <c r="AO343" s="34"/>
      <c r="AP343" s="34"/>
      <c r="AQ343" s="34"/>
      <c r="AR343" s="34"/>
      <c r="AS343" s="34"/>
      <c r="AT343" s="34"/>
      <c r="AU343" s="34"/>
      <c r="AV343" s="34"/>
    </row>
    <row r="344" spans="1:48" ht="12.75" customHeight="1">
      <c r="A344" s="34"/>
      <c r="C344" s="43">
        <v>300</v>
      </c>
      <c r="D344" s="708"/>
      <c r="E344" s="588"/>
      <c r="F344" s="379"/>
      <c r="T344" s="141"/>
      <c r="U344" s="34"/>
      <c r="W344" s="43">
        <v>300</v>
      </c>
      <c r="X344" s="708"/>
      <c r="Y344" s="588"/>
      <c r="Z344" s="379"/>
      <c r="AN344" s="141"/>
      <c r="AO344" s="34"/>
      <c r="AP344" s="34"/>
      <c r="AQ344" s="34"/>
      <c r="AR344" s="34"/>
      <c r="AS344" s="34"/>
      <c r="AT344" s="34"/>
      <c r="AU344" s="34"/>
      <c r="AV344" s="34"/>
    </row>
    <row r="345" spans="1:48" ht="12.75" customHeight="1">
      <c r="A345" s="34"/>
      <c r="B345" s="25"/>
      <c r="C345" s="25"/>
      <c r="D345" s="25"/>
      <c r="E345" s="25"/>
      <c r="F345" s="25"/>
      <c r="G345" s="25"/>
      <c r="H345" s="25"/>
      <c r="I345" s="25"/>
      <c r="J345" s="25"/>
      <c r="K345" s="25"/>
      <c r="L345" s="25"/>
      <c r="M345" s="25"/>
      <c r="N345" s="25"/>
      <c r="O345" s="25"/>
      <c r="P345" s="25"/>
      <c r="Q345" s="25"/>
      <c r="R345" s="25"/>
      <c r="S345" s="25"/>
      <c r="T345" s="197"/>
      <c r="U345" s="34"/>
      <c r="V345" s="25"/>
      <c r="W345" s="25"/>
      <c r="X345" s="25"/>
      <c r="Y345" s="25"/>
      <c r="Z345" s="25"/>
      <c r="AA345" s="25"/>
      <c r="AB345" s="25"/>
      <c r="AC345" s="25"/>
      <c r="AD345" s="25"/>
      <c r="AE345" s="25"/>
      <c r="AF345" s="25"/>
      <c r="AG345" s="25"/>
      <c r="AH345" s="25"/>
      <c r="AI345" s="25"/>
      <c r="AJ345" s="25"/>
      <c r="AK345" s="25"/>
      <c r="AL345" s="25"/>
      <c r="AM345" s="25"/>
      <c r="AN345" s="197"/>
      <c r="AO345" s="34"/>
      <c r="AP345" s="34"/>
      <c r="AQ345" s="34"/>
      <c r="AR345" s="34"/>
      <c r="AS345" s="34"/>
      <c r="AT345" s="34"/>
      <c r="AU345" s="34"/>
      <c r="AV345" s="34"/>
    </row>
    <row r="346" spans="1:4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row>
    <row r="347" spans="1:4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row>
    <row r="348" spans="1:4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row>
    <row r="349" spans="1:4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row>
    <row r="350" spans="1:4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row>
    <row r="351" spans="1:4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row>
    <row r="352" spans="1:4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row>
    <row r="353" spans="1:4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row>
    <row r="354" spans="1:4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row>
    <row r="355" spans="1:4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row>
    <row r="356" spans="1:4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row>
    <row r="357" spans="1:4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row>
    <row r="358" spans="1:4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row>
    <row r="359" spans="1:4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row>
    <row r="360" spans="1:4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row>
    <row r="361" spans="1:4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row>
    <row r="362" spans="1:4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row>
    <row r="363" spans="1:4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row>
    <row r="364" spans="1:4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row>
    <row r="365" spans="1:4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row>
    <row r="366" spans="1:4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row>
    <row r="367" spans="1:4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row>
    <row r="368" spans="1:4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row>
    <row r="369" spans="1:4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row>
    <row r="370" spans="1:4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row>
    <row r="371" spans="1:4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row>
    <row r="372" spans="1:4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row>
    <row r="373" spans="1:4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row>
    <row r="374" spans="1:4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row>
    <row r="375" spans="1:4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row>
    <row r="376" spans="1:4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row>
    <row r="377" spans="1:4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row>
    <row r="378" spans="1:4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row>
    <row r="379" spans="1:4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row>
    <row r="380" spans="1:4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row>
    <row r="381" spans="1:4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row>
    <row r="382" spans="1:4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row>
    <row r="383" spans="1:4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row>
    <row r="384" spans="1:4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row>
    <row r="385" spans="1:4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row>
    <row r="386" spans="1:4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row>
    <row r="387" spans="1:4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row>
    <row r="388" spans="1:4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row>
    <row r="389" spans="1:4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row>
    <row r="390" spans="1:4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row>
    <row r="391" spans="1:4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row>
    <row r="392" spans="1:4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row>
    <row r="393" spans="1:4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row>
    <row r="394" spans="1:4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row>
    <row r="395" spans="1:4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row>
    <row r="396" spans="1:4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row>
    <row r="397" spans="1:4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row>
    <row r="398" spans="1:4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row>
    <row r="399" spans="1:4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row>
    <row r="400" spans="1:4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row>
    <row r="401" spans="1:4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row>
    <row r="402" spans="1:4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row>
    <row r="403" spans="1:4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row>
    <row r="404" spans="1:4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row>
    <row r="405" spans="1:4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row>
    <row r="406" spans="1:4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row>
    <row r="407" spans="1:4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row>
    <row r="408" spans="1:4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row>
    <row r="409" spans="1:4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row>
    <row r="410" spans="1:4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row>
    <row r="411" spans="1:4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row>
    <row r="412" spans="1:4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row>
    <row r="413" spans="1:4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row>
    <row r="414" spans="1:4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row>
    <row r="415" spans="1:4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row>
    <row r="416" spans="1:4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row>
    <row r="417" spans="1:4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row>
    <row r="418" spans="1:4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row>
    <row r="419" spans="1:4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row>
    <row r="420" spans="1:4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row>
    <row r="421" spans="1:4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row>
    <row r="422" spans="1:4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row>
    <row r="423" spans="1:4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row>
    <row r="424" spans="1:4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row>
    <row r="425" spans="1:4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row>
    <row r="426" spans="1:4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row>
    <row r="427" spans="1:4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row>
    <row r="428" spans="1:4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row>
    <row r="429" spans="1:4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row>
    <row r="430" spans="1:4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row>
    <row r="431" spans="1:4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row>
    <row r="432" spans="1:4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row>
    <row r="433" spans="1:4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row>
    <row r="434" spans="1:4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row>
    <row r="435" spans="1:4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row>
    <row r="436" spans="1:4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row>
    <row r="437" spans="1:4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row>
    <row r="438" spans="1:4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row>
    <row r="439" spans="1:4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row>
    <row r="440" spans="1:4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row>
    <row r="441" spans="1:4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row>
    <row r="442" spans="1:4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row>
    <row r="443" spans="1:4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row>
    <row r="444" spans="1:4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row>
    <row r="445" spans="1:4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row>
    <row r="446" spans="1:4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row>
    <row r="447" spans="1:4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row>
    <row r="448" spans="1:4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row>
    <row r="449" spans="1:4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row>
    <row r="450" spans="1:4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row>
    <row r="451" spans="1:4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row>
    <row r="452" spans="1:4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row>
    <row r="453" spans="1:4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row>
    <row r="454" spans="1:4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row>
    <row r="455" spans="1:4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row>
    <row r="456" spans="1:4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row>
    <row r="457" spans="1:4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row>
    <row r="458" spans="1:4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row>
    <row r="459" spans="1:4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row>
    <row r="460" spans="1:4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row>
    <row r="461" spans="1:4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row>
    <row r="462" spans="1:4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row>
    <row r="463" spans="1:4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row>
    <row r="464" spans="1:4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row>
    <row r="465" spans="1:4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row>
    <row r="466" spans="1:4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row>
    <row r="467" spans="1:4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row>
    <row r="468" spans="1:4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row>
    <row r="469" spans="1:4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row>
    <row r="470" spans="1:4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row>
    <row r="471" spans="1:4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row>
    <row r="472" spans="1:4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row>
    <row r="473" spans="1:4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row>
    <row r="474" spans="1:4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row>
    <row r="475" spans="1:4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row>
    <row r="476" spans="1:4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row>
    <row r="477" spans="1:4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row>
    <row r="478" spans="1:4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row>
    <row r="479" spans="1:4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row>
    <row r="480" spans="1:4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row>
    <row r="481" spans="1:4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row>
    <row r="482" spans="1:4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row>
    <row r="483" spans="1:4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row>
    <row r="484" spans="1:4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row>
    <row r="485" spans="1:4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row>
    <row r="486" spans="1:4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row>
    <row r="487" spans="1:4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row>
    <row r="488" spans="1:4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row>
    <row r="489" spans="1:4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row>
    <row r="490" spans="1:4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row>
    <row r="491" spans="1:4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row>
    <row r="492" spans="1:4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row>
    <row r="493" spans="1:4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row>
    <row r="494" spans="1:4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row>
    <row r="495" spans="1:4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row>
    <row r="496" spans="1:4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row>
    <row r="497" spans="1:4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row>
    <row r="498" spans="1:4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row>
    <row r="499" spans="1:4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row>
    <row r="500" spans="1:4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row>
    <row r="501" spans="1:4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row>
    <row r="502" spans="1:4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row>
    <row r="503" spans="1:4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row>
    <row r="504" spans="1:4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row>
    <row r="505" spans="1:4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row>
    <row r="506" spans="1:4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row>
    <row r="507" spans="1:4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row>
    <row r="508" spans="1:4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row>
    <row r="509" spans="1:4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row>
    <row r="510" spans="1:4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row>
    <row r="511" spans="1:4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row>
    <row r="512" spans="1:4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row>
    <row r="513" spans="1:4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row>
    <row r="514" spans="1:4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row>
    <row r="515" spans="1:4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row>
    <row r="516" spans="1:4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row>
    <row r="517" spans="1:4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row>
    <row r="518" spans="1:4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row>
    <row r="519" spans="1:4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row>
    <row r="520" spans="1:4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row>
    <row r="521" spans="1:4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row>
    <row r="522" spans="1:4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row>
    <row r="523" spans="1:4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row>
    <row r="524" spans="1:4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row>
    <row r="525" spans="1:4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row>
    <row r="526" spans="1:4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row>
    <row r="527" spans="1:4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row>
    <row r="528" spans="1:4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row>
    <row r="529" spans="1:4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row>
    <row r="530" spans="1:4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row>
    <row r="531" spans="1:4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row>
    <row r="532" spans="1:4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row>
    <row r="533" spans="1:4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row>
    <row r="534" spans="1:4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row>
    <row r="535" spans="1:4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row>
    <row r="536" spans="1:4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row>
    <row r="537" spans="1:4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row>
    <row r="538" spans="1:4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row>
    <row r="539" spans="1:4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row>
    <row r="540" spans="1:4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row>
    <row r="541" spans="1:4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row>
    <row r="542" spans="1:4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row>
    <row r="543" spans="1:4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row>
    <row r="544" spans="1:4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row>
  </sheetData>
  <mergeCells count="618">
    <mergeCell ref="X252:Y252"/>
    <mergeCell ref="X253:Y253"/>
    <mergeCell ref="X254:Y254"/>
    <mergeCell ref="X243:Y243"/>
    <mergeCell ref="X244:Y244"/>
    <mergeCell ref="X245:Y245"/>
    <mergeCell ref="X246:Y246"/>
    <mergeCell ref="X247:Y247"/>
    <mergeCell ref="X248:Y248"/>
    <mergeCell ref="X249:Y249"/>
    <mergeCell ref="X250:Y250"/>
    <mergeCell ref="X251:Y251"/>
    <mergeCell ref="X234:Y234"/>
    <mergeCell ref="X235:Y235"/>
    <mergeCell ref="X236:Y236"/>
    <mergeCell ref="X237:Y237"/>
    <mergeCell ref="X238:Y238"/>
    <mergeCell ref="X239:Y239"/>
    <mergeCell ref="X240:Y240"/>
    <mergeCell ref="X241:Y241"/>
    <mergeCell ref="X242:Y242"/>
    <mergeCell ref="X225:Y225"/>
    <mergeCell ref="X226:Y226"/>
    <mergeCell ref="X227:Y227"/>
    <mergeCell ref="X228:Y228"/>
    <mergeCell ref="X229:Y229"/>
    <mergeCell ref="X230:Y230"/>
    <mergeCell ref="X231:Y231"/>
    <mergeCell ref="X232:Y232"/>
    <mergeCell ref="X233:Y233"/>
    <mergeCell ref="X216:Y216"/>
    <mergeCell ref="X217:Y217"/>
    <mergeCell ref="X218:Y218"/>
    <mergeCell ref="X219:Y219"/>
    <mergeCell ref="X220:Y220"/>
    <mergeCell ref="X221:Y221"/>
    <mergeCell ref="X222:Y222"/>
    <mergeCell ref="X223:Y223"/>
    <mergeCell ref="X224:Y224"/>
    <mergeCell ref="X207:Y207"/>
    <mergeCell ref="X208:Y208"/>
    <mergeCell ref="X209:Y209"/>
    <mergeCell ref="X210:Y210"/>
    <mergeCell ref="X211:Y211"/>
    <mergeCell ref="X212:Y212"/>
    <mergeCell ref="X213:Y213"/>
    <mergeCell ref="X214:Y214"/>
    <mergeCell ref="X215:Y215"/>
    <mergeCell ref="X198:Y198"/>
    <mergeCell ref="X199:Y199"/>
    <mergeCell ref="X200:Y200"/>
    <mergeCell ref="X201:Y201"/>
    <mergeCell ref="X202:Y202"/>
    <mergeCell ref="X203:Y203"/>
    <mergeCell ref="X204:Y204"/>
    <mergeCell ref="X205:Y205"/>
    <mergeCell ref="X206:Y206"/>
    <mergeCell ref="X189:Y189"/>
    <mergeCell ref="X190:Y190"/>
    <mergeCell ref="X191:Y191"/>
    <mergeCell ref="X192:Y192"/>
    <mergeCell ref="X193:Y193"/>
    <mergeCell ref="X194:Y194"/>
    <mergeCell ref="X195:Y195"/>
    <mergeCell ref="X196:Y196"/>
    <mergeCell ref="X197:Y197"/>
    <mergeCell ref="X180:Y180"/>
    <mergeCell ref="X181:Y181"/>
    <mergeCell ref="X182:Y182"/>
    <mergeCell ref="X183:Y183"/>
    <mergeCell ref="X184:Y184"/>
    <mergeCell ref="X185:Y185"/>
    <mergeCell ref="X186:Y186"/>
    <mergeCell ref="X187:Y187"/>
    <mergeCell ref="X188:Y188"/>
    <mergeCell ref="X171:Y171"/>
    <mergeCell ref="X172:Y172"/>
    <mergeCell ref="X173:Y173"/>
    <mergeCell ref="X174:Y174"/>
    <mergeCell ref="X175:Y175"/>
    <mergeCell ref="X176:Y176"/>
    <mergeCell ref="X177:Y177"/>
    <mergeCell ref="X178:Y178"/>
    <mergeCell ref="X179:Y179"/>
    <mergeCell ref="X162:Y162"/>
    <mergeCell ref="X163:Y163"/>
    <mergeCell ref="X164:Y164"/>
    <mergeCell ref="X165:Y165"/>
    <mergeCell ref="X166:Y166"/>
    <mergeCell ref="X167:Y167"/>
    <mergeCell ref="X168:Y168"/>
    <mergeCell ref="X169:Y169"/>
    <mergeCell ref="X170:Y170"/>
    <mergeCell ref="D154:E154"/>
    <mergeCell ref="D155:E155"/>
    <mergeCell ref="D156:E156"/>
    <mergeCell ref="D157:E157"/>
    <mergeCell ref="X157:Y157"/>
    <mergeCell ref="X158:Y158"/>
    <mergeCell ref="X159:Y159"/>
    <mergeCell ref="X160:Y160"/>
    <mergeCell ref="X161:Y161"/>
    <mergeCell ref="D158:E158"/>
    <mergeCell ref="D159:E159"/>
    <mergeCell ref="D160:E160"/>
    <mergeCell ref="D161:E161"/>
    <mergeCell ref="D145:E145"/>
    <mergeCell ref="D146:E146"/>
    <mergeCell ref="D147:E147"/>
    <mergeCell ref="D148:E148"/>
    <mergeCell ref="D149:E149"/>
    <mergeCell ref="D150:E150"/>
    <mergeCell ref="D151:E151"/>
    <mergeCell ref="D152:E152"/>
    <mergeCell ref="D153:E153"/>
    <mergeCell ref="D136:E136"/>
    <mergeCell ref="D137:E137"/>
    <mergeCell ref="D138:E138"/>
    <mergeCell ref="D139:E139"/>
    <mergeCell ref="D140:E140"/>
    <mergeCell ref="D141:E141"/>
    <mergeCell ref="D142:E142"/>
    <mergeCell ref="D143:E143"/>
    <mergeCell ref="D144:E144"/>
    <mergeCell ref="D127:E127"/>
    <mergeCell ref="D128:E128"/>
    <mergeCell ref="D129:E129"/>
    <mergeCell ref="D130:E130"/>
    <mergeCell ref="D131:E131"/>
    <mergeCell ref="D132:E132"/>
    <mergeCell ref="D133:E133"/>
    <mergeCell ref="D134:E134"/>
    <mergeCell ref="D135:E135"/>
    <mergeCell ref="X151:Y151"/>
    <mergeCell ref="X152:Y152"/>
    <mergeCell ref="X153:Y153"/>
    <mergeCell ref="X154:Y154"/>
    <mergeCell ref="X155:Y155"/>
    <mergeCell ref="X156:Y156"/>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X142:Y142"/>
    <mergeCell ref="X143:Y143"/>
    <mergeCell ref="X144:Y144"/>
    <mergeCell ref="X145:Y145"/>
    <mergeCell ref="X146:Y146"/>
    <mergeCell ref="X147:Y147"/>
    <mergeCell ref="X148:Y148"/>
    <mergeCell ref="X149:Y149"/>
    <mergeCell ref="X150:Y150"/>
    <mergeCell ref="X133:Y133"/>
    <mergeCell ref="X134:Y134"/>
    <mergeCell ref="X135:Y135"/>
    <mergeCell ref="X136:Y136"/>
    <mergeCell ref="X137:Y137"/>
    <mergeCell ref="X138:Y138"/>
    <mergeCell ref="X139:Y139"/>
    <mergeCell ref="X140:Y140"/>
    <mergeCell ref="X141:Y141"/>
    <mergeCell ref="X124:Y124"/>
    <mergeCell ref="X125:Y125"/>
    <mergeCell ref="X126:Y126"/>
    <mergeCell ref="X127:Y127"/>
    <mergeCell ref="X128:Y128"/>
    <mergeCell ref="X129:Y129"/>
    <mergeCell ref="X130:Y130"/>
    <mergeCell ref="X131:Y131"/>
    <mergeCell ref="X132:Y132"/>
    <mergeCell ref="X115:Y115"/>
    <mergeCell ref="X116:Y116"/>
    <mergeCell ref="X117:Y117"/>
    <mergeCell ref="X118:Y118"/>
    <mergeCell ref="X119:Y119"/>
    <mergeCell ref="X120:Y120"/>
    <mergeCell ref="X121:Y121"/>
    <mergeCell ref="X122:Y122"/>
    <mergeCell ref="X123:Y123"/>
    <mergeCell ref="D107:E107"/>
    <mergeCell ref="D108:E108"/>
    <mergeCell ref="X108:Y108"/>
    <mergeCell ref="X109:Y109"/>
    <mergeCell ref="X110:Y110"/>
    <mergeCell ref="X111:Y111"/>
    <mergeCell ref="X112:Y112"/>
    <mergeCell ref="X113:Y113"/>
    <mergeCell ref="X114:Y114"/>
    <mergeCell ref="D98:E98"/>
    <mergeCell ref="D99:E99"/>
    <mergeCell ref="D100:E100"/>
    <mergeCell ref="D101:E101"/>
    <mergeCell ref="D102:E102"/>
    <mergeCell ref="D103:E103"/>
    <mergeCell ref="D104:E104"/>
    <mergeCell ref="D105:E105"/>
    <mergeCell ref="D106:E106"/>
    <mergeCell ref="D89:E89"/>
    <mergeCell ref="D90:E90"/>
    <mergeCell ref="D91:E91"/>
    <mergeCell ref="D92:E92"/>
    <mergeCell ref="D93:E93"/>
    <mergeCell ref="D94:E94"/>
    <mergeCell ref="D95:E95"/>
    <mergeCell ref="D96:E96"/>
    <mergeCell ref="D97:E97"/>
    <mergeCell ref="D80:E80"/>
    <mergeCell ref="D81:E81"/>
    <mergeCell ref="D82:E82"/>
    <mergeCell ref="D83:E83"/>
    <mergeCell ref="D84:E84"/>
    <mergeCell ref="D85:E85"/>
    <mergeCell ref="D86:E86"/>
    <mergeCell ref="D87:E87"/>
    <mergeCell ref="D88:E88"/>
    <mergeCell ref="X104:Y104"/>
    <mergeCell ref="X105:Y105"/>
    <mergeCell ref="X106:Y106"/>
    <mergeCell ref="X107:Y107"/>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X95:Y95"/>
    <mergeCell ref="X96:Y96"/>
    <mergeCell ref="X97:Y97"/>
    <mergeCell ref="X98:Y98"/>
    <mergeCell ref="X99:Y99"/>
    <mergeCell ref="X100:Y100"/>
    <mergeCell ref="X101:Y101"/>
    <mergeCell ref="X102:Y102"/>
    <mergeCell ref="X103:Y103"/>
    <mergeCell ref="X86:Y86"/>
    <mergeCell ref="X87:Y87"/>
    <mergeCell ref="X88:Y88"/>
    <mergeCell ref="X89:Y89"/>
    <mergeCell ref="X90:Y90"/>
    <mergeCell ref="X91:Y91"/>
    <mergeCell ref="X92:Y92"/>
    <mergeCell ref="X93:Y93"/>
    <mergeCell ref="X94:Y94"/>
    <mergeCell ref="X77:Y77"/>
    <mergeCell ref="X78:Y78"/>
    <mergeCell ref="X79:Y79"/>
    <mergeCell ref="X80:Y80"/>
    <mergeCell ref="X81:Y81"/>
    <mergeCell ref="X82:Y82"/>
    <mergeCell ref="X83:Y83"/>
    <mergeCell ref="X84:Y84"/>
    <mergeCell ref="X85:Y85"/>
    <mergeCell ref="X68:Y68"/>
    <mergeCell ref="X69:Y69"/>
    <mergeCell ref="X70:Y70"/>
    <mergeCell ref="X71:Y71"/>
    <mergeCell ref="X72:Y72"/>
    <mergeCell ref="X73:Y73"/>
    <mergeCell ref="X74:Y74"/>
    <mergeCell ref="X75:Y75"/>
    <mergeCell ref="X76:Y76"/>
    <mergeCell ref="D57:E57"/>
    <mergeCell ref="D58:E58"/>
    <mergeCell ref="D59:E59"/>
    <mergeCell ref="X63:Y63"/>
    <mergeCell ref="X64:Y64"/>
    <mergeCell ref="X65:Y65"/>
    <mergeCell ref="X66:Y66"/>
    <mergeCell ref="X67:Y67"/>
    <mergeCell ref="X47:Y47"/>
    <mergeCell ref="X48:Y48"/>
    <mergeCell ref="X49:Y49"/>
    <mergeCell ref="X50:Y50"/>
    <mergeCell ref="X51:Y51"/>
    <mergeCell ref="X52:Y52"/>
    <mergeCell ref="X53:Y53"/>
    <mergeCell ref="X54:Y54"/>
    <mergeCell ref="X55:Y55"/>
    <mergeCell ref="X56:Y56"/>
    <mergeCell ref="X57:Y57"/>
    <mergeCell ref="X58:Y58"/>
    <mergeCell ref="X59:Y59"/>
    <mergeCell ref="X60:Y60"/>
    <mergeCell ref="X61:Y61"/>
    <mergeCell ref="X62:Y62"/>
    <mergeCell ref="D48:E48"/>
    <mergeCell ref="D49:E49"/>
    <mergeCell ref="D50:E50"/>
    <mergeCell ref="D51:E51"/>
    <mergeCell ref="D52:E52"/>
    <mergeCell ref="D53:E53"/>
    <mergeCell ref="D54:E54"/>
    <mergeCell ref="D55:E55"/>
    <mergeCell ref="D56:E56"/>
    <mergeCell ref="D44:E44"/>
    <mergeCell ref="I44:J44"/>
    <mergeCell ref="X44:Y44"/>
    <mergeCell ref="AC44:AD44"/>
    <mergeCell ref="D45:E45"/>
    <mergeCell ref="X45:Y45"/>
    <mergeCell ref="X46:Y46"/>
    <mergeCell ref="D46:E46"/>
    <mergeCell ref="D47:E47"/>
    <mergeCell ref="B1:T1"/>
    <mergeCell ref="V1:AN1"/>
    <mergeCell ref="P3:T3"/>
    <mergeCell ref="Y3:AE3"/>
    <mergeCell ref="AJ3:AN3"/>
    <mergeCell ref="B5:T5"/>
    <mergeCell ref="V5:AN5"/>
    <mergeCell ref="E3:K3"/>
    <mergeCell ref="B38:D38"/>
    <mergeCell ref="E38:F38"/>
    <mergeCell ref="G38:H38"/>
    <mergeCell ref="V38:X38"/>
    <mergeCell ref="Y38:Z38"/>
    <mergeCell ref="AA38:AB38"/>
    <mergeCell ref="X291:Y291"/>
    <mergeCell ref="X292:Y292"/>
    <mergeCell ref="X293:Y293"/>
    <mergeCell ref="X294:Y294"/>
    <mergeCell ref="X295:Y295"/>
    <mergeCell ref="X296:Y296"/>
    <mergeCell ref="X297:Y297"/>
    <mergeCell ref="X298:Y298"/>
    <mergeCell ref="X299:Y299"/>
    <mergeCell ref="X282:Y282"/>
    <mergeCell ref="X283:Y283"/>
    <mergeCell ref="X284:Y284"/>
    <mergeCell ref="X285:Y285"/>
    <mergeCell ref="X286:Y286"/>
    <mergeCell ref="X287:Y287"/>
    <mergeCell ref="X288:Y288"/>
    <mergeCell ref="X289:Y289"/>
    <mergeCell ref="X290:Y290"/>
    <mergeCell ref="X273:Y273"/>
    <mergeCell ref="X274:Y274"/>
    <mergeCell ref="X275:Y275"/>
    <mergeCell ref="X276:Y276"/>
    <mergeCell ref="X277:Y277"/>
    <mergeCell ref="X278:Y278"/>
    <mergeCell ref="X279:Y279"/>
    <mergeCell ref="X280:Y280"/>
    <mergeCell ref="X281:Y281"/>
    <mergeCell ref="X264:Y264"/>
    <mergeCell ref="X265:Y265"/>
    <mergeCell ref="X266:Y266"/>
    <mergeCell ref="X267:Y267"/>
    <mergeCell ref="X268:Y268"/>
    <mergeCell ref="X269:Y269"/>
    <mergeCell ref="X270:Y270"/>
    <mergeCell ref="X271:Y271"/>
    <mergeCell ref="X272:Y272"/>
    <mergeCell ref="X255:Y255"/>
    <mergeCell ref="X256:Y256"/>
    <mergeCell ref="X257:Y257"/>
    <mergeCell ref="X258:Y258"/>
    <mergeCell ref="X259:Y259"/>
    <mergeCell ref="X260:Y260"/>
    <mergeCell ref="X261:Y261"/>
    <mergeCell ref="X262:Y262"/>
    <mergeCell ref="X263:Y263"/>
    <mergeCell ref="X340:Y340"/>
    <mergeCell ref="X341:Y341"/>
    <mergeCell ref="X342:Y342"/>
    <mergeCell ref="X343:Y343"/>
    <mergeCell ref="X344:Y344"/>
    <mergeCell ref="X332:Y332"/>
    <mergeCell ref="X333:Y333"/>
    <mergeCell ref="X334:Y334"/>
    <mergeCell ref="X335:Y335"/>
    <mergeCell ref="X336:Y336"/>
    <mergeCell ref="X337:Y337"/>
    <mergeCell ref="X338:Y338"/>
    <mergeCell ref="X324:Y324"/>
    <mergeCell ref="X325:Y325"/>
    <mergeCell ref="X326:Y326"/>
    <mergeCell ref="X327:Y327"/>
    <mergeCell ref="X328:Y328"/>
    <mergeCell ref="X329:Y329"/>
    <mergeCell ref="X330:Y330"/>
    <mergeCell ref="X331:Y331"/>
    <mergeCell ref="X339:Y339"/>
    <mergeCell ref="X315:Y315"/>
    <mergeCell ref="X316:Y316"/>
    <mergeCell ref="X317:Y317"/>
    <mergeCell ref="X318:Y318"/>
    <mergeCell ref="X319:Y319"/>
    <mergeCell ref="X320:Y320"/>
    <mergeCell ref="X321:Y321"/>
    <mergeCell ref="X322:Y322"/>
    <mergeCell ref="X323:Y323"/>
    <mergeCell ref="X306:Y306"/>
    <mergeCell ref="X307:Y307"/>
    <mergeCell ref="X308:Y308"/>
    <mergeCell ref="X309:Y309"/>
    <mergeCell ref="X310:Y310"/>
    <mergeCell ref="X311:Y311"/>
    <mergeCell ref="X312:Y312"/>
    <mergeCell ref="X313:Y313"/>
    <mergeCell ref="X314:Y314"/>
    <mergeCell ref="D302:E302"/>
    <mergeCell ref="D303:E303"/>
    <mergeCell ref="D304:E304"/>
    <mergeCell ref="X304:Y304"/>
    <mergeCell ref="X305:Y305"/>
    <mergeCell ref="X300:Y300"/>
    <mergeCell ref="X301:Y301"/>
    <mergeCell ref="X302:Y302"/>
    <mergeCell ref="X303:Y303"/>
    <mergeCell ref="D293:E293"/>
    <mergeCell ref="D294:E294"/>
    <mergeCell ref="D295:E295"/>
    <mergeCell ref="D296:E296"/>
    <mergeCell ref="D297:E297"/>
    <mergeCell ref="D298:E298"/>
    <mergeCell ref="D299:E299"/>
    <mergeCell ref="D300:E300"/>
    <mergeCell ref="D301:E301"/>
    <mergeCell ref="D284:E284"/>
    <mergeCell ref="D285:E285"/>
    <mergeCell ref="D286:E286"/>
    <mergeCell ref="D287:E287"/>
    <mergeCell ref="D288:E288"/>
    <mergeCell ref="D289:E289"/>
    <mergeCell ref="D290:E290"/>
    <mergeCell ref="D291:E291"/>
    <mergeCell ref="D292:E292"/>
    <mergeCell ref="D275:E275"/>
    <mergeCell ref="D276:E276"/>
    <mergeCell ref="D277:E277"/>
    <mergeCell ref="D278:E278"/>
    <mergeCell ref="D279:E279"/>
    <mergeCell ref="D280:E280"/>
    <mergeCell ref="D281:E281"/>
    <mergeCell ref="D282:E282"/>
    <mergeCell ref="D283:E283"/>
    <mergeCell ref="D340:E340"/>
    <mergeCell ref="D341:E341"/>
    <mergeCell ref="D342:E342"/>
    <mergeCell ref="D343:E343"/>
    <mergeCell ref="D344:E344"/>
    <mergeCell ref="D333:E333"/>
    <mergeCell ref="D334:E334"/>
    <mergeCell ref="D335:E335"/>
    <mergeCell ref="D336:E336"/>
    <mergeCell ref="D337:E337"/>
    <mergeCell ref="D338:E338"/>
    <mergeCell ref="D339:E339"/>
    <mergeCell ref="D324:E324"/>
    <mergeCell ref="D325:E325"/>
    <mergeCell ref="D326:E326"/>
    <mergeCell ref="D327:E327"/>
    <mergeCell ref="D328:E328"/>
    <mergeCell ref="D329:E329"/>
    <mergeCell ref="D330:E330"/>
    <mergeCell ref="D331:E331"/>
    <mergeCell ref="D332:E332"/>
    <mergeCell ref="D315:E315"/>
    <mergeCell ref="D316:E316"/>
    <mergeCell ref="D317:E317"/>
    <mergeCell ref="D318:E318"/>
    <mergeCell ref="D319:E319"/>
    <mergeCell ref="D320:E320"/>
    <mergeCell ref="D321:E321"/>
    <mergeCell ref="D322:E322"/>
    <mergeCell ref="D323:E323"/>
    <mergeCell ref="D306:E306"/>
    <mergeCell ref="D307:E307"/>
    <mergeCell ref="D308:E308"/>
    <mergeCell ref="D309:E309"/>
    <mergeCell ref="D310:E310"/>
    <mergeCell ref="D311:E311"/>
    <mergeCell ref="D312:E312"/>
    <mergeCell ref="D313:E313"/>
    <mergeCell ref="D314:E314"/>
    <mergeCell ref="D252:E252"/>
    <mergeCell ref="D253:E253"/>
    <mergeCell ref="D254:E254"/>
    <mergeCell ref="D255:E255"/>
    <mergeCell ref="D305:E30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271:E271"/>
    <mergeCell ref="D272:E272"/>
    <mergeCell ref="D273:E273"/>
    <mergeCell ref="D274:E274"/>
    <mergeCell ref="D243:E243"/>
    <mergeCell ref="D244:E244"/>
    <mergeCell ref="D245:E245"/>
    <mergeCell ref="D246:E246"/>
    <mergeCell ref="D247:E247"/>
    <mergeCell ref="D248:E248"/>
    <mergeCell ref="D249:E249"/>
    <mergeCell ref="D250:E250"/>
    <mergeCell ref="D251:E251"/>
    <mergeCell ref="D234:E234"/>
    <mergeCell ref="D235:E235"/>
    <mergeCell ref="D236:E236"/>
    <mergeCell ref="D237:E237"/>
    <mergeCell ref="D238:E238"/>
    <mergeCell ref="D239:E239"/>
    <mergeCell ref="D240:E240"/>
    <mergeCell ref="D241:E241"/>
    <mergeCell ref="D242:E242"/>
    <mergeCell ref="D225:E225"/>
    <mergeCell ref="D226:E226"/>
    <mergeCell ref="D227:E227"/>
    <mergeCell ref="D228:E228"/>
    <mergeCell ref="D229:E229"/>
    <mergeCell ref="D230:E230"/>
    <mergeCell ref="D231:E231"/>
    <mergeCell ref="D232:E232"/>
    <mergeCell ref="D233:E233"/>
    <mergeCell ref="D216:E216"/>
    <mergeCell ref="D217:E217"/>
    <mergeCell ref="D218:E218"/>
    <mergeCell ref="D219:E219"/>
    <mergeCell ref="D220:E220"/>
    <mergeCell ref="D221:E221"/>
    <mergeCell ref="D222:E222"/>
    <mergeCell ref="D223:E223"/>
    <mergeCell ref="D224:E224"/>
    <mergeCell ref="D207:E207"/>
    <mergeCell ref="D208:E208"/>
    <mergeCell ref="D209:E209"/>
    <mergeCell ref="D210:E210"/>
    <mergeCell ref="D211:E211"/>
    <mergeCell ref="D212:E212"/>
    <mergeCell ref="D213:E213"/>
    <mergeCell ref="D214:E214"/>
    <mergeCell ref="D215:E215"/>
    <mergeCell ref="D198:E198"/>
    <mergeCell ref="D199:E199"/>
    <mergeCell ref="D200:E200"/>
    <mergeCell ref="D201:E201"/>
    <mergeCell ref="D202:E202"/>
    <mergeCell ref="D203:E203"/>
    <mergeCell ref="D204:E204"/>
    <mergeCell ref="D205:E205"/>
    <mergeCell ref="D206:E206"/>
    <mergeCell ref="D189:E189"/>
    <mergeCell ref="D190:E190"/>
    <mergeCell ref="D191:E191"/>
    <mergeCell ref="D192:E192"/>
    <mergeCell ref="D193:E193"/>
    <mergeCell ref="D194:E194"/>
    <mergeCell ref="D195:E195"/>
    <mergeCell ref="D196:E196"/>
    <mergeCell ref="D197:E197"/>
    <mergeCell ref="D180:E180"/>
    <mergeCell ref="D181:E181"/>
    <mergeCell ref="D182:E182"/>
    <mergeCell ref="D183:E183"/>
    <mergeCell ref="D184:E184"/>
    <mergeCell ref="D185:E185"/>
    <mergeCell ref="D186:E186"/>
    <mergeCell ref="D187:E187"/>
    <mergeCell ref="D188:E188"/>
    <mergeCell ref="D171:E171"/>
    <mergeCell ref="D172:E172"/>
    <mergeCell ref="D173:E173"/>
    <mergeCell ref="D174:E174"/>
    <mergeCell ref="D175:E175"/>
    <mergeCell ref="D176:E176"/>
    <mergeCell ref="D177:E177"/>
    <mergeCell ref="D178:E178"/>
    <mergeCell ref="D179:E179"/>
    <mergeCell ref="D162:E162"/>
    <mergeCell ref="D163:E163"/>
    <mergeCell ref="D164:E164"/>
    <mergeCell ref="D165:E165"/>
    <mergeCell ref="D166:E166"/>
    <mergeCell ref="D167:E167"/>
    <mergeCell ref="D168:E168"/>
    <mergeCell ref="D169:E169"/>
    <mergeCell ref="D170:E170"/>
  </mergeCells>
  <conditionalFormatting sqref="E38:F38">
    <cfRule type="expression" dxfId="53" priority="1" stopIfTrue="1">
      <formula>R34="YES"</formula>
    </cfRule>
    <cfRule type="expression" dxfId="52" priority="2" stopIfTrue="1">
      <formula>R34="NO"</formula>
    </cfRule>
  </conditionalFormatting>
  <conditionalFormatting sqref="G38:H38">
    <cfRule type="expression" dxfId="51" priority="3" stopIfTrue="1">
      <formula>G38="PASS"</formula>
    </cfRule>
    <cfRule type="expression" dxfId="50" priority="4" stopIfTrue="1">
      <formula>G38="FAIL"</formula>
    </cfRule>
    <cfRule type="expression" dxfId="49" priority="5" stopIfTrue="1">
      <formula>G38="N/A"</formula>
    </cfRule>
  </conditionalFormatting>
  <conditionalFormatting sqref="Y38:Z38">
    <cfRule type="expression" dxfId="48" priority="6" stopIfTrue="1">
      <formula>AL31="YES"</formula>
    </cfRule>
    <cfRule type="expression" dxfId="47" priority="7" stopIfTrue="1">
      <formula>AL31="NO"</formula>
    </cfRule>
  </conditionalFormatting>
  <conditionalFormatting sqref="AA38:AB38">
    <cfRule type="expression" dxfId="46" priority="8" stopIfTrue="1">
      <formula>AA38="PASS"</formula>
    </cfRule>
    <cfRule type="expression" dxfId="45" priority="9" stopIfTrue="1">
      <formula>AA38="FAIL"</formula>
    </cfRule>
    <cfRule type="expression" dxfId="44" priority="10" stopIfTrue="1">
      <formula>AA38="N/A"</formula>
    </cfRule>
  </conditionalFormatting>
  <hyperlinks>
    <hyperlink ref="AJ38" location="'Cover Sheet'!A1" display="BACK to COVER SHEET" xr:uid="{00000000-0004-0000-1F00-000000000000}"/>
  </hyperlinks>
  <pageMargins left="0.75" right="0.75" top="1" bottom="1"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66"/>
  </sheetPr>
  <dimension ref="A1:AY1000"/>
  <sheetViews>
    <sheetView workbookViewId="0"/>
  </sheetViews>
  <sheetFormatPr baseColWidth="10" defaultColWidth="12.5703125" defaultRowHeight="15" customHeight="1"/>
  <cols>
    <col min="1" max="51" width="5" customWidth="1"/>
  </cols>
  <sheetData>
    <row r="1" spans="1:51" ht="12.75" customHeight="1">
      <c r="A1" s="739" t="s">
        <v>135</v>
      </c>
      <c r="B1" s="582"/>
      <c r="C1" s="582"/>
      <c r="D1" s="582"/>
      <c r="E1" s="582"/>
      <c r="F1" s="582"/>
      <c r="G1" s="582"/>
      <c r="H1" s="582"/>
      <c r="I1" s="582"/>
      <c r="J1" s="582"/>
      <c r="K1" s="582"/>
      <c r="L1" s="582"/>
      <c r="M1" s="582"/>
      <c r="N1" s="582"/>
      <c r="O1" s="582"/>
      <c r="P1" s="582"/>
      <c r="Q1" s="583"/>
      <c r="R1" s="342"/>
      <c r="S1" s="4"/>
      <c r="T1" s="4"/>
      <c r="U1" s="4"/>
      <c r="V1" s="4"/>
      <c r="W1" s="4"/>
      <c r="X1" s="4"/>
      <c r="Y1" s="4"/>
      <c r="Z1" s="4"/>
      <c r="AA1" s="4"/>
      <c r="AB1" s="4"/>
      <c r="AC1" s="4"/>
      <c r="AD1" s="4"/>
      <c r="AE1" s="4"/>
      <c r="AF1" s="4"/>
      <c r="AG1" s="4"/>
      <c r="AH1" s="5"/>
      <c r="AI1" s="342"/>
      <c r="AJ1" s="4"/>
      <c r="AK1" s="4"/>
      <c r="AL1" s="4"/>
      <c r="AM1" s="4"/>
      <c r="AN1" s="4"/>
      <c r="AO1" s="4"/>
      <c r="AP1" s="4"/>
      <c r="AQ1" s="4"/>
      <c r="AR1" s="4"/>
      <c r="AS1" s="4"/>
      <c r="AT1" s="4"/>
      <c r="AU1" s="4"/>
      <c r="AV1" s="4"/>
      <c r="AW1" s="4"/>
      <c r="AX1" s="4"/>
      <c r="AY1" s="5"/>
    </row>
    <row r="2" spans="1:51" ht="12.75" customHeight="1">
      <c r="A2" s="7"/>
      <c r="B2" s="6"/>
      <c r="C2" s="6"/>
      <c r="D2" s="6"/>
      <c r="E2" s="6"/>
      <c r="F2" s="6"/>
      <c r="G2" s="6"/>
      <c r="H2" s="6"/>
      <c r="I2" s="6"/>
      <c r="J2" s="6"/>
      <c r="K2" s="6"/>
      <c r="L2" s="6"/>
      <c r="M2" s="6"/>
      <c r="N2" s="6"/>
      <c r="O2" s="6"/>
      <c r="P2" s="6"/>
      <c r="Q2" s="6"/>
      <c r="R2" s="7"/>
      <c r="S2" s="442"/>
      <c r="T2" s="442"/>
      <c r="U2" s="442"/>
      <c r="V2" s="442"/>
      <c r="W2" s="442"/>
      <c r="X2" s="442"/>
      <c r="Y2" s="442"/>
      <c r="Z2" s="442"/>
      <c r="AA2" s="442"/>
      <c r="AB2" s="442"/>
      <c r="AC2" s="442"/>
      <c r="AD2" s="442"/>
      <c r="AE2" s="442"/>
      <c r="AF2" s="6"/>
      <c r="AG2" s="6"/>
      <c r="AH2" s="8"/>
      <c r="AI2" s="7"/>
      <c r="AJ2" s="6"/>
      <c r="AK2" s="6"/>
      <c r="AL2" s="6"/>
      <c r="AM2" s="6"/>
      <c r="AN2" s="6"/>
      <c r="AO2" s="6"/>
      <c r="AP2" s="6"/>
      <c r="AQ2" s="6"/>
      <c r="AR2" s="6"/>
      <c r="AS2" s="6"/>
      <c r="AT2" s="6"/>
      <c r="AU2" s="6"/>
      <c r="AV2" s="6"/>
      <c r="AW2" s="6"/>
      <c r="AX2" s="6"/>
      <c r="AY2" s="8"/>
    </row>
    <row r="3" spans="1:51" ht="12.75" customHeight="1">
      <c r="A3" s="7" t="s">
        <v>45</v>
      </c>
      <c r="B3" s="6"/>
      <c r="C3" s="6"/>
      <c r="D3" s="740" t="str">
        <f>IF('Cover Sheet'!$D$14&gt;0,'Cover Sheet'!$D$14,"")</f>
        <v>Ecole Centrale Lyon</v>
      </c>
      <c r="E3" s="737"/>
      <c r="F3" s="737"/>
      <c r="G3" s="737"/>
      <c r="H3" s="737"/>
      <c r="I3" s="741"/>
      <c r="J3" s="6" t="s">
        <v>47</v>
      </c>
      <c r="K3" s="6"/>
      <c r="L3" s="6"/>
      <c r="M3" s="6"/>
      <c r="N3" s="740" t="str">
        <f>IF('Cover Sheet'!$O$14&gt;0,'Cover Sheet'!$O$14,"")</f>
        <v>81 FSCH/FSS/FSF</v>
      </c>
      <c r="O3" s="737"/>
      <c r="P3" s="737"/>
      <c r="Q3" s="741"/>
      <c r="R3" s="7"/>
      <c r="S3" s="742" t="s">
        <v>788</v>
      </c>
      <c r="T3" s="587"/>
      <c r="U3" s="587"/>
      <c r="V3" s="587"/>
      <c r="W3" s="587"/>
      <c r="X3" s="588"/>
      <c r="Y3" s="443"/>
      <c r="Z3" s="442"/>
      <c r="AA3" s="442"/>
      <c r="AB3" s="442"/>
      <c r="AC3" s="442"/>
      <c r="AD3" s="442"/>
      <c r="AE3" s="442"/>
      <c r="AF3" s="6"/>
      <c r="AG3" s="6"/>
      <c r="AH3" s="8"/>
      <c r="AI3" s="7"/>
      <c r="AJ3" s="6"/>
      <c r="AK3" s="6"/>
      <c r="AL3" s="6"/>
      <c r="AM3" s="6"/>
      <c r="AN3" s="6"/>
      <c r="AO3" s="6"/>
      <c r="AP3" s="6"/>
      <c r="AQ3" s="6"/>
      <c r="AR3" s="6"/>
      <c r="AS3" s="6"/>
      <c r="AT3" s="6"/>
      <c r="AU3" s="6"/>
      <c r="AV3" s="6"/>
      <c r="AW3" s="6"/>
      <c r="AX3" s="6"/>
      <c r="AY3" s="8"/>
    </row>
    <row r="4" spans="1:51" ht="12.75" customHeight="1">
      <c r="A4" s="7"/>
      <c r="B4" s="6"/>
      <c r="C4" s="6"/>
      <c r="D4" s="6"/>
      <c r="E4" s="6"/>
      <c r="F4" s="6"/>
      <c r="G4" s="6"/>
      <c r="H4" s="6"/>
      <c r="I4" s="6"/>
      <c r="J4" s="6"/>
      <c r="K4" s="6"/>
      <c r="L4" s="6"/>
      <c r="M4" s="6"/>
      <c r="N4" s="6"/>
      <c r="O4" s="6"/>
      <c r="P4" s="6"/>
      <c r="Q4" s="6"/>
      <c r="R4" s="7"/>
      <c r="S4" s="742" t="s">
        <v>789</v>
      </c>
      <c r="T4" s="587"/>
      <c r="U4" s="587"/>
      <c r="V4" s="587"/>
      <c r="W4" s="587"/>
      <c r="X4" s="588"/>
      <c r="Y4" s="444"/>
      <c r="Z4" s="445"/>
      <c r="AA4" s="445"/>
      <c r="AB4" s="445"/>
      <c r="AC4" s="445"/>
      <c r="AD4" s="445"/>
      <c r="AE4" s="445"/>
      <c r="AF4" s="6"/>
      <c r="AG4" s="6"/>
      <c r="AH4" s="8"/>
      <c r="AI4" s="7"/>
      <c r="AJ4" s="6"/>
      <c r="AK4" s="6"/>
      <c r="AL4" s="6"/>
      <c r="AM4" s="6"/>
      <c r="AN4" s="6"/>
      <c r="AO4" s="6"/>
      <c r="AP4" s="6"/>
      <c r="AQ4" s="6"/>
      <c r="AR4" s="6"/>
      <c r="AS4" s="6"/>
      <c r="AT4" s="6"/>
      <c r="AU4" s="6"/>
      <c r="AV4" s="6"/>
      <c r="AW4" s="6"/>
      <c r="AX4" s="6"/>
      <c r="AY4" s="8"/>
    </row>
    <row r="5" spans="1:51" ht="12.75" customHeight="1">
      <c r="A5" s="342"/>
      <c r="B5" s="4"/>
      <c r="C5" s="4"/>
      <c r="D5" s="4"/>
      <c r="E5" s="4"/>
      <c r="F5" s="4"/>
      <c r="G5" s="4"/>
      <c r="H5" s="4"/>
      <c r="I5" s="4"/>
      <c r="J5" s="4"/>
      <c r="K5" s="4"/>
      <c r="L5" s="4"/>
      <c r="M5" s="4"/>
      <c r="N5" s="4"/>
      <c r="O5" s="4"/>
      <c r="P5" s="4"/>
      <c r="Q5" s="5"/>
      <c r="R5" s="6"/>
      <c r="S5" s="6"/>
      <c r="T5" s="6"/>
      <c r="U5" s="6"/>
      <c r="V5" s="6"/>
      <c r="W5" s="6"/>
      <c r="X5" s="6"/>
      <c r="Y5" s="6"/>
      <c r="Z5" s="6"/>
      <c r="AA5" s="6"/>
      <c r="AB5" s="6"/>
      <c r="AC5" s="6"/>
      <c r="AD5" s="6"/>
      <c r="AE5" s="6"/>
      <c r="AF5" s="6"/>
      <c r="AG5" s="6"/>
      <c r="AH5" s="8"/>
      <c r="AI5" s="7"/>
      <c r="AJ5" s="6"/>
      <c r="AK5" s="6"/>
      <c r="AL5" s="6"/>
      <c r="AM5" s="6"/>
      <c r="AN5" s="6"/>
      <c r="AO5" s="6"/>
      <c r="AP5" s="6"/>
      <c r="AQ5" s="6"/>
      <c r="AR5" s="6"/>
      <c r="AS5" s="6"/>
      <c r="AT5" s="6"/>
      <c r="AU5" s="6"/>
      <c r="AV5" s="6"/>
      <c r="AW5" s="6"/>
      <c r="AX5" s="6"/>
      <c r="AY5" s="8"/>
    </row>
    <row r="6" spans="1:51" ht="12.75" customHeight="1">
      <c r="A6" s="7"/>
      <c r="B6" s="6" t="s">
        <v>790</v>
      </c>
      <c r="C6" s="6"/>
      <c r="D6" s="6"/>
      <c r="E6" s="6"/>
      <c r="F6" s="6"/>
      <c r="G6" s="6"/>
      <c r="H6" s="6"/>
      <c r="I6" s="6"/>
      <c r="J6" s="6"/>
      <c r="K6" s="6"/>
      <c r="L6" s="6"/>
      <c r="M6" s="6"/>
      <c r="N6" s="6"/>
      <c r="O6" s="6"/>
      <c r="P6" s="6"/>
      <c r="Q6" s="8"/>
      <c r="R6" s="6"/>
      <c r="S6" s="6"/>
      <c r="T6" s="6"/>
      <c r="U6" s="6"/>
      <c r="V6" s="6"/>
      <c r="W6" s="6"/>
      <c r="X6" s="6"/>
      <c r="Y6" s="6"/>
      <c r="Z6" s="6"/>
      <c r="AA6" s="6"/>
      <c r="AB6" s="6"/>
      <c r="AC6" s="6"/>
      <c r="AD6" s="6"/>
      <c r="AE6" s="6"/>
      <c r="AF6" s="6"/>
      <c r="AG6" s="6"/>
      <c r="AH6" s="8"/>
      <c r="AI6" s="7"/>
      <c r="AJ6" s="6"/>
      <c r="AK6" s="6"/>
      <c r="AL6" s="6"/>
      <c r="AM6" s="6"/>
      <c r="AN6" s="6"/>
      <c r="AO6" s="6"/>
      <c r="AP6" s="6"/>
      <c r="AQ6" s="6"/>
      <c r="AR6" s="6"/>
      <c r="AS6" s="6"/>
      <c r="AT6" s="6"/>
      <c r="AU6" s="6"/>
      <c r="AV6" s="6"/>
      <c r="AW6" s="6"/>
      <c r="AX6" s="6"/>
      <c r="AY6" s="8"/>
    </row>
    <row r="7" spans="1:51" ht="12.75" customHeight="1">
      <c r="A7" s="7"/>
      <c r="B7" s="6" t="s">
        <v>791</v>
      </c>
      <c r="C7" s="6"/>
      <c r="D7" s="6"/>
      <c r="E7" s="6"/>
      <c r="F7" s="6"/>
      <c r="G7" s="6"/>
      <c r="H7" s="6"/>
      <c r="I7" s="6"/>
      <c r="J7" s="6"/>
      <c r="K7" s="6"/>
      <c r="L7" s="6"/>
      <c r="M7" s="6"/>
      <c r="N7" s="6"/>
      <c r="O7" s="6"/>
      <c r="P7" s="6"/>
      <c r="Q7" s="8"/>
      <c r="R7" s="6"/>
      <c r="S7" s="446"/>
      <c r="T7" s="446"/>
      <c r="U7" s="446"/>
      <c r="V7" s="446"/>
      <c r="W7" s="446"/>
      <c r="X7" s="446"/>
      <c r="Y7" s="446"/>
      <c r="Z7" s="446"/>
      <c r="AA7" s="446"/>
      <c r="AB7" s="446"/>
      <c r="AC7" s="446"/>
      <c r="AD7" s="446"/>
      <c r="AE7" s="446"/>
      <c r="AF7" s="6"/>
      <c r="AG7" s="6"/>
      <c r="AH7" s="8"/>
      <c r="AI7" s="7"/>
      <c r="AJ7" s="6"/>
      <c r="AK7" s="6"/>
      <c r="AL7" s="6"/>
      <c r="AM7" s="6"/>
      <c r="AN7" s="6"/>
      <c r="AO7" s="6"/>
      <c r="AP7" s="6"/>
      <c r="AQ7" s="6"/>
      <c r="AR7" s="6"/>
      <c r="AS7" s="6"/>
      <c r="AT7" s="6"/>
      <c r="AU7" s="6"/>
      <c r="AV7" s="6"/>
      <c r="AW7" s="6"/>
      <c r="AX7" s="6"/>
      <c r="AY7" s="8"/>
    </row>
    <row r="8" spans="1:51" ht="12.75" customHeight="1">
      <c r="A8" s="7"/>
      <c r="B8" s="6" t="s">
        <v>792</v>
      </c>
      <c r="C8" s="6"/>
      <c r="D8" s="6"/>
      <c r="E8" s="6"/>
      <c r="F8" s="6"/>
      <c r="G8" s="6"/>
      <c r="H8" s="6"/>
      <c r="I8" s="6"/>
      <c r="J8" s="6"/>
      <c r="K8" s="6"/>
      <c r="L8" s="6"/>
      <c r="M8" s="6"/>
      <c r="N8" s="6"/>
      <c r="O8" s="6"/>
      <c r="P8" s="6"/>
      <c r="Q8" s="8"/>
      <c r="R8" s="6"/>
      <c r="S8" s="446"/>
      <c r="T8" s="446"/>
      <c r="U8" s="446"/>
      <c r="V8" s="446"/>
      <c r="W8" s="446"/>
      <c r="X8" s="446"/>
      <c r="Y8" s="446"/>
      <c r="Z8" s="446"/>
      <c r="AA8" s="446"/>
      <c r="AB8" s="446"/>
      <c r="AC8" s="446"/>
      <c r="AD8" s="446"/>
      <c r="AE8" s="446"/>
      <c r="AF8" s="6"/>
      <c r="AG8" s="6"/>
      <c r="AH8" s="8"/>
      <c r="AI8" s="7"/>
      <c r="AJ8" s="6"/>
      <c r="AK8" s="6"/>
      <c r="AL8" s="6"/>
      <c r="AM8" s="6"/>
      <c r="AN8" s="6"/>
      <c r="AO8" s="6"/>
      <c r="AP8" s="6"/>
      <c r="AQ8" s="6"/>
      <c r="AR8" s="6"/>
      <c r="AS8" s="6"/>
      <c r="AT8" s="6"/>
      <c r="AU8" s="6"/>
      <c r="AV8" s="6"/>
      <c r="AW8" s="6"/>
      <c r="AX8" s="6"/>
      <c r="AY8" s="8"/>
    </row>
    <row r="9" spans="1:51" ht="12.75" customHeight="1">
      <c r="A9" s="7"/>
      <c r="B9" s="6"/>
      <c r="C9" s="6"/>
      <c r="D9" s="6"/>
      <c r="E9" s="6"/>
      <c r="F9" s="6"/>
      <c r="G9" s="6"/>
      <c r="H9" s="6"/>
      <c r="I9" s="6"/>
      <c r="J9" s="6"/>
      <c r="K9" s="6"/>
      <c r="L9" s="6"/>
      <c r="M9" s="447" t="s">
        <v>749</v>
      </c>
      <c r="N9" s="6"/>
      <c r="O9" s="6"/>
      <c r="P9" s="6"/>
      <c r="Q9" s="8"/>
      <c r="R9" s="6"/>
      <c r="S9" s="6"/>
      <c r="T9" s="6"/>
      <c r="U9" s="6"/>
      <c r="V9" s="6"/>
      <c r="W9" s="6"/>
      <c r="X9" s="6"/>
      <c r="Y9" s="6"/>
      <c r="Z9" s="6"/>
      <c r="AA9" s="6"/>
      <c r="AB9" s="6"/>
      <c r="AC9" s="6"/>
      <c r="AD9" s="6"/>
      <c r="AE9" s="6"/>
      <c r="AF9" s="6"/>
      <c r="AG9" s="6"/>
      <c r="AH9" s="8"/>
      <c r="AI9" s="7"/>
      <c r="AJ9" s="6"/>
      <c r="AK9" s="6"/>
      <c r="AL9" s="6"/>
      <c r="AM9" s="6"/>
      <c r="AN9" s="6"/>
      <c r="AO9" s="6"/>
      <c r="AP9" s="6"/>
      <c r="AQ9" s="6"/>
      <c r="AR9" s="6"/>
      <c r="AS9" s="6"/>
      <c r="AT9" s="6"/>
      <c r="AU9" s="6"/>
      <c r="AV9" s="6"/>
      <c r="AW9" s="6"/>
      <c r="AX9" s="6"/>
      <c r="AY9" s="8"/>
    </row>
    <row r="10" spans="1:51" ht="12.75" customHeight="1">
      <c r="A10" s="7"/>
      <c r="B10" s="6" t="s">
        <v>793</v>
      </c>
      <c r="C10" s="6"/>
      <c r="D10" s="6"/>
      <c r="E10" s="6"/>
      <c r="F10" s="6"/>
      <c r="G10" s="6"/>
      <c r="H10" s="6"/>
      <c r="I10" s="6"/>
      <c r="J10" s="6"/>
      <c r="K10" s="6"/>
      <c r="L10" s="6"/>
      <c r="M10" s="39" t="s">
        <v>252</v>
      </c>
      <c r="N10" s="6"/>
      <c r="O10" s="6"/>
      <c r="P10" s="6"/>
      <c r="Q10" s="8"/>
      <c r="R10" s="6"/>
      <c r="S10" s="6"/>
      <c r="T10" s="6"/>
      <c r="U10" s="6"/>
      <c r="V10" s="6"/>
      <c r="W10" s="6"/>
      <c r="X10" s="6"/>
      <c r="Y10" s="6"/>
      <c r="Z10" s="6"/>
      <c r="AA10" s="6"/>
      <c r="AB10" s="6"/>
      <c r="AC10" s="6"/>
      <c r="AD10" s="6"/>
      <c r="AE10" s="6"/>
      <c r="AF10" s="6"/>
      <c r="AG10" s="6"/>
      <c r="AH10" s="8"/>
      <c r="AI10" s="7"/>
      <c r="AJ10" s="6"/>
      <c r="AK10" s="6"/>
      <c r="AL10" s="6"/>
      <c r="AM10" s="6"/>
      <c r="AN10" s="6"/>
      <c r="AO10" s="6"/>
      <c r="AP10" s="6"/>
      <c r="AQ10" s="6"/>
      <c r="AR10" s="6"/>
      <c r="AS10" s="6"/>
      <c r="AT10" s="6"/>
      <c r="AU10" s="6"/>
      <c r="AV10" s="6"/>
      <c r="AW10" s="6"/>
      <c r="AX10" s="6"/>
      <c r="AY10" s="8"/>
    </row>
    <row r="11" spans="1:51" ht="12.75" customHeight="1">
      <c r="A11" s="20"/>
      <c r="B11" s="21"/>
      <c r="C11" s="21"/>
      <c r="D11" s="21"/>
      <c r="E11" s="21"/>
      <c r="F11" s="21"/>
      <c r="G11" s="21"/>
      <c r="H11" s="21"/>
      <c r="I11" s="21"/>
      <c r="J11" s="21"/>
      <c r="K11" s="21"/>
      <c r="L11" s="21"/>
      <c r="M11" s="21"/>
      <c r="N11" s="21"/>
      <c r="O11" s="21"/>
      <c r="P11" s="21"/>
      <c r="Q11" s="22"/>
      <c r="R11" s="21"/>
      <c r="S11" s="21"/>
      <c r="T11" s="21"/>
      <c r="U11" s="21"/>
      <c r="V11" s="21"/>
      <c r="W11" s="21"/>
      <c r="X11" s="21"/>
      <c r="Y11" s="21"/>
      <c r="Z11" s="21"/>
      <c r="AA11" s="21"/>
      <c r="AB11" s="21"/>
      <c r="AC11" s="21"/>
      <c r="AD11" s="21"/>
      <c r="AE11" s="21"/>
      <c r="AF11" s="21"/>
      <c r="AG11" s="21"/>
      <c r="AH11" s="22"/>
      <c r="AI11" s="20"/>
      <c r="AJ11" s="21"/>
      <c r="AK11" s="21"/>
      <c r="AL11" s="21"/>
      <c r="AM11" s="21"/>
      <c r="AN11" s="21"/>
      <c r="AO11" s="21"/>
      <c r="AP11" s="21"/>
      <c r="AQ11" s="21"/>
      <c r="AR11" s="21"/>
      <c r="AS11" s="21"/>
      <c r="AT11" s="21"/>
      <c r="AU11" s="21"/>
      <c r="AV11" s="21"/>
      <c r="AW11" s="21"/>
      <c r="AX11" s="21"/>
      <c r="AY11" s="22"/>
    </row>
    <row r="12" spans="1:51" ht="12.75" customHeight="1">
      <c r="A12" s="736" t="s">
        <v>794</v>
      </c>
      <c r="B12" s="737"/>
      <c r="C12" s="737"/>
      <c r="D12" s="737"/>
      <c r="E12" s="737"/>
      <c r="F12" s="737"/>
      <c r="G12" s="737"/>
      <c r="H12" s="737"/>
      <c r="I12" s="737"/>
      <c r="J12" s="737"/>
      <c r="K12" s="737"/>
      <c r="L12" s="737"/>
      <c r="M12" s="737"/>
      <c r="N12" s="737"/>
      <c r="O12" s="737"/>
      <c r="P12" s="737"/>
      <c r="Q12" s="674"/>
      <c r="R12" s="738" t="s">
        <v>795</v>
      </c>
      <c r="S12" s="587"/>
      <c r="T12" s="587"/>
      <c r="U12" s="587"/>
      <c r="V12" s="587"/>
      <c r="W12" s="587"/>
      <c r="X12" s="587"/>
      <c r="Y12" s="587"/>
      <c r="Z12" s="587"/>
      <c r="AA12" s="587"/>
      <c r="AB12" s="587"/>
      <c r="AC12" s="587"/>
      <c r="AD12" s="587"/>
      <c r="AE12" s="587"/>
      <c r="AF12" s="587"/>
      <c r="AG12" s="587"/>
      <c r="AH12" s="588"/>
      <c r="AI12" s="738" t="s">
        <v>796</v>
      </c>
      <c r="AJ12" s="587"/>
      <c r="AK12" s="587"/>
      <c r="AL12" s="587"/>
      <c r="AM12" s="587"/>
      <c r="AN12" s="587"/>
      <c r="AO12" s="587"/>
      <c r="AP12" s="587"/>
      <c r="AQ12" s="587"/>
      <c r="AR12" s="587"/>
      <c r="AS12" s="587"/>
      <c r="AT12" s="587"/>
      <c r="AU12" s="587"/>
      <c r="AV12" s="587"/>
      <c r="AW12" s="587"/>
      <c r="AX12" s="587"/>
      <c r="AY12" s="588"/>
    </row>
    <row r="13" spans="1:51" ht="12.75" customHeight="1">
      <c r="A13" s="142"/>
      <c r="B13" s="143"/>
      <c r="C13" s="143"/>
      <c r="D13" s="143"/>
      <c r="E13" s="143"/>
      <c r="F13" s="143"/>
      <c r="G13" s="143"/>
      <c r="H13" s="143"/>
      <c r="I13" s="143"/>
      <c r="J13" s="143"/>
      <c r="K13" s="143"/>
      <c r="L13" s="143"/>
      <c r="M13" s="143"/>
      <c r="N13" s="143"/>
      <c r="O13" s="143"/>
      <c r="P13" s="143"/>
      <c r="Q13" s="144"/>
      <c r="R13" s="142"/>
      <c r="S13" s="143"/>
      <c r="T13" s="143"/>
      <c r="U13" s="143"/>
      <c r="V13" s="143"/>
      <c r="W13" s="143"/>
      <c r="X13" s="143"/>
      <c r="Y13" s="143"/>
      <c r="Z13" s="143"/>
      <c r="AA13" s="143"/>
      <c r="AB13" s="143"/>
      <c r="AC13" s="143"/>
      <c r="AD13" s="143"/>
      <c r="AE13" s="143"/>
      <c r="AF13" s="143"/>
      <c r="AG13" s="143"/>
      <c r="AH13" s="144"/>
      <c r="AI13" s="142"/>
      <c r="AJ13" s="143"/>
      <c r="AK13" s="143"/>
      <c r="AL13" s="143"/>
      <c r="AM13" s="143"/>
      <c r="AN13" s="143"/>
      <c r="AO13" s="143"/>
      <c r="AP13" s="143"/>
      <c r="AQ13" s="143"/>
      <c r="AR13" s="143"/>
      <c r="AS13" s="143"/>
      <c r="AT13" s="143"/>
      <c r="AU13" s="143"/>
      <c r="AV13" s="143"/>
      <c r="AW13" s="143"/>
      <c r="AX13" s="143"/>
      <c r="AY13" s="144"/>
    </row>
    <row r="14" spans="1:51" ht="12.75" customHeight="1">
      <c r="A14" s="95"/>
      <c r="B14" s="64"/>
      <c r="C14" s="64"/>
      <c r="D14" s="64"/>
      <c r="E14" s="64"/>
      <c r="F14" s="64"/>
      <c r="G14" s="64"/>
      <c r="H14" s="64"/>
      <c r="I14" s="64"/>
      <c r="J14" s="64"/>
      <c r="K14" s="64"/>
      <c r="L14" s="64"/>
      <c r="M14" s="64"/>
      <c r="N14" s="64"/>
      <c r="O14" s="64"/>
      <c r="P14" s="64"/>
      <c r="Q14" s="96"/>
      <c r="R14" s="95"/>
      <c r="S14" s="64"/>
      <c r="T14" s="64"/>
      <c r="U14" s="64"/>
      <c r="V14" s="64"/>
      <c r="W14" s="64"/>
      <c r="X14" s="64"/>
      <c r="Y14" s="64"/>
      <c r="Z14" s="64"/>
      <c r="AA14" s="64"/>
      <c r="AB14" s="64"/>
      <c r="AC14" s="64"/>
      <c r="AD14" s="64"/>
      <c r="AE14" s="64"/>
      <c r="AF14" s="64"/>
      <c r="AG14" s="64"/>
      <c r="AH14" s="96"/>
      <c r="AI14" s="95"/>
      <c r="AJ14" s="64"/>
      <c r="AK14" s="64"/>
      <c r="AL14" s="64"/>
      <c r="AM14" s="64"/>
      <c r="AN14" s="64"/>
      <c r="AO14" s="64"/>
      <c r="AP14" s="64"/>
      <c r="AQ14" s="64"/>
      <c r="AR14" s="64"/>
      <c r="AS14" s="64"/>
      <c r="AT14" s="64"/>
      <c r="AU14" s="64"/>
      <c r="AV14" s="64"/>
      <c r="AW14" s="64"/>
      <c r="AX14" s="64"/>
      <c r="AY14" s="96"/>
    </row>
    <row r="15" spans="1:51" ht="12.75" customHeight="1">
      <c r="A15" s="95"/>
      <c r="B15" s="64"/>
      <c r="C15" s="64"/>
      <c r="D15" s="64"/>
      <c r="E15" s="64"/>
      <c r="F15" s="64"/>
      <c r="G15" s="64"/>
      <c r="H15" s="64"/>
      <c r="I15" s="64"/>
      <c r="J15" s="64"/>
      <c r="K15" s="64"/>
      <c r="L15" s="64"/>
      <c r="M15" s="64"/>
      <c r="N15" s="64"/>
      <c r="O15" s="64"/>
      <c r="P15" s="64"/>
      <c r="Q15" s="96"/>
      <c r="R15" s="95"/>
      <c r="S15" s="64"/>
      <c r="T15" s="64"/>
      <c r="U15" s="64"/>
      <c r="V15" s="64"/>
      <c r="W15" s="64"/>
      <c r="X15" s="64"/>
      <c r="Y15" s="64"/>
      <c r="Z15" s="64"/>
      <c r="AA15" s="64"/>
      <c r="AB15" s="64"/>
      <c r="AC15" s="64"/>
      <c r="AD15" s="64"/>
      <c r="AE15" s="64"/>
      <c r="AF15" s="64"/>
      <c r="AG15" s="64"/>
      <c r="AH15" s="96"/>
      <c r="AI15" s="95"/>
      <c r="AJ15" s="64"/>
      <c r="AK15" s="64"/>
      <c r="AL15" s="64"/>
      <c r="AM15" s="64"/>
      <c r="AN15" s="64"/>
      <c r="AO15" s="64"/>
      <c r="AP15" s="64"/>
      <c r="AQ15" s="64"/>
      <c r="AR15" s="64"/>
      <c r="AS15" s="64"/>
      <c r="AT15" s="64"/>
      <c r="AU15" s="64"/>
      <c r="AV15" s="64"/>
      <c r="AW15" s="64"/>
      <c r="AX15" s="64"/>
      <c r="AY15" s="96"/>
    </row>
    <row r="16" spans="1:51" ht="12.75" customHeight="1">
      <c r="A16" s="95"/>
      <c r="B16" s="64"/>
      <c r="C16" s="64"/>
      <c r="D16" s="64"/>
      <c r="E16" s="64"/>
      <c r="F16" s="64"/>
      <c r="G16" s="64"/>
      <c r="H16" s="64"/>
      <c r="I16" s="64"/>
      <c r="J16" s="64"/>
      <c r="K16" s="64"/>
      <c r="L16" s="64"/>
      <c r="M16" s="64"/>
      <c r="N16" s="64"/>
      <c r="O16" s="64"/>
      <c r="P16" s="64"/>
      <c r="Q16" s="96"/>
      <c r="R16" s="95"/>
      <c r="S16" s="64"/>
      <c r="T16" s="64"/>
      <c r="U16" s="64"/>
      <c r="V16" s="64"/>
      <c r="W16" s="64"/>
      <c r="X16" s="64"/>
      <c r="Y16" s="64"/>
      <c r="Z16" s="64"/>
      <c r="AA16" s="64"/>
      <c r="AB16" s="64"/>
      <c r="AC16" s="64"/>
      <c r="AD16" s="64"/>
      <c r="AE16" s="64"/>
      <c r="AF16" s="64"/>
      <c r="AG16" s="64"/>
      <c r="AH16" s="96"/>
      <c r="AI16" s="95"/>
      <c r="AJ16" s="64"/>
      <c r="AK16" s="64"/>
      <c r="AL16" s="64"/>
      <c r="AM16" s="64"/>
      <c r="AN16" s="64"/>
      <c r="AO16" s="64"/>
      <c r="AP16" s="64"/>
      <c r="AQ16" s="64"/>
      <c r="AR16" s="64"/>
      <c r="AS16" s="64"/>
      <c r="AT16" s="64"/>
      <c r="AU16" s="64"/>
      <c r="AV16" s="64"/>
      <c r="AW16" s="64"/>
      <c r="AX16" s="64"/>
      <c r="AY16" s="96"/>
    </row>
    <row r="17" spans="1:51" ht="12.75" customHeight="1">
      <c r="A17" s="95"/>
      <c r="B17" s="64"/>
      <c r="C17" s="64"/>
      <c r="D17" s="64"/>
      <c r="E17" s="64"/>
      <c r="F17" s="64"/>
      <c r="G17" s="64"/>
      <c r="H17" s="64"/>
      <c r="I17" s="64"/>
      <c r="J17" s="64"/>
      <c r="K17" s="64"/>
      <c r="L17" s="64"/>
      <c r="M17" s="64"/>
      <c r="N17" s="64"/>
      <c r="O17" s="64"/>
      <c r="P17" s="64"/>
      <c r="Q17" s="96"/>
      <c r="R17" s="95"/>
      <c r="S17" s="64"/>
      <c r="T17" s="64"/>
      <c r="U17" s="64"/>
      <c r="V17" s="64"/>
      <c r="W17" s="64"/>
      <c r="X17" s="64"/>
      <c r="Y17" s="64"/>
      <c r="Z17" s="64"/>
      <c r="AA17" s="64"/>
      <c r="AB17" s="64"/>
      <c r="AC17" s="64"/>
      <c r="AD17" s="64"/>
      <c r="AE17" s="64"/>
      <c r="AF17" s="64"/>
      <c r="AG17" s="64"/>
      <c r="AH17" s="96"/>
      <c r="AI17" s="95"/>
      <c r="AJ17" s="64"/>
      <c r="AK17" s="64"/>
      <c r="AL17" s="64"/>
      <c r="AM17" s="64"/>
      <c r="AN17" s="64"/>
      <c r="AO17" s="64"/>
      <c r="AP17" s="64"/>
      <c r="AQ17" s="64"/>
      <c r="AR17" s="64"/>
      <c r="AS17" s="64"/>
      <c r="AT17" s="64"/>
      <c r="AU17" s="64"/>
      <c r="AV17" s="64"/>
      <c r="AW17" s="64"/>
      <c r="AX17" s="64"/>
      <c r="AY17" s="96"/>
    </row>
    <row r="18" spans="1:51" ht="12.75" customHeight="1">
      <c r="A18" s="95"/>
      <c r="B18" s="64"/>
      <c r="C18" s="64"/>
      <c r="D18" s="64"/>
      <c r="E18" s="64"/>
      <c r="F18" s="64"/>
      <c r="G18" s="64"/>
      <c r="H18" s="64"/>
      <c r="I18" s="64"/>
      <c r="J18" s="64"/>
      <c r="K18" s="64"/>
      <c r="L18" s="64"/>
      <c r="M18" s="64"/>
      <c r="N18" s="64"/>
      <c r="O18" s="64"/>
      <c r="P18" s="64"/>
      <c r="Q18" s="96"/>
      <c r="R18" s="95"/>
      <c r="S18" s="64"/>
      <c r="T18" s="64"/>
      <c r="U18" s="64"/>
      <c r="V18" s="64"/>
      <c r="W18" s="64"/>
      <c r="X18" s="64"/>
      <c r="Y18" s="64"/>
      <c r="Z18" s="64"/>
      <c r="AA18" s="64"/>
      <c r="AB18" s="64"/>
      <c r="AC18" s="64"/>
      <c r="AD18" s="64"/>
      <c r="AE18" s="64"/>
      <c r="AF18" s="64"/>
      <c r="AG18" s="64"/>
      <c r="AH18" s="96"/>
      <c r="AI18" s="95"/>
      <c r="AJ18" s="64"/>
      <c r="AK18" s="64"/>
      <c r="AL18" s="64"/>
      <c r="AM18" s="64"/>
      <c r="AN18" s="64"/>
      <c r="AO18" s="64"/>
      <c r="AP18" s="64"/>
      <c r="AQ18" s="64"/>
      <c r="AR18" s="64"/>
      <c r="AS18" s="64"/>
      <c r="AT18" s="64"/>
      <c r="AU18" s="64"/>
      <c r="AV18" s="64"/>
      <c r="AW18" s="64"/>
      <c r="AX18" s="64"/>
      <c r="AY18" s="96"/>
    </row>
    <row r="19" spans="1:51" ht="12.75" customHeight="1">
      <c r="A19" s="95"/>
      <c r="B19" s="64"/>
      <c r="C19" s="64"/>
      <c r="D19" s="64"/>
      <c r="E19" s="64"/>
      <c r="F19" s="64"/>
      <c r="G19" s="64"/>
      <c r="H19" s="64"/>
      <c r="I19" s="64"/>
      <c r="J19" s="64"/>
      <c r="K19" s="64"/>
      <c r="L19" s="64"/>
      <c r="M19" s="64"/>
      <c r="N19" s="64"/>
      <c r="O19" s="64"/>
      <c r="P19" s="64"/>
      <c r="Q19" s="96"/>
      <c r="R19" s="95"/>
      <c r="S19" s="64"/>
      <c r="T19" s="64"/>
      <c r="U19" s="64"/>
      <c r="V19" s="64"/>
      <c r="W19" s="64"/>
      <c r="X19" s="64"/>
      <c r="Y19" s="64"/>
      <c r="Z19" s="64"/>
      <c r="AA19" s="64"/>
      <c r="AB19" s="64"/>
      <c r="AC19" s="64"/>
      <c r="AD19" s="64"/>
      <c r="AE19" s="64"/>
      <c r="AF19" s="64"/>
      <c r="AG19" s="64"/>
      <c r="AH19" s="96"/>
      <c r="AI19" s="95"/>
      <c r="AJ19" s="64"/>
      <c r="AK19" s="64"/>
      <c r="AL19" s="64"/>
      <c r="AM19" s="64"/>
      <c r="AN19" s="64"/>
      <c r="AO19" s="64"/>
      <c r="AP19" s="64"/>
      <c r="AQ19" s="64"/>
      <c r="AR19" s="64"/>
      <c r="AS19" s="64"/>
      <c r="AT19" s="64"/>
      <c r="AU19" s="64"/>
      <c r="AV19" s="64"/>
      <c r="AW19" s="64"/>
      <c r="AX19" s="64"/>
      <c r="AY19" s="96"/>
    </row>
    <row r="20" spans="1:51" ht="12.75" customHeight="1">
      <c r="A20" s="95"/>
      <c r="B20" s="64"/>
      <c r="C20" s="64"/>
      <c r="D20" s="64"/>
      <c r="E20" s="64"/>
      <c r="F20" s="64"/>
      <c r="G20" s="64"/>
      <c r="H20" s="64"/>
      <c r="I20" s="64"/>
      <c r="J20" s="64"/>
      <c r="K20" s="64"/>
      <c r="L20" s="64"/>
      <c r="M20" s="64"/>
      <c r="N20" s="64"/>
      <c r="O20" s="64"/>
      <c r="P20" s="64"/>
      <c r="Q20" s="96"/>
      <c r="R20" s="95"/>
      <c r="S20" s="64"/>
      <c r="T20" s="64"/>
      <c r="U20" s="64"/>
      <c r="V20" s="64"/>
      <c r="W20" s="64"/>
      <c r="X20" s="64"/>
      <c r="Y20" s="64"/>
      <c r="Z20" s="64"/>
      <c r="AA20" s="64"/>
      <c r="AB20" s="64"/>
      <c r="AC20" s="64"/>
      <c r="AD20" s="64"/>
      <c r="AE20" s="64"/>
      <c r="AF20" s="64"/>
      <c r="AG20" s="64"/>
      <c r="AH20" s="96"/>
      <c r="AI20" s="95"/>
      <c r="AJ20" s="64"/>
      <c r="AK20" s="64"/>
      <c r="AL20" s="64"/>
      <c r="AM20" s="64"/>
      <c r="AN20" s="64"/>
      <c r="AO20" s="64"/>
      <c r="AP20" s="64"/>
      <c r="AQ20" s="64"/>
      <c r="AR20" s="64"/>
      <c r="AS20" s="64"/>
      <c r="AT20" s="64"/>
      <c r="AU20" s="64"/>
      <c r="AV20" s="64"/>
      <c r="AW20" s="64"/>
      <c r="AX20" s="64"/>
      <c r="AY20" s="96"/>
    </row>
    <row r="21" spans="1:51" ht="12.75" customHeight="1">
      <c r="A21" s="95"/>
      <c r="B21" s="64"/>
      <c r="C21" s="64"/>
      <c r="D21" s="64"/>
      <c r="E21" s="64"/>
      <c r="F21" s="64"/>
      <c r="G21" s="64"/>
      <c r="H21" s="64"/>
      <c r="I21" s="64"/>
      <c r="J21" s="64"/>
      <c r="K21" s="64"/>
      <c r="L21" s="64"/>
      <c r="M21" s="64"/>
      <c r="N21" s="64"/>
      <c r="O21" s="64"/>
      <c r="P21" s="64"/>
      <c r="Q21" s="96"/>
      <c r="R21" s="95"/>
      <c r="S21" s="64"/>
      <c r="T21" s="64"/>
      <c r="U21" s="64"/>
      <c r="V21" s="64"/>
      <c r="W21" s="64"/>
      <c r="X21" s="64"/>
      <c r="Y21" s="64"/>
      <c r="Z21" s="64"/>
      <c r="AA21" s="64"/>
      <c r="AB21" s="64"/>
      <c r="AC21" s="64"/>
      <c r="AD21" s="64"/>
      <c r="AE21" s="64"/>
      <c r="AF21" s="64"/>
      <c r="AG21" s="64"/>
      <c r="AH21" s="96"/>
      <c r="AI21" s="95"/>
      <c r="AJ21" s="64"/>
      <c r="AK21" s="64"/>
      <c r="AL21" s="64"/>
      <c r="AM21" s="64"/>
      <c r="AN21" s="64"/>
      <c r="AO21" s="64"/>
      <c r="AP21" s="64"/>
      <c r="AQ21" s="64"/>
      <c r="AR21" s="64"/>
      <c r="AS21" s="64"/>
      <c r="AT21" s="64"/>
      <c r="AU21" s="64"/>
      <c r="AV21" s="64"/>
      <c r="AW21" s="64"/>
      <c r="AX21" s="64"/>
      <c r="AY21" s="96"/>
    </row>
    <row r="22" spans="1:51" ht="12.75" customHeight="1">
      <c r="A22" s="95"/>
      <c r="B22" s="64"/>
      <c r="C22" s="64"/>
      <c r="D22" s="64"/>
      <c r="E22" s="64"/>
      <c r="F22" s="64"/>
      <c r="G22" s="64"/>
      <c r="H22" s="64"/>
      <c r="I22" s="64"/>
      <c r="J22" s="64"/>
      <c r="K22" s="64"/>
      <c r="L22" s="64"/>
      <c r="M22" s="64"/>
      <c r="N22" s="64"/>
      <c r="O22" s="64"/>
      <c r="P22" s="64"/>
      <c r="Q22" s="96"/>
      <c r="R22" s="95"/>
      <c r="S22" s="64"/>
      <c r="T22" s="64"/>
      <c r="U22" s="64"/>
      <c r="V22" s="64"/>
      <c r="W22" s="64"/>
      <c r="X22" s="64"/>
      <c r="Y22" s="64"/>
      <c r="Z22" s="64"/>
      <c r="AA22" s="64"/>
      <c r="AB22" s="64"/>
      <c r="AC22" s="64"/>
      <c r="AD22" s="64"/>
      <c r="AE22" s="64"/>
      <c r="AF22" s="64"/>
      <c r="AG22" s="64"/>
      <c r="AH22" s="96"/>
      <c r="AI22" s="95"/>
      <c r="AJ22" s="64"/>
      <c r="AK22" s="64"/>
      <c r="AL22" s="64"/>
      <c r="AM22" s="64"/>
      <c r="AN22" s="64"/>
      <c r="AO22" s="64"/>
      <c r="AP22" s="64"/>
      <c r="AQ22" s="64"/>
      <c r="AR22" s="64"/>
      <c r="AS22" s="64"/>
      <c r="AT22" s="64"/>
      <c r="AU22" s="64"/>
      <c r="AV22" s="64"/>
      <c r="AW22" s="64"/>
      <c r="AX22" s="64"/>
      <c r="AY22" s="96"/>
    </row>
    <row r="23" spans="1:51" ht="12.75" customHeight="1">
      <c r="A23" s="95"/>
      <c r="B23" s="64"/>
      <c r="C23" s="64"/>
      <c r="D23" s="64"/>
      <c r="E23" s="64"/>
      <c r="F23" s="64"/>
      <c r="G23" s="64"/>
      <c r="H23" s="64"/>
      <c r="I23" s="64"/>
      <c r="J23" s="64"/>
      <c r="K23" s="64"/>
      <c r="L23" s="64"/>
      <c r="M23" s="64"/>
      <c r="N23" s="64"/>
      <c r="O23" s="64"/>
      <c r="P23" s="64"/>
      <c r="Q23" s="96"/>
      <c r="R23" s="95"/>
      <c r="S23" s="64"/>
      <c r="T23" s="64"/>
      <c r="U23" s="64"/>
      <c r="V23" s="64"/>
      <c r="W23" s="64"/>
      <c r="X23" s="64"/>
      <c r="Y23" s="64"/>
      <c r="Z23" s="64"/>
      <c r="AA23" s="64"/>
      <c r="AB23" s="64"/>
      <c r="AC23" s="64"/>
      <c r="AD23" s="64"/>
      <c r="AE23" s="64"/>
      <c r="AF23" s="64"/>
      <c r="AG23" s="64"/>
      <c r="AH23" s="96"/>
      <c r="AI23" s="95"/>
      <c r="AJ23" s="64"/>
      <c r="AK23" s="64"/>
      <c r="AL23" s="64"/>
      <c r="AM23" s="64"/>
      <c r="AN23" s="64"/>
      <c r="AO23" s="64"/>
      <c r="AP23" s="64"/>
      <c r="AQ23" s="64"/>
      <c r="AR23" s="64"/>
      <c r="AS23" s="64"/>
      <c r="AT23" s="64"/>
      <c r="AU23" s="64"/>
      <c r="AV23" s="64"/>
      <c r="AW23" s="64"/>
      <c r="AX23" s="64"/>
      <c r="AY23" s="96"/>
    </row>
    <row r="24" spans="1:51" ht="12.75" customHeight="1">
      <c r="A24" s="95"/>
      <c r="B24" s="64"/>
      <c r="C24" s="64"/>
      <c r="D24" s="64"/>
      <c r="E24" s="64"/>
      <c r="F24" s="64"/>
      <c r="G24" s="64"/>
      <c r="H24" s="64"/>
      <c r="I24" s="64"/>
      <c r="J24" s="64"/>
      <c r="K24" s="64"/>
      <c r="L24" s="64"/>
      <c r="M24" s="64"/>
      <c r="N24" s="64"/>
      <c r="O24" s="64"/>
      <c r="P24" s="64"/>
      <c r="Q24" s="96"/>
      <c r="R24" s="95"/>
      <c r="S24" s="64"/>
      <c r="T24" s="64"/>
      <c r="U24" s="64"/>
      <c r="V24" s="64"/>
      <c r="W24" s="64"/>
      <c r="X24" s="64"/>
      <c r="Y24" s="64"/>
      <c r="Z24" s="64"/>
      <c r="AA24" s="64"/>
      <c r="AB24" s="64"/>
      <c r="AC24" s="64"/>
      <c r="AD24" s="64"/>
      <c r="AE24" s="64"/>
      <c r="AF24" s="64"/>
      <c r="AG24" s="64"/>
      <c r="AH24" s="96"/>
      <c r="AI24" s="95"/>
      <c r="AJ24" s="64"/>
      <c r="AK24" s="64"/>
      <c r="AL24" s="64"/>
      <c r="AM24" s="64"/>
      <c r="AN24" s="64"/>
      <c r="AO24" s="64"/>
      <c r="AP24" s="64"/>
      <c r="AQ24" s="64"/>
      <c r="AR24" s="64"/>
      <c r="AS24" s="64"/>
      <c r="AT24" s="64"/>
      <c r="AU24" s="64"/>
      <c r="AV24" s="64"/>
      <c r="AW24" s="64"/>
      <c r="AX24" s="64"/>
      <c r="AY24" s="96"/>
    </row>
    <row r="25" spans="1:51" ht="12.75" customHeight="1">
      <c r="A25" s="95"/>
      <c r="B25" s="64"/>
      <c r="C25" s="64"/>
      <c r="D25" s="64"/>
      <c r="E25" s="64"/>
      <c r="F25" s="64"/>
      <c r="G25" s="64"/>
      <c r="H25" s="64"/>
      <c r="I25" s="64"/>
      <c r="J25" s="64"/>
      <c r="K25" s="64"/>
      <c r="L25" s="64"/>
      <c r="M25" s="64"/>
      <c r="N25" s="64"/>
      <c r="O25" s="64"/>
      <c r="P25" s="64"/>
      <c r="Q25" s="96"/>
      <c r="R25" s="95"/>
      <c r="S25" s="64"/>
      <c r="T25" s="64"/>
      <c r="U25" s="64"/>
      <c r="V25" s="64"/>
      <c r="W25" s="64"/>
      <c r="X25" s="64"/>
      <c r="Y25" s="64"/>
      <c r="Z25" s="64"/>
      <c r="AA25" s="64"/>
      <c r="AB25" s="64"/>
      <c r="AC25" s="64"/>
      <c r="AD25" s="64"/>
      <c r="AE25" s="64"/>
      <c r="AF25" s="64"/>
      <c r="AG25" s="64"/>
      <c r="AH25" s="96"/>
      <c r="AI25" s="95"/>
      <c r="AJ25" s="64"/>
      <c r="AK25" s="64"/>
      <c r="AL25" s="64"/>
      <c r="AM25" s="64"/>
      <c r="AN25" s="64"/>
      <c r="AO25" s="64"/>
      <c r="AP25" s="64"/>
      <c r="AQ25" s="64"/>
      <c r="AR25" s="64"/>
      <c r="AS25" s="64"/>
      <c r="AT25" s="64"/>
      <c r="AU25" s="64"/>
      <c r="AV25" s="64"/>
      <c r="AW25" s="64"/>
      <c r="AX25" s="64"/>
      <c r="AY25" s="96"/>
    </row>
    <row r="26" spans="1:51" ht="12.75" customHeight="1">
      <c r="A26" s="95"/>
      <c r="B26" s="64"/>
      <c r="C26" s="64"/>
      <c r="D26" s="64"/>
      <c r="E26" s="64"/>
      <c r="F26" s="64"/>
      <c r="G26" s="64"/>
      <c r="H26" s="64"/>
      <c r="I26" s="64"/>
      <c r="J26" s="64"/>
      <c r="K26" s="64"/>
      <c r="L26" s="64"/>
      <c r="M26" s="64"/>
      <c r="N26" s="64"/>
      <c r="O26" s="64"/>
      <c r="P26" s="64"/>
      <c r="Q26" s="96"/>
      <c r="R26" s="95"/>
      <c r="S26" s="64"/>
      <c r="T26" s="64"/>
      <c r="U26" s="64"/>
      <c r="V26" s="64"/>
      <c r="W26" s="64"/>
      <c r="X26" s="64"/>
      <c r="Y26" s="64"/>
      <c r="Z26" s="64"/>
      <c r="AA26" s="64"/>
      <c r="AB26" s="64"/>
      <c r="AC26" s="64"/>
      <c r="AD26" s="64"/>
      <c r="AE26" s="64"/>
      <c r="AF26" s="64"/>
      <c r="AG26" s="64"/>
      <c r="AH26" s="96"/>
      <c r="AI26" s="95"/>
      <c r="AJ26" s="64"/>
      <c r="AK26" s="64"/>
      <c r="AL26" s="64"/>
      <c r="AM26" s="64"/>
      <c r="AN26" s="64"/>
      <c r="AO26" s="64"/>
      <c r="AP26" s="64"/>
      <c r="AQ26" s="64"/>
      <c r="AR26" s="64"/>
      <c r="AS26" s="64"/>
      <c r="AT26" s="64"/>
      <c r="AU26" s="64"/>
      <c r="AV26" s="64"/>
      <c r="AW26" s="64"/>
      <c r="AX26" s="64"/>
      <c r="AY26" s="96"/>
    </row>
    <row r="27" spans="1:51" ht="12.75" customHeight="1">
      <c r="A27" s="95"/>
      <c r="B27" s="64"/>
      <c r="C27" s="64"/>
      <c r="D27" s="64"/>
      <c r="E27" s="64"/>
      <c r="F27" s="64"/>
      <c r="G27" s="64"/>
      <c r="H27" s="64"/>
      <c r="I27" s="64"/>
      <c r="J27" s="64"/>
      <c r="K27" s="64"/>
      <c r="L27" s="64"/>
      <c r="M27" s="64"/>
      <c r="N27" s="64"/>
      <c r="O27" s="64"/>
      <c r="P27" s="64"/>
      <c r="Q27" s="96"/>
      <c r="R27" s="95"/>
      <c r="S27" s="64"/>
      <c r="T27" s="64"/>
      <c r="U27" s="64"/>
      <c r="V27" s="64"/>
      <c r="W27" s="64"/>
      <c r="X27" s="64"/>
      <c r="Y27" s="64"/>
      <c r="Z27" s="64"/>
      <c r="AA27" s="64"/>
      <c r="AB27" s="64"/>
      <c r="AC27" s="64"/>
      <c r="AD27" s="64"/>
      <c r="AE27" s="64"/>
      <c r="AF27" s="64"/>
      <c r="AG27" s="64"/>
      <c r="AH27" s="96"/>
      <c r="AI27" s="95"/>
      <c r="AJ27" s="64"/>
      <c r="AK27" s="64"/>
      <c r="AL27" s="64"/>
      <c r="AM27" s="64"/>
      <c r="AN27" s="64"/>
      <c r="AO27" s="64"/>
      <c r="AP27" s="64"/>
      <c r="AQ27" s="64"/>
      <c r="AR27" s="64"/>
      <c r="AS27" s="64"/>
      <c r="AT27" s="64"/>
      <c r="AU27" s="64"/>
      <c r="AV27" s="64"/>
      <c r="AW27" s="64"/>
      <c r="AX27" s="64"/>
      <c r="AY27" s="96"/>
    </row>
    <row r="28" spans="1:51" ht="12.75" customHeight="1">
      <c r="A28" s="95"/>
      <c r="B28" s="64"/>
      <c r="C28" s="64"/>
      <c r="D28" s="64"/>
      <c r="E28" s="64"/>
      <c r="F28" s="64"/>
      <c r="G28" s="64"/>
      <c r="H28" s="64"/>
      <c r="I28" s="64"/>
      <c r="J28" s="64"/>
      <c r="K28" s="64"/>
      <c r="L28" s="64"/>
      <c r="M28" s="64"/>
      <c r="N28" s="64"/>
      <c r="O28" s="64"/>
      <c r="P28" s="64"/>
      <c r="Q28" s="96"/>
      <c r="R28" s="95"/>
      <c r="S28" s="64"/>
      <c r="T28" s="64"/>
      <c r="U28" s="64"/>
      <c r="V28" s="64"/>
      <c r="W28" s="64"/>
      <c r="X28" s="64"/>
      <c r="Y28" s="64"/>
      <c r="Z28" s="64"/>
      <c r="AA28" s="64"/>
      <c r="AB28" s="64"/>
      <c r="AC28" s="64"/>
      <c r="AD28" s="64"/>
      <c r="AE28" s="64"/>
      <c r="AF28" s="64"/>
      <c r="AG28" s="64"/>
      <c r="AH28" s="96"/>
      <c r="AI28" s="95"/>
      <c r="AJ28" s="64"/>
      <c r="AK28" s="64"/>
      <c r="AL28" s="64"/>
      <c r="AM28" s="64"/>
      <c r="AN28" s="64"/>
      <c r="AO28" s="64"/>
      <c r="AP28" s="64"/>
      <c r="AQ28" s="64"/>
      <c r="AR28" s="64"/>
      <c r="AS28" s="64"/>
      <c r="AT28" s="64"/>
      <c r="AU28" s="64"/>
      <c r="AV28" s="64"/>
      <c r="AW28" s="64"/>
      <c r="AX28" s="64"/>
      <c r="AY28" s="96"/>
    </row>
    <row r="29" spans="1:51" ht="12.75" customHeight="1">
      <c r="A29" s="95"/>
      <c r="B29" s="64"/>
      <c r="C29" s="64"/>
      <c r="D29" s="64"/>
      <c r="E29" s="64"/>
      <c r="F29" s="64"/>
      <c r="G29" s="64"/>
      <c r="H29" s="64"/>
      <c r="I29" s="64"/>
      <c r="J29" s="64"/>
      <c r="K29" s="64"/>
      <c r="L29" s="64"/>
      <c r="M29" s="64"/>
      <c r="N29" s="64"/>
      <c r="O29" s="64"/>
      <c r="P29" s="64"/>
      <c r="Q29" s="96"/>
      <c r="R29" s="95"/>
      <c r="S29" s="64"/>
      <c r="T29" s="64"/>
      <c r="U29" s="64"/>
      <c r="V29" s="64"/>
      <c r="W29" s="64"/>
      <c r="X29" s="64"/>
      <c r="Y29" s="64"/>
      <c r="Z29" s="64"/>
      <c r="AA29" s="64"/>
      <c r="AB29" s="64"/>
      <c r="AC29" s="64"/>
      <c r="AD29" s="64"/>
      <c r="AE29" s="64"/>
      <c r="AF29" s="64"/>
      <c r="AG29" s="64"/>
      <c r="AH29" s="96"/>
      <c r="AI29" s="95"/>
      <c r="AJ29" s="64"/>
      <c r="AK29" s="64"/>
      <c r="AL29" s="64"/>
      <c r="AM29" s="64"/>
      <c r="AN29" s="64"/>
      <c r="AO29" s="64"/>
      <c r="AP29" s="64"/>
      <c r="AQ29" s="64"/>
      <c r="AR29" s="64"/>
      <c r="AS29" s="64"/>
      <c r="AT29" s="64"/>
      <c r="AU29" s="64"/>
      <c r="AV29" s="64"/>
      <c r="AW29" s="64"/>
      <c r="AX29" s="64"/>
      <c r="AY29" s="96"/>
    </row>
    <row r="30" spans="1:51" ht="12.75" customHeight="1">
      <c r="A30" s="95"/>
      <c r="B30" s="64"/>
      <c r="C30" s="64"/>
      <c r="D30" s="64"/>
      <c r="E30" s="64"/>
      <c r="F30" s="64"/>
      <c r="G30" s="64"/>
      <c r="H30" s="64"/>
      <c r="I30" s="64"/>
      <c r="J30" s="64"/>
      <c r="K30" s="64"/>
      <c r="L30" s="64"/>
      <c r="M30" s="64"/>
      <c r="N30" s="64"/>
      <c r="O30" s="64"/>
      <c r="P30" s="64"/>
      <c r="Q30" s="96"/>
      <c r="R30" s="95"/>
      <c r="S30" s="64"/>
      <c r="T30" s="64"/>
      <c r="U30" s="64"/>
      <c r="V30" s="64"/>
      <c r="W30" s="64"/>
      <c r="X30" s="64"/>
      <c r="Y30" s="64"/>
      <c r="Z30" s="64"/>
      <c r="AA30" s="64"/>
      <c r="AB30" s="64"/>
      <c r="AC30" s="64"/>
      <c r="AD30" s="64"/>
      <c r="AE30" s="64"/>
      <c r="AF30" s="64"/>
      <c r="AG30" s="64"/>
      <c r="AH30" s="96"/>
      <c r="AI30" s="95"/>
      <c r="AJ30" s="64"/>
      <c r="AK30" s="64"/>
      <c r="AL30" s="64"/>
      <c r="AM30" s="64"/>
      <c r="AN30" s="64"/>
      <c r="AO30" s="64"/>
      <c r="AP30" s="64"/>
      <c r="AQ30" s="64"/>
      <c r="AR30" s="64"/>
      <c r="AS30" s="64"/>
      <c r="AT30" s="64"/>
      <c r="AU30" s="64"/>
      <c r="AV30" s="64"/>
      <c r="AW30" s="64"/>
      <c r="AX30" s="64"/>
      <c r="AY30" s="96"/>
    </row>
    <row r="31" spans="1:51" ht="12.75" customHeight="1">
      <c r="A31" s="95"/>
      <c r="B31" s="64"/>
      <c r="C31" s="64"/>
      <c r="D31" s="64"/>
      <c r="E31" s="64"/>
      <c r="F31" s="64"/>
      <c r="G31" s="64"/>
      <c r="H31" s="64"/>
      <c r="I31" s="64"/>
      <c r="J31" s="64"/>
      <c r="K31" s="64"/>
      <c r="L31" s="64"/>
      <c r="M31" s="64"/>
      <c r="N31" s="64"/>
      <c r="O31" s="64"/>
      <c r="P31" s="64"/>
      <c r="Q31" s="96"/>
      <c r="R31" s="95"/>
      <c r="S31" s="64"/>
      <c r="T31" s="64"/>
      <c r="U31" s="64"/>
      <c r="V31" s="64"/>
      <c r="W31" s="64"/>
      <c r="X31" s="64"/>
      <c r="Y31" s="64"/>
      <c r="Z31" s="64"/>
      <c r="AA31" s="64"/>
      <c r="AB31" s="64"/>
      <c r="AC31" s="64"/>
      <c r="AD31" s="64"/>
      <c r="AE31" s="64"/>
      <c r="AF31" s="64"/>
      <c r="AG31" s="64"/>
      <c r="AH31" s="96"/>
      <c r="AI31" s="95"/>
      <c r="AJ31" s="64"/>
      <c r="AK31" s="64"/>
      <c r="AL31" s="64"/>
      <c r="AM31" s="64"/>
      <c r="AN31" s="64"/>
      <c r="AO31" s="64"/>
      <c r="AP31" s="64"/>
      <c r="AQ31" s="64"/>
      <c r="AR31" s="64"/>
      <c r="AS31" s="64"/>
      <c r="AT31" s="64"/>
      <c r="AU31" s="64"/>
      <c r="AV31" s="64"/>
      <c r="AW31" s="64"/>
      <c r="AX31" s="64"/>
      <c r="AY31" s="96"/>
    </row>
    <row r="32" spans="1:51" ht="12.75" customHeight="1">
      <c r="A32" s="95"/>
      <c r="B32" s="64"/>
      <c r="C32" s="64"/>
      <c r="D32" s="64"/>
      <c r="E32" s="64"/>
      <c r="F32" s="64"/>
      <c r="G32" s="64"/>
      <c r="H32" s="64"/>
      <c r="I32" s="64"/>
      <c r="J32" s="64"/>
      <c r="K32" s="64"/>
      <c r="L32" s="64"/>
      <c r="M32" s="64"/>
      <c r="N32" s="64"/>
      <c r="O32" s="64"/>
      <c r="P32" s="64"/>
      <c r="Q32" s="96"/>
      <c r="R32" s="95"/>
      <c r="S32" s="64"/>
      <c r="T32" s="64"/>
      <c r="U32" s="64"/>
      <c r="V32" s="64"/>
      <c r="W32" s="64"/>
      <c r="X32" s="64"/>
      <c r="Y32" s="64"/>
      <c r="Z32" s="64"/>
      <c r="AA32" s="64"/>
      <c r="AB32" s="64"/>
      <c r="AC32" s="64"/>
      <c r="AD32" s="64"/>
      <c r="AE32" s="64"/>
      <c r="AF32" s="64"/>
      <c r="AG32" s="64"/>
      <c r="AH32" s="96"/>
      <c r="AI32" s="95"/>
      <c r="AJ32" s="64"/>
      <c r="AK32" s="64"/>
      <c r="AL32" s="64"/>
      <c r="AM32" s="64"/>
      <c r="AN32" s="64"/>
      <c r="AO32" s="64"/>
      <c r="AP32" s="64"/>
      <c r="AQ32" s="64"/>
      <c r="AR32" s="64"/>
      <c r="AS32" s="64"/>
      <c r="AT32" s="64"/>
      <c r="AU32" s="64"/>
      <c r="AV32" s="64"/>
      <c r="AW32" s="64"/>
      <c r="AX32" s="64"/>
      <c r="AY32" s="96"/>
    </row>
    <row r="33" spans="1:51" ht="12.75" customHeight="1">
      <c r="A33" s="95"/>
      <c r="B33" s="64"/>
      <c r="C33" s="64"/>
      <c r="D33" s="64"/>
      <c r="E33" s="64"/>
      <c r="F33" s="64"/>
      <c r="G33" s="64"/>
      <c r="H33" s="64"/>
      <c r="I33" s="64"/>
      <c r="J33" s="64"/>
      <c r="K33" s="64"/>
      <c r="L33" s="64"/>
      <c r="M33" s="64"/>
      <c r="N33" s="64"/>
      <c r="O33" s="64"/>
      <c r="P33" s="64"/>
      <c r="Q33" s="96"/>
      <c r="R33" s="95"/>
      <c r="S33" s="64"/>
      <c r="T33" s="64"/>
      <c r="U33" s="64"/>
      <c r="V33" s="64"/>
      <c r="W33" s="64"/>
      <c r="X33" s="64"/>
      <c r="Y33" s="64"/>
      <c r="Z33" s="64"/>
      <c r="AA33" s="64"/>
      <c r="AB33" s="64"/>
      <c r="AC33" s="64"/>
      <c r="AD33" s="64"/>
      <c r="AE33" s="64"/>
      <c r="AF33" s="64"/>
      <c r="AG33" s="64"/>
      <c r="AH33" s="96"/>
      <c r="AI33" s="95"/>
      <c r="AJ33" s="64"/>
      <c r="AK33" s="64"/>
      <c r="AL33" s="64"/>
      <c r="AM33" s="64"/>
      <c r="AN33" s="64"/>
      <c r="AO33" s="64"/>
      <c r="AP33" s="64"/>
      <c r="AQ33" s="64"/>
      <c r="AR33" s="64"/>
      <c r="AS33" s="64"/>
      <c r="AT33" s="64"/>
      <c r="AU33" s="64"/>
      <c r="AV33" s="64"/>
      <c r="AW33" s="64"/>
      <c r="AX33" s="64"/>
      <c r="AY33" s="96"/>
    </row>
    <row r="34" spans="1:51" ht="12.75" customHeight="1">
      <c r="A34" s="95"/>
      <c r="B34" s="64"/>
      <c r="C34" s="64"/>
      <c r="D34" s="64"/>
      <c r="E34" s="64"/>
      <c r="F34" s="64"/>
      <c r="G34" s="64"/>
      <c r="H34" s="64"/>
      <c r="I34" s="64"/>
      <c r="J34" s="64"/>
      <c r="K34" s="64"/>
      <c r="L34" s="64"/>
      <c r="M34" s="64"/>
      <c r="N34" s="64"/>
      <c r="O34" s="64"/>
      <c r="P34" s="64"/>
      <c r="Q34" s="96"/>
      <c r="R34" s="95"/>
      <c r="S34" s="64"/>
      <c r="T34" s="64"/>
      <c r="U34" s="64"/>
      <c r="V34" s="64"/>
      <c r="W34" s="64"/>
      <c r="X34" s="64"/>
      <c r="Y34" s="64"/>
      <c r="Z34" s="64"/>
      <c r="AA34" s="64"/>
      <c r="AB34" s="64"/>
      <c r="AC34" s="64"/>
      <c r="AD34" s="64"/>
      <c r="AE34" s="64"/>
      <c r="AF34" s="64"/>
      <c r="AG34" s="64"/>
      <c r="AH34" s="96"/>
      <c r="AI34" s="95"/>
      <c r="AJ34" s="64"/>
      <c r="AK34" s="64"/>
      <c r="AL34" s="64"/>
      <c r="AM34" s="64"/>
      <c r="AN34" s="64"/>
      <c r="AO34" s="64"/>
      <c r="AP34" s="64"/>
      <c r="AQ34" s="64"/>
      <c r="AR34" s="64"/>
      <c r="AS34" s="64"/>
      <c r="AT34" s="64"/>
      <c r="AU34" s="64"/>
      <c r="AV34" s="64"/>
      <c r="AW34" s="64"/>
      <c r="AX34" s="64"/>
      <c r="AY34" s="96"/>
    </row>
    <row r="35" spans="1:51" ht="12.75" customHeight="1">
      <c r="A35" s="95"/>
      <c r="B35" s="64"/>
      <c r="C35" s="64"/>
      <c r="D35" s="64"/>
      <c r="E35" s="64"/>
      <c r="F35" s="64"/>
      <c r="G35" s="64"/>
      <c r="H35" s="64"/>
      <c r="I35" s="64"/>
      <c r="J35" s="64"/>
      <c r="K35" s="64"/>
      <c r="L35" s="64"/>
      <c r="M35" s="64"/>
      <c r="N35" s="64"/>
      <c r="O35" s="64"/>
      <c r="P35" s="64"/>
      <c r="Q35" s="96"/>
      <c r="R35" s="95"/>
      <c r="S35" s="64"/>
      <c r="T35" s="64"/>
      <c r="U35" s="64"/>
      <c r="V35" s="64"/>
      <c r="W35" s="64"/>
      <c r="X35" s="64"/>
      <c r="Y35" s="64"/>
      <c r="Z35" s="64"/>
      <c r="AA35" s="64"/>
      <c r="AB35" s="64"/>
      <c r="AC35" s="64"/>
      <c r="AD35" s="64"/>
      <c r="AE35" s="64"/>
      <c r="AF35" s="64"/>
      <c r="AG35" s="64"/>
      <c r="AH35" s="96"/>
      <c r="AI35" s="95"/>
      <c r="AJ35" s="64"/>
      <c r="AK35" s="64"/>
      <c r="AL35" s="64"/>
      <c r="AM35" s="64"/>
      <c r="AN35" s="64"/>
      <c r="AO35" s="64"/>
      <c r="AP35" s="64"/>
      <c r="AQ35" s="64"/>
      <c r="AR35" s="64"/>
      <c r="AS35" s="64"/>
      <c r="AT35" s="64"/>
      <c r="AU35" s="64"/>
      <c r="AV35" s="64"/>
      <c r="AW35" s="64"/>
      <c r="AX35" s="64"/>
      <c r="AY35" s="96"/>
    </row>
    <row r="36" spans="1:51" ht="12.75" customHeight="1">
      <c r="A36" s="95"/>
      <c r="B36" s="64"/>
      <c r="C36" s="64"/>
      <c r="D36" s="64"/>
      <c r="E36" s="64"/>
      <c r="F36" s="64"/>
      <c r="G36" s="64"/>
      <c r="H36" s="64"/>
      <c r="I36" s="64"/>
      <c r="J36" s="64"/>
      <c r="K36" s="64"/>
      <c r="L36" s="64"/>
      <c r="M36" s="64"/>
      <c r="N36" s="64"/>
      <c r="O36" s="64"/>
      <c r="P36" s="64"/>
      <c r="Q36" s="96"/>
      <c r="R36" s="95"/>
      <c r="S36" s="64"/>
      <c r="T36" s="64"/>
      <c r="U36" s="64"/>
      <c r="V36" s="64"/>
      <c r="W36" s="64"/>
      <c r="X36" s="64"/>
      <c r="Y36" s="64"/>
      <c r="Z36" s="64"/>
      <c r="AA36" s="64"/>
      <c r="AB36" s="64"/>
      <c r="AC36" s="64"/>
      <c r="AD36" s="64"/>
      <c r="AE36" s="64"/>
      <c r="AF36" s="64"/>
      <c r="AG36" s="64"/>
      <c r="AH36" s="96"/>
      <c r="AI36" s="95"/>
      <c r="AJ36" s="64"/>
      <c r="AK36" s="64"/>
      <c r="AL36" s="64"/>
      <c r="AM36" s="64"/>
      <c r="AN36" s="64"/>
      <c r="AO36" s="64"/>
      <c r="AP36" s="64"/>
      <c r="AQ36" s="64"/>
      <c r="AR36" s="64"/>
      <c r="AS36" s="64"/>
      <c r="AT36" s="64"/>
      <c r="AU36" s="64"/>
      <c r="AV36" s="64"/>
      <c r="AW36" s="64"/>
      <c r="AX36" s="64"/>
      <c r="AY36" s="96"/>
    </row>
    <row r="37" spans="1:51" ht="12.75" customHeight="1">
      <c r="A37" s="95"/>
      <c r="B37" s="64"/>
      <c r="C37" s="64"/>
      <c r="D37" s="64"/>
      <c r="E37" s="64"/>
      <c r="F37" s="64"/>
      <c r="G37" s="64"/>
      <c r="H37" s="64"/>
      <c r="I37" s="64"/>
      <c r="J37" s="64"/>
      <c r="K37" s="64"/>
      <c r="L37" s="64"/>
      <c r="M37" s="64"/>
      <c r="N37" s="64"/>
      <c r="O37" s="64"/>
      <c r="P37" s="64"/>
      <c r="Q37" s="96"/>
      <c r="R37" s="95"/>
      <c r="S37" s="64"/>
      <c r="T37" s="64"/>
      <c r="U37" s="64"/>
      <c r="V37" s="64"/>
      <c r="W37" s="64"/>
      <c r="X37" s="64"/>
      <c r="Y37" s="64"/>
      <c r="Z37" s="64"/>
      <c r="AA37" s="64"/>
      <c r="AB37" s="64"/>
      <c r="AC37" s="64"/>
      <c r="AD37" s="64"/>
      <c r="AE37" s="64"/>
      <c r="AF37" s="64"/>
      <c r="AG37" s="64"/>
      <c r="AH37" s="96"/>
      <c r="AI37" s="95"/>
      <c r="AJ37" s="64"/>
      <c r="AK37" s="64"/>
      <c r="AL37" s="64"/>
      <c r="AM37" s="64"/>
      <c r="AN37" s="64"/>
      <c r="AO37" s="64"/>
      <c r="AP37" s="64"/>
      <c r="AQ37" s="64"/>
      <c r="AR37" s="64"/>
      <c r="AS37" s="64"/>
      <c r="AT37" s="64"/>
      <c r="AU37" s="64"/>
      <c r="AV37" s="64"/>
      <c r="AW37" s="64"/>
      <c r="AX37" s="64"/>
      <c r="AY37" s="96"/>
    </row>
    <row r="38" spans="1:51" ht="12.75" customHeight="1">
      <c r="A38" s="95"/>
      <c r="B38" s="64"/>
      <c r="C38" s="64"/>
      <c r="D38" s="64"/>
      <c r="E38" s="64"/>
      <c r="F38" s="64"/>
      <c r="G38" s="64"/>
      <c r="H38" s="64"/>
      <c r="I38" s="64"/>
      <c r="J38" s="64"/>
      <c r="K38" s="64"/>
      <c r="L38" s="64"/>
      <c r="M38" s="64"/>
      <c r="N38" s="64"/>
      <c r="O38" s="64"/>
      <c r="P38" s="64"/>
      <c r="Q38" s="96"/>
      <c r="R38" s="95"/>
      <c r="S38" s="64"/>
      <c r="T38" s="64"/>
      <c r="U38" s="64"/>
      <c r="V38" s="64"/>
      <c r="W38" s="64"/>
      <c r="X38" s="64"/>
      <c r="Y38" s="64"/>
      <c r="Z38" s="64"/>
      <c r="AA38" s="64"/>
      <c r="AB38" s="64"/>
      <c r="AC38" s="64"/>
      <c r="AD38" s="64"/>
      <c r="AE38" s="64"/>
      <c r="AF38" s="64"/>
      <c r="AG38" s="64"/>
      <c r="AH38" s="96"/>
      <c r="AI38" s="95"/>
      <c r="AJ38" s="64"/>
      <c r="AK38" s="64"/>
      <c r="AL38" s="64"/>
      <c r="AM38" s="64"/>
      <c r="AN38" s="64"/>
      <c r="AO38" s="64"/>
      <c r="AP38" s="64"/>
      <c r="AQ38" s="64"/>
      <c r="AR38" s="64"/>
      <c r="AS38" s="64"/>
      <c r="AT38" s="64"/>
      <c r="AU38" s="64"/>
      <c r="AV38" s="64"/>
      <c r="AW38" s="64"/>
      <c r="AX38" s="64"/>
      <c r="AY38" s="96"/>
    </row>
    <row r="39" spans="1:51" ht="12.75" customHeight="1">
      <c r="A39" s="95"/>
      <c r="B39" s="64"/>
      <c r="C39" s="64"/>
      <c r="D39" s="64"/>
      <c r="E39" s="64"/>
      <c r="F39" s="64"/>
      <c r="G39" s="64"/>
      <c r="H39" s="64"/>
      <c r="I39" s="64"/>
      <c r="J39" s="64"/>
      <c r="K39" s="64"/>
      <c r="L39" s="64"/>
      <c r="M39" s="64"/>
      <c r="N39" s="64"/>
      <c r="O39" s="64"/>
      <c r="P39" s="64"/>
      <c r="Q39" s="96"/>
      <c r="R39" s="95"/>
      <c r="S39" s="64"/>
      <c r="T39" s="64"/>
      <c r="U39" s="64"/>
      <c r="V39" s="64"/>
      <c r="W39" s="64"/>
      <c r="X39" s="64"/>
      <c r="Y39" s="64"/>
      <c r="Z39" s="64"/>
      <c r="AA39" s="64"/>
      <c r="AB39" s="64"/>
      <c r="AC39" s="64"/>
      <c r="AD39" s="64"/>
      <c r="AE39" s="64"/>
      <c r="AF39" s="64"/>
      <c r="AG39" s="64"/>
      <c r="AH39" s="96"/>
      <c r="AI39" s="95"/>
      <c r="AJ39" s="64"/>
      <c r="AK39" s="64"/>
      <c r="AL39" s="64"/>
      <c r="AM39" s="64"/>
      <c r="AN39" s="64"/>
      <c r="AO39" s="64"/>
      <c r="AP39" s="64"/>
      <c r="AQ39" s="64"/>
      <c r="AR39" s="64"/>
      <c r="AS39" s="64"/>
      <c r="AT39" s="64"/>
      <c r="AU39" s="64"/>
      <c r="AV39" s="64"/>
      <c r="AW39" s="64"/>
      <c r="AX39" s="64"/>
      <c r="AY39" s="96"/>
    </row>
    <row r="40" spans="1:51" ht="12.75" customHeight="1">
      <c r="A40" s="95"/>
      <c r="B40" s="64"/>
      <c r="C40" s="64"/>
      <c r="D40" s="64"/>
      <c r="E40" s="64"/>
      <c r="F40" s="64"/>
      <c r="G40" s="64"/>
      <c r="H40" s="64"/>
      <c r="I40" s="64"/>
      <c r="J40" s="64"/>
      <c r="K40" s="64"/>
      <c r="L40" s="64"/>
      <c r="M40" s="64"/>
      <c r="N40" s="64"/>
      <c r="O40" s="64"/>
      <c r="P40" s="64"/>
      <c r="Q40" s="96"/>
      <c r="R40" s="95"/>
      <c r="S40" s="64"/>
      <c r="T40" s="64"/>
      <c r="U40" s="64"/>
      <c r="V40" s="64"/>
      <c r="W40" s="64"/>
      <c r="X40" s="64"/>
      <c r="Y40" s="64"/>
      <c r="Z40" s="64"/>
      <c r="AA40" s="64"/>
      <c r="AB40" s="64"/>
      <c r="AC40" s="64"/>
      <c r="AD40" s="64"/>
      <c r="AE40" s="64"/>
      <c r="AF40" s="64"/>
      <c r="AG40" s="64"/>
      <c r="AH40" s="96"/>
      <c r="AI40" s="95"/>
      <c r="AJ40" s="64"/>
      <c r="AK40" s="64"/>
      <c r="AL40" s="64"/>
      <c r="AM40" s="64"/>
      <c r="AN40" s="64"/>
      <c r="AO40" s="64"/>
      <c r="AP40" s="64"/>
      <c r="AQ40" s="64"/>
      <c r="AR40" s="64"/>
      <c r="AS40" s="64"/>
      <c r="AT40" s="64"/>
      <c r="AU40" s="64"/>
      <c r="AV40" s="64"/>
      <c r="AW40" s="64"/>
      <c r="AX40" s="64"/>
      <c r="AY40" s="96"/>
    </row>
    <row r="41" spans="1:51" ht="12.75" customHeight="1">
      <c r="A41" s="95"/>
      <c r="B41" s="64"/>
      <c r="C41" s="64"/>
      <c r="D41" s="64"/>
      <c r="E41" s="64"/>
      <c r="F41" s="64"/>
      <c r="G41" s="64"/>
      <c r="H41" s="64"/>
      <c r="I41" s="64"/>
      <c r="J41" s="64"/>
      <c r="K41" s="64"/>
      <c r="L41" s="64"/>
      <c r="M41" s="64"/>
      <c r="N41" s="64"/>
      <c r="O41" s="64"/>
      <c r="P41" s="64"/>
      <c r="Q41" s="96"/>
      <c r="R41" s="95"/>
      <c r="S41" s="64"/>
      <c r="T41" s="64"/>
      <c r="U41" s="64"/>
      <c r="V41" s="64"/>
      <c r="W41" s="64"/>
      <c r="X41" s="64"/>
      <c r="Y41" s="64"/>
      <c r="Z41" s="64"/>
      <c r="AA41" s="64"/>
      <c r="AB41" s="64"/>
      <c r="AC41" s="64"/>
      <c r="AD41" s="64"/>
      <c r="AE41" s="64"/>
      <c r="AF41" s="64"/>
      <c r="AG41" s="64"/>
      <c r="AH41" s="96"/>
      <c r="AI41" s="95"/>
      <c r="AJ41" s="64"/>
      <c r="AK41" s="64"/>
      <c r="AL41" s="64"/>
      <c r="AM41" s="64"/>
      <c r="AN41" s="64"/>
      <c r="AO41" s="64"/>
      <c r="AP41" s="64"/>
      <c r="AQ41" s="64"/>
      <c r="AR41" s="64"/>
      <c r="AS41" s="64"/>
      <c r="AT41" s="64"/>
      <c r="AU41" s="64"/>
      <c r="AV41" s="64"/>
      <c r="AW41" s="64"/>
      <c r="AX41" s="64"/>
      <c r="AY41" s="96"/>
    </row>
    <row r="42" spans="1:51" ht="12.75" customHeight="1">
      <c r="A42" s="95"/>
      <c r="B42" s="64"/>
      <c r="C42" s="64"/>
      <c r="D42" s="64"/>
      <c r="E42" s="64"/>
      <c r="F42" s="64"/>
      <c r="G42" s="64"/>
      <c r="H42" s="64"/>
      <c r="I42" s="64"/>
      <c r="J42" s="64"/>
      <c r="K42" s="64"/>
      <c r="L42" s="64"/>
      <c r="M42" s="64"/>
      <c r="N42" s="64"/>
      <c r="O42" s="64"/>
      <c r="P42" s="64"/>
      <c r="Q42" s="96"/>
      <c r="R42" s="95"/>
      <c r="S42" s="64"/>
      <c r="T42" s="64"/>
      <c r="U42" s="64"/>
      <c r="V42" s="64"/>
      <c r="W42" s="64"/>
      <c r="X42" s="64"/>
      <c r="Y42" s="64"/>
      <c r="Z42" s="64"/>
      <c r="AA42" s="64"/>
      <c r="AB42" s="64"/>
      <c r="AC42" s="64"/>
      <c r="AD42" s="64"/>
      <c r="AE42" s="64"/>
      <c r="AF42" s="64"/>
      <c r="AG42" s="64"/>
      <c r="AH42" s="96"/>
      <c r="AI42" s="95"/>
      <c r="AJ42" s="64"/>
      <c r="AK42" s="64"/>
      <c r="AL42" s="64"/>
      <c r="AM42" s="64"/>
      <c r="AN42" s="64"/>
      <c r="AO42" s="64"/>
      <c r="AP42" s="64"/>
      <c r="AQ42" s="64"/>
      <c r="AR42" s="64"/>
      <c r="AS42" s="64"/>
      <c r="AT42" s="64"/>
      <c r="AU42" s="64"/>
      <c r="AV42" s="64"/>
      <c r="AW42" s="64"/>
      <c r="AX42" s="64"/>
      <c r="AY42" s="96"/>
    </row>
    <row r="43" spans="1:51" ht="12.75" customHeight="1">
      <c r="A43" s="95"/>
      <c r="B43" s="64"/>
      <c r="C43" s="64"/>
      <c r="D43" s="64"/>
      <c r="E43" s="64"/>
      <c r="F43" s="64"/>
      <c r="G43" s="64"/>
      <c r="H43" s="64"/>
      <c r="I43" s="64"/>
      <c r="J43" s="64"/>
      <c r="K43" s="64"/>
      <c r="L43" s="64"/>
      <c r="M43" s="64"/>
      <c r="N43" s="64"/>
      <c r="O43" s="64"/>
      <c r="P43" s="64"/>
      <c r="Q43" s="96"/>
      <c r="R43" s="95"/>
      <c r="S43" s="64"/>
      <c r="T43" s="64"/>
      <c r="U43" s="64"/>
      <c r="V43" s="64"/>
      <c r="W43" s="64"/>
      <c r="X43" s="64"/>
      <c r="Y43" s="64"/>
      <c r="Z43" s="64"/>
      <c r="AA43" s="64"/>
      <c r="AB43" s="64"/>
      <c r="AC43" s="64"/>
      <c r="AD43" s="64"/>
      <c r="AE43" s="64"/>
      <c r="AF43" s="64"/>
      <c r="AG43" s="64"/>
      <c r="AH43" s="96"/>
      <c r="AI43" s="95"/>
      <c r="AJ43" s="64"/>
      <c r="AK43" s="64"/>
      <c r="AL43" s="64"/>
      <c r="AM43" s="64"/>
      <c r="AN43" s="64"/>
      <c r="AO43" s="64"/>
      <c r="AP43" s="64"/>
      <c r="AQ43" s="64"/>
      <c r="AR43" s="64"/>
      <c r="AS43" s="64"/>
      <c r="AT43" s="64"/>
      <c r="AU43" s="64"/>
      <c r="AV43" s="64"/>
      <c r="AW43" s="64"/>
      <c r="AX43" s="64"/>
      <c r="AY43" s="96"/>
    </row>
    <row r="44" spans="1:51" ht="12.75" customHeight="1">
      <c r="A44" s="95"/>
      <c r="B44" s="64"/>
      <c r="C44" s="64"/>
      <c r="D44" s="64"/>
      <c r="E44" s="64"/>
      <c r="F44" s="64"/>
      <c r="G44" s="64"/>
      <c r="H44" s="64"/>
      <c r="I44" s="64"/>
      <c r="J44" s="64"/>
      <c r="K44" s="64"/>
      <c r="L44" s="64"/>
      <c r="M44" s="64"/>
      <c r="N44" s="64"/>
      <c r="O44" s="64"/>
      <c r="P44" s="64"/>
      <c r="Q44" s="96"/>
      <c r="R44" s="95"/>
      <c r="S44" s="64"/>
      <c r="T44" s="64"/>
      <c r="U44" s="64"/>
      <c r="V44" s="64"/>
      <c r="W44" s="64"/>
      <c r="X44" s="64"/>
      <c r="Y44" s="64"/>
      <c r="Z44" s="64"/>
      <c r="AA44" s="64"/>
      <c r="AB44" s="64"/>
      <c r="AC44" s="64"/>
      <c r="AD44" s="64"/>
      <c r="AE44" s="64"/>
      <c r="AF44" s="64"/>
      <c r="AG44" s="64"/>
      <c r="AH44" s="96"/>
      <c r="AI44" s="95"/>
      <c r="AJ44" s="64"/>
      <c r="AK44" s="64"/>
      <c r="AL44" s="64"/>
      <c r="AM44" s="64"/>
      <c r="AN44" s="64"/>
      <c r="AO44" s="64"/>
      <c r="AP44" s="64"/>
      <c r="AQ44" s="64"/>
      <c r="AR44" s="64"/>
      <c r="AS44" s="64"/>
      <c r="AT44" s="64"/>
      <c r="AU44" s="64"/>
      <c r="AV44" s="64"/>
      <c r="AW44" s="64"/>
      <c r="AX44" s="64"/>
      <c r="AY44" s="96"/>
    </row>
    <row r="45" spans="1:51" ht="12.75" customHeight="1">
      <c r="A45" s="95"/>
      <c r="B45" s="64"/>
      <c r="C45" s="64"/>
      <c r="D45" s="64"/>
      <c r="E45" s="64"/>
      <c r="F45" s="64"/>
      <c r="G45" s="64"/>
      <c r="H45" s="64"/>
      <c r="I45" s="64"/>
      <c r="J45" s="64"/>
      <c r="K45" s="64"/>
      <c r="L45" s="64"/>
      <c r="M45" s="64"/>
      <c r="N45" s="64"/>
      <c r="O45" s="64"/>
      <c r="P45" s="64"/>
      <c r="Q45" s="96"/>
      <c r="R45" s="95"/>
      <c r="S45" s="64"/>
      <c r="T45" s="64"/>
      <c r="U45" s="64"/>
      <c r="V45" s="64"/>
      <c r="W45" s="64"/>
      <c r="X45" s="64"/>
      <c r="Y45" s="64"/>
      <c r="Z45" s="64"/>
      <c r="AA45" s="64"/>
      <c r="AB45" s="64"/>
      <c r="AC45" s="64"/>
      <c r="AD45" s="64"/>
      <c r="AE45" s="64"/>
      <c r="AF45" s="64"/>
      <c r="AG45" s="64"/>
      <c r="AH45" s="96"/>
      <c r="AI45" s="95"/>
      <c r="AJ45" s="64"/>
      <c r="AK45" s="64"/>
      <c r="AL45" s="64"/>
      <c r="AM45" s="64"/>
      <c r="AN45" s="64"/>
      <c r="AO45" s="64"/>
      <c r="AP45" s="64"/>
      <c r="AQ45" s="64"/>
      <c r="AR45" s="64"/>
      <c r="AS45" s="64"/>
      <c r="AT45" s="64"/>
      <c r="AU45" s="64"/>
      <c r="AV45" s="64"/>
      <c r="AW45" s="64"/>
      <c r="AX45" s="64"/>
      <c r="AY45" s="96"/>
    </row>
    <row r="46" spans="1:51" ht="12.75" customHeight="1">
      <c r="A46" s="95"/>
      <c r="B46" s="64"/>
      <c r="C46" s="64"/>
      <c r="D46" s="64"/>
      <c r="E46" s="64"/>
      <c r="F46" s="64"/>
      <c r="G46" s="64"/>
      <c r="H46" s="64"/>
      <c r="I46" s="64"/>
      <c r="J46" s="64"/>
      <c r="K46" s="64"/>
      <c r="L46" s="64"/>
      <c r="M46" s="64"/>
      <c r="N46" s="64"/>
      <c r="O46" s="64"/>
      <c r="P46" s="64"/>
      <c r="Q46" s="96"/>
      <c r="R46" s="95"/>
      <c r="S46" s="64"/>
      <c r="T46" s="64"/>
      <c r="U46" s="64"/>
      <c r="V46" s="64"/>
      <c r="W46" s="64"/>
      <c r="X46" s="64"/>
      <c r="Y46" s="64"/>
      <c r="Z46" s="64"/>
      <c r="AA46" s="64"/>
      <c r="AB46" s="64"/>
      <c r="AC46" s="64"/>
      <c r="AD46" s="64"/>
      <c r="AE46" s="64"/>
      <c r="AF46" s="64"/>
      <c r="AG46" s="64"/>
      <c r="AH46" s="96"/>
      <c r="AI46" s="95"/>
      <c r="AJ46" s="64"/>
      <c r="AK46" s="64"/>
      <c r="AL46" s="64"/>
      <c r="AM46" s="64"/>
      <c r="AN46" s="64"/>
      <c r="AO46" s="64"/>
      <c r="AP46" s="64"/>
      <c r="AQ46" s="64"/>
      <c r="AR46" s="64"/>
      <c r="AS46" s="64"/>
      <c r="AT46" s="64"/>
      <c r="AU46" s="64"/>
      <c r="AV46" s="64"/>
      <c r="AW46" s="64"/>
      <c r="AX46" s="64"/>
      <c r="AY46" s="96"/>
    </row>
    <row r="47" spans="1:51" ht="12.75" customHeight="1">
      <c r="A47" s="95"/>
      <c r="B47" s="64"/>
      <c r="C47" s="64"/>
      <c r="D47" s="64"/>
      <c r="E47" s="64"/>
      <c r="F47" s="64"/>
      <c r="G47" s="64"/>
      <c r="H47" s="64"/>
      <c r="I47" s="64"/>
      <c r="J47" s="64"/>
      <c r="K47" s="64"/>
      <c r="L47" s="64"/>
      <c r="M47" s="64"/>
      <c r="N47" s="64"/>
      <c r="O47" s="64"/>
      <c r="P47" s="64"/>
      <c r="Q47" s="96"/>
      <c r="R47" s="95"/>
      <c r="S47" s="64"/>
      <c r="T47" s="64"/>
      <c r="U47" s="64"/>
      <c r="V47" s="64"/>
      <c r="W47" s="64"/>
      <c r="X47" s="64"/>
      <c r="Y47" s="64"/>
      <c r="Z47" s="64"/>
      <c r="AA47" s="64"/>
      <c r="AB47" s="64"/>
      <c r="AC47" s="64"/>
      <c r="AD47" s="64"/>
      <c r="AE47" s="64"/>
      <c r="AF47" s="64"/>
      <c r="AG47" s="64"/>
      <c r="AH47" s="96"/>
      <c r="AI47" s="95"/>
      <c r="AJ47" s="64"/>
      <c r="AK47" s="64"/>
      <c r="AL47" s="64"/>
      <c r="AM47" s="64"/>
      <c r="AN47" s="64"/>
      <c r="AO47" s="64"/>
      <c r="AP47" s="64"/>
      <c r="AQ47" s="64"/>
      <c r="AR47" s="64"/>
      <c r="AS47" s="64"/>
      <c r="AT47" s="64"/>
      <c r="AU47" s="64"/>
      <c r="AV47" s="64"/>
      <c r="AW47" s="64"/>
      <c r="AX47" s="64"/>
      <c r="AY47" s="96"/>
    </row>
    <row r="48" spans="1:51" ht="12.75" customHeight="1">
      <c r="A48" s="95"/>
      <c r="B48" s="64"/>
      <c r="C48" s="64"/>
      <c r="D48" s="64"/>
      <c r="E48" s="64"/>
      <c r="F48" s="64"/>
      <c r="G48" s="64"/>
      <c r="H48" s="64"/>
      <c r="I48" s="64"/>
      <c r="J48" s="64"/>
      <c r="K48" s="64"/>
      <c r="L48" s="64"/>
      <c r="M48" s="64"/>
      <c r="N48" s="64"/>
      <c r="O48" s="64"/>
      <c r="P48" s="64"/>
      <c r="Q48" s="96"/>
      <c r="R48" s="95"/>
      <c r="S48" s="64"/>
      <c r="T48" s="64"/>
      <c r="U48" s="64"/>
      <c r="V48" s="64"/>
      <c r="W48" s="64"/>
      <c r="X48" s="64"/>
      <c r="Y48" s="64"/>
      <c r="Z48" s="64"/>
      <c r="AA48" s="64"/>
      <c r="AB48" s="64"/>
      <c r="AC48" s="64"/>
      <c r="AD48" s="64"/>
      <c r="AE48" s="64"/>
      <c r="AF48" s="64"/>
      <c r="AG48" s="64"/>
      <c r="AH48" s="96"/>
      <c r="AI48" s="95"/>
      <c r="AJ48" s="64"/>
      <c r="AK48" s="64"/>
      <c r="AL48" s="64"/>
      <c r="AM48" s="64"/>
      <c r="AN48" s="64"/>
      <c r="AO48" s="64"/>
      <c r="AP48" s="64"/>
      <c r="AQ48" s="64"/>
      <c r="AR48" s="64"/>
      <c r="AS48" s="64"/>
      <c r="AT48" s="64"/>
      <c r="AU48" s="64"/>
      <c r="AV48" s="64"/>
      <c r="AW48" s="64"/>
      <c r="AX48" s="64"/>
      <c r="AY48" s="96"/>
    </row>
    <row r="49" spans="1:51" ht="12.75" customHeight="1">
      <c r="A49" s="95"/>
      <c r="B49" s="64"/>
      <c r="C49" s="64"/>
      <c r="D49" s="64"/>
      <c r="E49" s="64"/>
      <c r="F49" s="64"/>
      <c r="G49" s="64"/>
      <c r="H49" s="64"/>
      <c r="I49" s="64"/>
      <c r="J49" s="64"/>
      <c r="K49" s="64"/>
      <c r="L49" s="64"/>
      <c r="M49" s="64"/>
      <c r="N49" s="64"/>
      <c r="O49" s="64"/>
      <c r="P49" s="64"/>
      <c r="Q49" s="96"/>
      <c r="R49" s="95"/>
      <c r="S49" s="64"/>
      <c r="T49" s="64"/>
      <c r="U49" s="64"/>
      <c r="V49" s="64"/>
      <c r="W49" s="64"/>
      <c r="X49" s="64"/>
      <c r="Y49" s="64"/>
      <c r="Z49" s="64"/>
      <c r="AA49" s="64"/>
      <c r="AB49" s="64"/>
      <c r="AC49" s="64"/>
      <c r="AD49" s="64"/>
      <c r="AE49" s="64"/>
      <c r="AF49" s="64"/>
      <c r="AG49" s="64"/>
      <c r="AH49" s="96"/>
      <c r="AI49" s="95"/>
      <c r="AJ49" s="64"/>
      <c r="AK49" s="64"/>
      <c r="AL49" s="64"/>
      <c r="AM49" s="64"/>
      <c r="AN49" s="64"/>
      <c r="AO49" s="64"/>
      <c r="AP49" s="64"/>
      <c r="AQ49" s="64"/>
      <c r="AR49" s="64"/>
      <c r="AS49" s="64"/>
      <c r="AT49" s="64"/>
      <c r="AU49" s="64"/>
      <c r="AV49" s="64"/>
      <c r="AW49" s="64"/>
      <c r="AX49" s="64"/>
      <c r="AY49" s="96"/>
    </row>
    <row r="50" spans="1:51" ht="12.75" customHeight="1">
      <c r="A50" s="95"/>
      <c r="B50" s="64"/>
      <c r="C50" s="64"/>
      <c r="D50" s="64"/>
      <c r="E50" s="64"/>
      <c r="F50" s="64"/>
      <c r="G50" s="64"/>
      <c r="H50" s="64"/>
      <c r="I50" s="64"/>
      <c r="J50" s="64"/>
      <c r="K50" s="64"/>
      <c r="L50" s="64"/>
      <c r="M50" s="64"/>
      <c r="N50" s="64"/>
      <c r="O50" s="64"/>
      <c r="P50" s="64"/>
      <c r="Q50" s="96"/>
      <c r="R50" s="95"/>
      <c r="S50" s="64"/>
      <c r="T50" s="64"/>
      <c r="U50" s="64"/>
      <c r="V50" s="64"/>
      <c r="W50" s="64"/>
      <c r="X50" s="64"/>
      <c r="Y50" s="64"/>
      <c r="Z50" s="64"/>
      <c r="AA50" s="64"/>
      <c r="AB50" s="64"/>
      <c r="AC50" s="64"/>
      <c r="AD50" s="64"/>
      <c r="AE50" s="64"/>
      <c r="AF50" s="64"/>
      <c r="AG50" s="64"/>
      <c r="AH50" s="96"/>
      <c r="AI50" s="95"/>
      <c r="AJ50" s="64"/>
      <c r="AK50" s="64"/>
      <c r="AL50" s="64"/>
      <c r="AM50" s="64"/>
      <c r="AN50" s="64"/>
      <c r="AO50" s="64"/>
      <c r="AP50" s="64"/>
      <c r="AQ50" s="64"/>
      <c r="AR50" s="64"/>
      <c r="AS50" s="64"/>
      <c r="AT50" s="64"/>
      <c r="AU50" s="64"/>
      <c r="AV50" s="64"/>
      <c r="AW50" s="64"/>
      <c r="AX50" s="64"/>
      <c r="AY50" s="96"/>
    </row>
    <row r="51" spans="1:51" ht="12.75" customHeight="1">
      <c r="A51" s="95"/>
      <c r="B51" s="64"/>
      <c r="C51" s="64"/>
      <c r="D51" s="64"/>
      <c r="E51" s="64"/>
      <c r="F51" s="64"/>
      <c r="G51" s="64"/>
      <c r="H51" s="64"/>
      <c r="I51" s="64"/>
      <c r="J51" s="64"/>
      <c r="K51" s="64"/>
      <c r="L51" s="64"/>
      <c r="M51" s="64"/>
      <c r="N51" s="64"/>
      <c r="O51" s="64"/>
      <c r="P51" s="64"/>
      <c r="Q51" s="96"/>
      <c r="R51" s="95"/>
      <c r="S51" s="64"/>
      <c r="T51" s="64"/>
      <c r="U51" s="64"/>
      <c r="V51" s="64"/>
      <c r="W51" s="64"/>
      <c r="X51" s="64"/>
      <c r="Y51" s="64"/>
      <c r="Z51" s="64"/>
      <c r="AA51" s="64"/>
      <c r="AB51" s="64"/>
      <c r="AC51" s="64"/>
      <c r="AD51" s="64"/>
      <c r="AE51" s="64"/>
      <c r="AF51" s="64"/>
      <c r="AG51" s="64"/>
      <c r="AH51" s="96"/>
      <c r="AI51" s="95"/>
      <c r="AJ51" s="64"/>
      <c r="AK51" s="64"/>
      <c r="AL51" s="64"/>
      <c r="AM51" s="64"/>
      <c r="AN51" s="64"/>
      <c r="AO51" s="64"/>
      <c r="AP51" s="64"/>
      <c r="AQ51" s="64"/>
      <c r="AR51" s="64"/>
      <c r="AS51" s="64"/>
      <c r="AT51" s="64"/>
      <c r="AU51" s="64"/>
      <c r="AV51" s="64"/>
      <c r="AW51" s="64"/>
      <c r="AX51" s="64"/>
      <c r="AY51" s="96"/>
    </row>
    <row r="52" spans="1:51" ht="12.75" customHeight="1">
      <c r="A52" s="95"/>
      <c r="B52" s="64"/>
      <c r="C52" s="64"/>
      <c r="D52" s="64"/>
      <c r="E52" s="64"/>
      <c r="F52" s="64"/>
      <c r="G52" s="64"/>
      <c r="H52" s="64"/>
      <c r="I52" s="64"/>
      <c r="J52" s="64"/>
      <c r="K52" s="64"/>
      <c r="L52" s="64"/>
      <c r="M52" s="64"/>
      <c r="N52" s="64"/>
      <c r="O52" s="64"/>
      <c r="P52" s="64"/>
      <c r="Q52" s="96"/>
      <c r="R52" s="95"/>
      <c r="S52" s="64"/>
      <c r="T52" s="64"/>
      <c r="U52" s="64"/>
      <c r="V52" s="64"/>
      <c r="W52" s="64"/>
      <c r="X52" s="64"/>
      <c r="Y52" s="64"/>
      <c r="Z52" s="64"/>
      <c r="AA52" s="64"/>
      <c r="AB52" s="64"/>
      <c r="AC52" s="64"/>
      <c r="AD52" s="64"/>
      <c r="AE52" s="64"/>
      <c r="AF52" s="64"/>
      <c r="AG52" s="64"/>
      <c r="AH52" s="96"/>
      <c r="AI52" s="95"/>
      <c r="AJ52" s="64"/>
      <c r="AK52" s="64"/>
      <c r="AL52" s="64"/>
      <c r="AM52" s="64"/>
      <c r="AN52" s="64"/>
      <c r="AO52" s="64"/>
      <c r="AP52" s="64"/>
      <c r="AQ52" s="64"/>
      <c r="AR52" s="64"/>
      <c r="AS52" s="64"/>
      <c r="AT52" s="64"/>
      <c r="AU52" s="64"/>
      <c r="AV52" s="64"/>
      <c r="AW52" s="64"/>
      <c r="AX52" s="64"/>
      <c r="AY52" s="96"/>
    </row>
    <row r="53" spans="1:51" ht="12.75" customHeight="1">
      <c r="A53" s="95"/>
      <c r="B53" s="64"/>
      <c r="C53" s="64"/>
      <c r="D53" s="64"/>
      <c r="E53" s="64"/>
      <c r="F53" s="64"/>
      <c r="G53" s="64"/>
      <c r="H53" s="64"/>
      <c r="I53" s="64"/>
      <c r="J53" s="64"/>
      <c r="K53" s="64"/>
      <c r="L53" s="64"/>
      <c r="M53" s="64"/>
      <c r="N53" s="64"/>
      <c r="O53" s="64"/>
      <c r="P53" s="64"/>
      <c r="Q53" s="96"/>
      <c r="R53" s="95"/>
      <c r="S53" s="64"/>
      <c r="T53" s="64"/>
      <c r="U53" s="64"/>
      <c r="V53" s="64"/>
      <c r="W53" s="64"/>
      <c r="X53" s="64"/>
      <c r="Y53" s="64"/>
      <c r="Z53" s="64"/>
      <c r="AA53" s="64"/>
      <c r="AB53" s="64"/>
      <c r="AC53" s="64"/>
      <c r="AD53" s="64"/>
      <c r="AE53" s="64"/>
      <c r="AF53" s="64"/>
      <c r="AG53" s="64"/>
      <c r="AH53" s="96"/>
      <c r="AI53" s="95"/>
      <c r="AJ53" s="64"/>
      <c r="AK53" s="64"/>
      <c r="AL53" s="64"/>
      <c r="AM53" s="64"/>
      <c r="AN53" s="64"/>
      <c r="AO53" s="64"/>
      <c r="AP53" s="64"/>
      <c r="AQ53" s="64"/>
      <c r="AR53" s="64"/>
      <c r="AS53" s="64"/>
      <c r="AT53" s="64"/>
      <c r="AU53" s="64"/>
      <c r="AV53" s="64"/>
      <c r="AW53" s="64"/>
      <c r="AX53" s="64"/>
      <c r="AY53" s="96"/>
    </row>
    <row r="54" spans="1:51" ht="12.75" customHeight="1">
      <c r="A54" s="95"/>
      <c r="B54" s="64"/>
      <c r="C54" s="64"/>
      <c r="D54" s="64"/>
      <c r="E54" s="64"/>
      <c r="F54" s="64"/>
      <c r="G54" s="64"/>
      <c r="H54" s="64"/>
      <c r="I54" s="64"/>
      <c r="J54" s="64"/>
      <c r="K54" s="64"/>
      <c r="L54" s="64"/>
      <c r="M54" s="64"/>
      <c r="N54" s="64"/>
      <c r="O54" s="64"/>
      <c r="P54" s="64"/>
      <c r="Q54" s="96"/>
      <c r="R54" s="95"/>
      <c r="S54" s="64"/>
      <c r="T54" s="64"/>
      <c r="U54" s="64"/>
      <c r="V54" s="64"/>
      <c r="W54" s="64"/>
      <c r="X54" s="64"/>
      <c r="Y54" s="64"/>
      <c r="Z54" s="64"/>
      <c r="AA54" s="64"/>
      <c r="AB54" s="64"/>
      <c r="AC54" s="64"/>
      <c r="AD54" s="64"/>
      <c r="AE54" s="64"/>
      <c r="AF54" s="64"/>
      <c r="AG54" s="64"/>
      <c r="AH54" s="96"/>
      <c r="AI54" s="95"/>
      <c r="AJ54" s="64"/>
      <c r="AK54" s="64"/>
      <c r="AL54" s="64"/>
      <c r="AM54" s="64"/>
      <c r="AN54" s="64"/>
      <c r="AO54" s="64"/>
      <c r="AP54" s="64"/>
      <c r="AQ54" s="64"/>
      <c r="AR54" s="64"/>
      <c r="AS54" s="64"/>
      <c r="AT54" s="64"/>
      <c r="AU54" s="64"/>
      <c r="AV54" s="64"/>
      <c r="AW54" s="64"/>
      <c r="AX54" s="64"/>
      <c r="AY54" s="96"/>
    </row>
    <row r="55" spans="1:51" ht="12.75" customHeight="1">
      <c r="A55" s="95"/>
      <c r="B55" s="64"/>
      <c r="C55" s="64"/>
      <c r="D55" s="64"/>
      <c r="E55" s="64"/>
      <c r="F55" s="64"/>
      <c r="G55" s="64"/>
      <c r="H55" s="64"/>
      <c r="I55" s="64"/>
      <c r="J55" s="64"/>
      <c r="K55" s="64"/>
      <c r="L55" s="64"/>
      <c r="M55" s="64"/>
      <c r="N55" s="64"/>
      <c r="O55" s="64"/>
      <c r="P55" s="64"/>
      <c r="Q55" s="96"/>
      <c r="R55" s="95"/>
      <c r="S55" s="64"/>
      <c r="T55" s="64"/>
      <c r="U55" s="64"/>
      <c r="V55" s="64"/>
      <c r="W55" s="64"/>
      <c r="X55" s="64"/>
      <c r="Y55" s="64"/>
      <c r="Z55" s="64"/>
      <c r="AA55" s="64"/>
      <c r="AB55" s="64"/>
      <c r="AC55" s="64"/>
      <c r="AD55" s="64"/>
      <c r="AE55" s="64"/>
      <c r="AF55" s="64"/>
      <c r="AG55" s="64"/>
      <c r="AH55" s="96"/>
      <c r="AI55" s="95"/>
      <c r="AJ55" s="64"/>
      <c r="AK55" s="64"/>
      <c r="AL55" s="64"/>
      <c r="AM55" s="64"/>
      <c r="AN55" s="64"/>
      <c r="AO55" s="64"/>
      <c r="AP55" s="64"/>
      <c r="AQ55" s="64"/>
      <c r="AR55" s="64"/>
      <c r="AS55" s="64"/>
      <c r="AT55" s="64"/>
      <c r="AU55" s="64"/>
      <c r="AV55" s="64"/>
      <c r="AW55" s="64"/>
      <c r="AX55" s="64"/>
      <c r="AY55" s="96"/>
    </row>
    <row r="56" spans="1:51" ht="12.75" customHeight="1">
      <c r="A56" s="95"/>
      <c r="B56" s="64"/>
      <c r="C56" s="64"/>
      <c r="D56" s="64"/>
      <c r="E56" s="64"/>
      <c r="F56" s="64"/>
      <c r="G56" s="64"/>
      <c r="H56" s="64"/>
      <c r="I56" s="64"/>
      <c r="J56" s="64"/>
      <c r="K56" s="64"/>
      <c r="L56" s="64"/>
      <c r="M56" s="64"/>
      <c r="N56" s="64"/>
      <c r="O56" s="64"/>
      <c r="P56" s="64"/>
      <c r="Q56" s="96"/>
      <c r="R56" s="95"/>
      <c r="S56" s="64"/>
      <c r="T56" s="64"/>
      <c r="U56" s="64"/>
      <c r="V56" s="64"/>
      <c r="W56" s="64"/>
      <c r="X56" s="64"/>
      <c r="Y56" s="64"/>
      <c r="Z56" s="64"/>
      <c r="AA56" s="64"/>
      <c r="AB56" s="64"/>
      <c r="AC56" s="64"/>
      <c r="AD56" s="64"/>
      <c r="AE56" s="64"/>
      <c r="AF56" s="64"/>
      <c r="AG56" s="64"/>
      <c r="AH56" s="96"/>
      <c r="AI56" s="95"/>
      <c r="AJ56" s="64"/>
      <c r="AK56" s="64"/>
      <c r="AL56" s="64"/>
      <c r="AM56" s="64"/>
      <c r="AN56" s="64"/>
      <c r="AO56" s="64"/>
      <c r="AP56" s="64"/>
      <c r="AQ56" s="64"/>
      <c r="AR56" s="64"/>
      <c r="AS56" s="64"/>
      <c r="AT56" s="64"/>
      <c r="AU56" s="64"/>
      <c r="AV56" s="64"/>
      <c r="AW56" s="64"/>
      <c r="AX56" s="64"/>
      <c r="AY56" s="96"/>
    </row>
    <row r="57" spans="1:51" ht="12.75" customHeight="1">
      <c r="A57" s="95"/>
      <c r="B57" s="64"/>
      <c r="C57" s="64"/>
      <c r="D57" s="64"/>
      <c r="E57" s="64"/>
      <c r="F57" s="64"/>
      <c r="G57" s="64"/>
      <c r="H57" s="64"/>
      <c r="I57" s="64"/>
      <c r="J57" s="64"/>
      <c r="K57" s="64"/>
      <c r="L57" s="64"/>
      <c r="M57" s="64"/>
      <c r="N57" s="64"/>
      <c r="O57" s="64"/>
      <c r="P57" s="64"/>
      <c r="Q57" s="96"/>
      <c r="R57" s="95"/>
      <c r="S57" s="64"/>
      <c r="T57" s="64"/>
      <c r="U57" s="64"/>
      <c r="V57" s="64"/>
      <c r="W57" s="64"/>
      <c r="X57" s="64"/>
      <c r="Y57" s="64"/>
      <c r="Z57" s="64"/>
      <c r="AA57" s="64"/>
      <c r="AB57" s="64"/>
      <c r="AC57" s="64"/>
      <c r="AD57" s="64"/>
      <c r="AE57" s="64"/>
      <c r="AF57" s="64"/>
      <c r="AG57" s="64"/>
      <c r="AH57" s="96"/>
      <c r="AI57" s="95"/>
      <c r="AJ57" s="64"/>
      <c r="AK57" s="64"/>
      <c r="AL57" s="64"/>
      <c r="AM57" s="64"/>
      <c r="AN57" s="64"/>
      <c r="AO57" s="64"/>
      <c r="AP57" s="64"/>
      <c r="AQ57" s="64"/>
      <c r="AR57" s="64"/>
      <c r="AS57" s="64"/>
      <c r="AT57" s="64"/>
      <c r="AU57" s="64"/>
      <c r="AV57" s="64"/>
      <c r="AW57" s="64"/>
      <c r="AX57" s="64"/>
      <c r="AY57" s="96"/>
    </row>
    <row r="58" spans="1:51" ht="12.75" customHeight="1">
      <c r="A58" s="100"/>
      <c r="B58" s="101"/>
      <c r="C58" s="101"/>
      <c r="D58" s="101"/>
      <c r="E58" s="101"/>
      <c r="F58" s="101"/>
      <c r="G58" s="101"/>
      <c r="H58" s="101"/>
      <c r="I58" s="101"/>
      <c r="J58" s="101"/>
      <c r="K58" s="101"/>
      <c r="L58" s="101"/>
      <c r="M58" s="101"/>
      <c r="N58" s="101"/>
      <c r="O58" s="101"/>
      <c r="P58" s="101"/>
      <c r="Q58" s="150"/>
      <c r="R58" s="100"/>
      <c r="S58" s="101"/>
      <c r="T58" s="101"/>
      <c r="U58" s="101"/>
      <c r="V58" s="101"/>
      <c r="W58" s="101"/>
      <c r="X58" s="101"/>
      <c r="Y58" s="101"/>
      <c r="Z58" s="101"/>
      <c r="AA58" s="101"/>
      <c r="AB58" s="101"/>
      <c r="AC58" s="101"/>
      <c r="AD58" s="101"/>
      <c r="AE58" s="101"/>
      <c r="AF58" s="101"/>
      <c r="AG58" s="101"/>
      <c r="AH58" s="150"/>
      <c r="AI58" s="100"/>
      <c r="AJ58" s="101"/>
      <c r="AK58" s="101"/>
      <c r="AL58" s="101"/>
      <c r="AM58" s="101"/>
      <c r="AN58" s="101"/>
      <c r="AO58" s="101"/>
      <c r="AP58" s="101"/>
      <c r="AQ58" s="101"/>
      <c r="AR58" s="101"/>
      <c r="AS58" s="101"/>
      <c r="AT58" s="101"/>
      <c r="AU58" s="101"/>
      <c r="AV58" s="101"/>
      <c r="AW58" s="101"/>
      <c r="AX58" s="101"/>
      <c r="AY58" s="150"/>
    </row>
    <row r="59" spans="1:51" ht="12.75" customHeight="1">
      <c r="A59" s="142"/>
      <c r="B59" s="143"/>
      <c r="C59" s="143"/>
      <c r="D59" s="143"/>
      <c r="E59" s="143"/>
      <c r="F59" s="143"/>
      <c r="G59" s="143"/>
      <c r="H59" s="143"/>
      <c r="I59" s="143"/>
      <c r="J59" s="143"/>
      <c r="K59" s="143"/>
      <c r="L59" s="143"/>
      <c r="M59" s="143"/>
      <c r="N59" s="143"/>
      <c r="O59" s="143"/>
      <c r="P59" s="143"/>
      <c r="Q59" s="144"/>
      <c r="R59" s="142"/>
      <c r="S59" s="143"/>
      <c r="T59" s="143"/>
      <c r="U59" s="143"/>
      <c r="V59" s="143"/>
      <c r="W59" s="143"/>
      <c r="X59" s="143"/>
      <c r="Y59" s="143"/>
      <c r="Z59" s="143"/>
      <c r="AA59" s="143"/>
      <c r="AB59" s="143"/>
      <c r="AC59" s="143"/>
      <c r="AD59" s="143"/>
      <c r="AE59" s="143"/>
      <c r="AF59" s="143"/>
      <c r="AG59" s="143"/>
      <c r="AH59" s="144"/>
      <c r="AI59" s="142"/>
      <c r="AJ59" s="143"/>
      <c r="AK59" s="143"/>
      <c r="AL59" s="143"/>
      <c r="AM59" s="143"/>
      <c r="AN59" s="143"/>
      <c r="AO59" s="143"/>
      <c r="AP59" s="143"/>
      <c r="AQ59" s="143"/>
      <c r="AR59" s="143"/>
      <c r="AS59" s="143"/>
      <c r="AT59" s="143"/>
      <c r="AU59" s="143"/>
      <c r="AV59" s="143"/>
      <c r="AW59" s="143"/>
      <c r="AX59" s="143"/>
      <c r="AY59" s="144"/>
    </row>
    <row r="60" spans="1:51" ht="12.75" customHeight="1">
      <c r="A60" s="95"/>
      <c r="B60" s="64"/>
      <c r="C60" s="64"/>
      <c r="D60" s="64"/>
      <c r="E60" s="64"/>
      <c r="F60" s="64"/>
      <c r="G60" s="64"/>
      <c r="H60" s="64"/>
      <c r="I60" s="64"/>
      <c r="J60" s="64"/>
      <c r="K60" s="64"/>
      <c r="L60" s="64"/>
      <c r="M60" s="64"/>
      <c r="N60" s="64"/>
      <c r="O60" s="64"/>
      <c r="P60" s="64"/>
      <c r="Q60" s="96"/>
      <c r="R60" s="95"/>
      <c r="S60" s="64"/>
      <c r="T60" s="64"/>
      <c r="U60" s="64"/>
      <c r="V60" s="64"/>
      <c r="W60" s="64"/>
      <c r="X60" s="64"/>
      <c r="Y60" s="64"/>
      <c r="Z60" s="64"/>
      <c r="AA60" s="64"/>
      <c r="AB60" s="64"/>
      <c r="AC60" s="64"/>
      <c r="AD60" s="64"/>
      <c r="AE60" s="64"/>
      <c r="AF60" s="64"/>
      <c r="AG60" s="64"/>
      <c r="AH60" s="96"/>
      <c r="AI60" s="95"/>
      <c r="AJ60" s="64"/>
      <c r="AK60" s="64"/>
      <c r="AL60" s="64"/>
      <c r="AM60" s="64"/>
      <c r="AN60" s="64"/>
      <c r="AO60" s="64"/>
      <c r="AP60" s="64"/>
      <c r="AQ60" s="64"/>
      <c r="AR60" s="64"/>
      <c r="AS60" s="64"/>
      <c r="AT60" s="64"/>
      <c r="AU60" s="64"/>
      <c r="AV60" s="64"/>
      <c r="AW60" s="64"/>
      <c r="AX60" s="64"/>
      <c r="AY60" s="96"/>
    </row>
    <row r="61" spans="1:51" ht="12.75" customHeight="1">
      <c r="A61" s="95"/>
      <c r="B61" s="64"/>
      <c r="C61" s="64"/>
      <c r="D61" s="64"/>
      <c r="E61" s="64"/>
      <c r="F61" s="64"/>
      <c r="G61" s="64"/>
      <c r="H61" s="64"/>
      <c r="I61" s="64"/>
      <c r="J61" s="64"/>
      <c r="K61" s="64"/>
      <c r="L61" s="64"/>
      <c r="M61" s="64"/>
      <c r="N61" s="64"/>
      <c r="O61" s="64"/>
      <c r="P61" s="64"/>
      <c r="Q61" s="96"/>
      <c r="R61" s="95"/>
      <c r="S61" s="64"/>
      <c r="T61" s="64"/>
      <c r="U61" s="64"/>
      <c r="V61" s="64"/>
      <c r="W61" s="64"/>
      <c r="X61" s="64"/>
      <c r="Y61" s="64"/>
      <c r="Z61" s="64"/>
      <c r="AA61" s="64"/>
      <c r="AB61" s="64"/>
      <c r="AC61" s="64"/>
      <c r="AD61" s="64"/>
      <c r="AE61" s="64"/>
      <c r="AF61" s="64"/>
      <c r="AG61" s="64"/>
      <c r="AH61" s="96"/>
      <c r="AI61" s="95"/>
      <c r="AJ61" s="64"/>
      <c r="AK61" s="64"/>
      <c r="AL61" s="64"/>
      <c r="AM61" s="64"/>
      <c r="AN61" s="64"/>
      <c r="AO61" s="64"/>
      <c r="AP61" s="64"/>
      <c r="AQ61" s="64"/>
      <c r="AR61" s="64"/>
      <c r="AS61" s="64"/>
      <c r="AT61" s="64"/>
      <c r="AU61" s="64"/>
      <c r="AV61" s="64"/>
      <c r="AW61" s="64"/>
      <c r="AX61" s="64"/>
      <c r="AY61" s="96"/>
    </row>
    <row r="62" spans="1:51" ht="12.75" customHeight="1">
      <c r="A62" s="95"/>
      <c r="B62" s="64"/>
      <c r="C62" s="64"/>
      <c r="D62" s="64"/>
      <c r="E62" s="64"/>
      <c r="F62" s="64"/>
      <c r="G62" s="64"/>
      <c r="H62" s="64"/>
      <c r="I62" s="64"/>
      <c r="J62" s="64"/>
      <c r="K62" s="64"/>
      <c r="L62" s="64"/>
      <c r="M62" s="64"/>
      <c r="N62" s="64"/>
      <c r="O62" s="64"/>
      <c r="P62" s="64"/>
      <c r="Q62" s="96"/>
      <c r="R62" s="95"/>
      <c r="S62" s="64"/>
      <c r="T62" s="64"/>
      <c r="U62" s="64"/>
      <c r="V62" s="64"/>
      <c r="W62" s="64"/>
      <c r="X62" s="64"/>
      <c r="Y62" s="64"/>
      <c r="Z62" s="64"/>
      <c r="AA62" s="64"/>
      <c r="AB62" s="64"/>
      <c r="AC62" s="64"/>
      <c r="AD62" s="64"/>
      <c r="AE62" s="64"/>
      <c r="AF62" s="64"/>
      <c r="AG62" s="64"/>
      <c r="AH62" s="96"/>
      <c r="AI62" s="95"/>
      <c r="AJ62" s="64"/>
      <c r="AK62" s="64"/>
      <c r="AL62" s="64"/>
      <c r="AM62" s="64"/>
      <c r="AN62" s="64"/>
      <c r="AO62" s="64"/>
      <c r="AP62" s="64"/>
      <c r="AQ62" s="64"/>
      <c r="AR62" s="64"/>
      <c r="AS62" s="64"/>
      <c r="AT62" s="64"/>
      <c r="AU62" s="64"/>
      <c r="AV62" s="64"/>
      <c r="AW62" s="64"/>
      <c r="AX62" s="64"/>
      <c r="AY62" s="96"/>
    </row>
    <row r="63" spans="1:51" ht="12.75" customHeight="1">
      <c r="A63" s="95"/>
      <c r="B63" s="64"/>
      <c r="C63" s="64"/>
      <c r="D63" s="64"/>
      <c r="E63" s="64"/>
      <c r="F63" s="64"/>
      <c r="G63" s="64"/>
      <c r="H63" s="64"/>
      <c r="I63" s="64"/>
      <c r="J63" s="64"/>
      <c r="K63" s="64"/>
      <c r="L63" s="64"/>
      <c r="M63" s="64"/>
      <c r="N63" s="64"/>
      <c r="O63" s="64"/>
      <c r="P63" s="64"/>
      <c r="Q63" s="96"/>
      <c r="R63" s="95"/>
      <c r="S63" s="64"/>
      <c r="T63" s="64"/>
      <c r="U63" s="64"/>
      <c r="V63" s="64"/>
      <c r="W63" s="64"/>
      <c r="X63" s="64"/>
      <c r="Y63" s="64"/>
      <c r="Z63" s="64"/>
      <c r="AA63" s="64"/>
      <c r="AB63" s="64"/>
      <c r="AC63" s="64"/>
      <c r="AD63" s="64"/>
      <c r="AE63" s="64"/>
      <c r="AF63" s="64"/>
      <c r="AG63" s="64"/>
      <c r="AH63" s="96"/>
      <c r="AI63" s="95"/>
      <c r="AJ63" s="64"/>
      <c r="AK63" s="64"/>
      <c r="AL63" s="64"/>
      <c r="AM63" s="64"/>
      <c r="AN63" s="64"/>
      <c r="AO63" s="64"/>
      <c r="AP63" s="64"/>
      <c r="AQ63" s="64"/>
      <c r="AR63" s="64"/>
      <c r="AS63" s="64"/>
      <c r="AT63" s="64"/>
      <c r="AU63" s="64"/>
      <c r="AV63" s="64"/>
      <c r="AW63" s="64"/>
      <c r="AX63" s="64"/>
      <c r="AY63" s="96"/>
    </row>
    <row r="64" spans="1:51" ht="12.75" customHeight="1">
      <c r="A64" s="95"/>
      <c r="B64" s="64"/>
      <c r="C64" s="64"/>
      <c r="D64" s="64"/>
      <c r="E64" s="64"/>
      <c r="F64" s="64"/>
      <c r="G64" s="64"/>
      <c r="H64" s="64"/>
      <c r="I64" s="64"/>
      <c r="J64" s="64"/>
      <c r="K64" s="64"/>
      <c r="L64" s="64"/>
      <c r="M64" s="64"/>
      <c r="N64" s="64"/>
      <c r="O64" s="64"/>
      <c r="P64" s="64"/>
      <c r="Q64" s="96"/>
      <c r="R64" s="95"/>
      <c r="S64" s="64"/>
      <c r="T64" s="64"/>
      <c r="U64" s="64"/>
      <c r="V64" s="64"/>
      <c r="W64" s="64"/>
      <c r="X64" s="64"/>
      <c r="Y64" s="64"/>
      <c r="Z64" s="64"/>
      <c r="AA64" s="64"/>
      <c r="AB64" s="64"/>
      <c r="AC64" s="64"/>
      <c r="AD64" s="64"/>
      <c r="AE64" s="64"/>
      <c r="AF64" s="64"/>
      <c r="AG64" s="64"/>
      <c r="AH64" s="96"/>
      <c r="AI64" s="95"/>
      <c r="AJ64" s="64"/>
      <c r="AK64" s="64"/>
      <c r="AL64" s="64"/>
      <c r="AM64" s="64"/>
      <c r="AN64" s="64"/>
      <c r="AO64" s="64"/>
      <c r="AP64" s="64"/>
      <c r="AQ64" s="64"/>
      <c r="AR64" s="64"/>
      <c r="AS64" s="64"/>
      <c r="AT64" s="64"/>
      <c r="AU64" s="64"/>
      <c r="AV64" s="64"/>
      <c r="AW64" s="64"/>
      <c r="AX64" s="64"/>
      <c r="AY64" s="96"/>
    </row>
    <row r="65" spans="1:51" ht="12.75" customHeight="1">
      <c r="A65" s="95"/>
      <c r="B65" s="64"/>
      <c r="C65" s="64"/>
      <c r="D65" s="64"/>
      <c r="E65" s="64"/>
      <c r="F65" s="64"/>
      <c r="G65" s="64"/>
      <c r="H65" s="64"/>
      <c r="I65" s="64"/>
      <c r="J65" s="64"/>
      <c r="K65" s="64"/>
      <c r="L65" s="64"/>
      <c r="M65" s="64"/>
      <c r="N65" s="64"/>
      <c r="O65" s="64"/>
      <c r="P65" s="64"/>
      <c r="Q65" s="96"/>
      <c r="R65" s="95"/>
      <c r="S65" s="64"/>
      <c r="T65" s="64"/>
      <c r="U65" s="64"/>
      <c r="V65" s="64"/>
      <c r="W65" s="64"/>
      <c r="X65" s="64"/>
      <c r="Y65" s="64"/>
      <c r="Z65" s="64"/>
      <c r="AA65" s="64"/>
      <c r="AB65" s="64"/>
      <c r="AC65" s="64"/>
      <c r="AD65" s="64"/>
      <c r="AE65" s="64"/>
      <c r="AF65" s="64"/>
      <c r="AG65" s="64"/>
      <c r="AH65" s="96"/>
      <c r="AI65" s="95"/>
      <c r="AJ65" s="64"/>
      <c r="AK65" s="64"/>
      <c r="AL65" s="64"/>
      <c r="AM65" s="64"/>
      <c r="AN65" s="64"/>
      <c r="AO65" s="64"/>
      <c r="AP65" s="64"/>
      <c r="AQ65" s="64"/>
      <c r="AR65" s="64"/>
      <c r="AS65" s="64"/>
      <c r="AT65" s="64"/>
      <c r="AU65" s="64"/>
      <c r="AV65" s="64"/>
      <c r="AW65" s="64"/>
      <c r="AX65" s="64"/>
      <c r="AY65" s="96"/>
    </row>
    <row r="66" spans="1:51" ht="12.75" customHeight="1">
      <c r="A66" s="95"/>
      <c r="B66" s="64"/>
      <c r="C66" s="64"/>
      <c r="D66" s="64"/>
      <c r="E66" s="64"/>
      <c r="F66" s="64"/>
      <c r="G66" s="64"/>
      <c r="H66" s="64"/>
      <c r="I66" s="64"/>
      <c r="J66" s="64"/>
      <c r="K66" s="64"/>
      <c r="L66" s="64"/>
      <c r="M66" s="64"/>
      <c r="N66" s="64"/>
      <c r="O66" s="64"/>
      <c r="P66" s="64"/>
      <c r="Q66" s="96"/>
      <c r="R66" s="95"/>
      <c r="S66" s="64"/>
      <c r="T66" s="64"/>
      <c r="U66" s="64"/>
      <c r="V66" s="64"/>
      <c r="W66" s="64"/>
      <c r="X66" s="64"/>
      <c r="Y66" s="64"/>
      <c r="Z66" s="64"/>
      <c r="AA66" s="64"/>
      <c r="AB66" s="64"/>
      <c r="AC66" s="64"/>
      <c r="AD66" s="64"/>
      <c r="AE66" s="64"/>
      <c r="AF66" s="64"/>
      <c r="AG66" s="64"/>
      <c r="AH66" s="96"/>
      <c r="AI66" s="95"/>
      <c r="AJ66" s="64"/>
      <c r="AK66" s="64"/>
      <c r="AL66" s="64"/>
      <c r="AM66" s="64"/>
      <c r="AN66" s="64"/>
      <c r="AO66" s="64"/>
      <c r="AP66" s="64"/>
      <c r="AQ66" s="64"/>
      <c r="AR66" s="64"/>
      <c r="AS66" s="64"/>
      <c r="AT66" s="64"/>
      <c r="AU66" s="64"/>
      <c r="AV66" s="64"/>
      <c r="AW66" s="64"/>
      <c r="AX66" s="64"/>
      <c r="AY66" s="96"/>
    </row>
    <row r="67" spans="1:51" ht="12.75" customHeight="1">
      <c r="A67" s="95"/>
      <c r="B67" s="64"/>
      <c r="C67" s="64"/>
      <c r="D67" s="64"/>
      <c r="E67" s="64"/>
      <c r="F67" s="64"/>
      <c r="G67" s="64"/>
      <c r="H67" s="64"/>
      <c r="I67" s="64"/>
      <c r="J67" s="64"/>
      <c r="K67" s="64"/>
      <c r="L67" s="64"/>
      <c r="M67" s="64"/>
      <c r="N67" s="64"/>
      <c r="O67" s="64"/>
      <c r="P67" s="64"/>
      <c r="Q67" s="96"/>
      <c r="R67" s="95"/>
      <c r="S67" s="64"/>
      <c r="T67" s="64"/>
      <c r="U67" s="64"/>
      <c r="V67" s="64"/>
      <c r="W67" s="64"/>
      <c r="X67" s="64"/>
      <c r="Y67" s="64"/>
      <c r="Z67" s="64"/>
      <c r="AA67" s="64"/>
      <c r="AB67" s="64"/>
      <c r="AC67" s="64"/>
      <c r="AD67" s="64"/>
      <c r="AE67" s="64"/>
      <c r="AF67" s="64"/>
      <c r="AG67" s="64"/>
      <c r="AH67" s="96"/>
      <c r="AI67" s="95"/>
      <c r="AJ67" s="64"/>
      <c r="AK67" s="64"/>
      <c r="AL67" s="64"/>
      <c r="AM67" s="64"/>
      <c r="AN67" s="64"/>
      <c r="AO67" s="64"/>
      <c r="AP67" s="64"/>
      <c r="AQ67" s="64"/>
      <c r="AR67" s="64"/>
      <c r="AS67" s="64"/>
      <c r="AT67" s="64"/>
      <c r="AU67" s="64"/>
      <c r="AV67" s="64"/>
      <c r="AW67" s="64"/>
      <c r="AX67" s="64"/>
      <c r="AY67" s="96"/>
    </row>
    <row r="68" spans="1:51" ht="12.75" customHeight="1">
      <c r="A68" s="95"/>
      <c r="B68" s="64"/>
      <c r="C68" s="64"/>
      <c r="D68" s="64"/>
      <c r="E68" s="64"/>
      <c r="F68" s="64"/>
      <c r="G68" s="64"/>
      <c r="H68" s="64"/>
      <c r="I68" s="64"/>
      <c r="J68" s="64"/>
      <c r="K68" s="64"/>
      <c r="L68" s="64"/>
      <c r="M68" s="64"/>
      <c r="N68" s="64"/>
      <c r="O68" s="64"/>
      <c r="P68" s="64"/>
      <c r="Q68" s="96"/>
      <c r="R68" s="95"/>
      <c r="S68" s="64"/>
      <c r="T68" s="64"/>
      <c r="U68" s="64"/>
      <c r="V68" s="64"/>
      <c r="W68" s="64"/>
      <c r="X68" s="64"/>
      <c r="Y68" s="64"/>
      <c r="Z68" s="64"/>
      <c r="AA68" s="64"/>
      <c r="AB68" s="64"/>
      <c r="AC68" s="64"/>
      <c r="AD68" s="64"/>
      <c r="AE68" s="64"/>
      <c r="AF68" s="64"/>
      <c r="AG68" s="64"/>
      <c r="AH68" s="96"/>
      <c r="AI68" s="95"/>
      <c r="AJ68" s="64"/>
      <c r="AK68" s="64"/>
      <c r="AL68" s="64"/>
      <c r="AM68" s="64"/>
      <c r="AN68" s="64"/>
      <c r="AO68" s="64"/>
      <c r="AP68" s="64"/>
      <c r="AQ68" s="64"/>
      <c r="AR68" s="64"/>
      <c r="AS68" s="64"/>
      <c r="AT68" s="64"/>
      <c r="AU68" s="64"/>
      <c r="AV68" s="64"/>
      <c r="AW68" s="64"/>
      <c r="AX68" s="64"/>
      <c r="AY68" s="96"/>
    </row>
    <row r="69" spans="1:51" ht="12.75" customHeight="1">
      <c r="A69" s="95"/>
      <c r="B69" s="64"/>
      <c r="C69" s="64"/>
      <c r="D69" s="64"/>
      <c r="E69" s="64"/>
      <c r="F69" s="64"/>
      <c r="G69" s="64"/>
      <c r="H69" s="64"/>
      <c r="I69" s="64"/>
      <c r="J69" s="64"/>
      <c r="K69" s="64"/>
      <c r="L69" s="64"/>
      <c r="M69" s="64"/>
      <c r="N69" s="64"/>
      <c r="O69" s="64"/>
      <c r="P69" s="64"/>
      <c r="Q69" s="96"/>
      <c r="R69" s="95"/>
      <c r="S69" s="64"/>
      <c r="T69" s="64"/>
      <c r="U69" s="64"/>
      <c r="V69" s="64"/>
      <c r="W69" s="64"/>
      <c r="X69" s="64"/>
      <c r="Y69" s="64"/>
      <c r="Z69" s="64"/>
      <c r="AA69" s="64"/>
      <c r="AB69" s="64"/>
      <c r="AC69" s="64"/>
      <c r="AD69" s="64"/>
      <c r="AE69" s="64"/>
      <c r="AF69" s="64"/>
      <c r="AG69" s="64"/>
      <c r="AH69" s="96"/>
      <c r="AI69" s="95"/>
      <c r="AJ69" s="64"/>
      <c r="AK69" s="64"/>
      <c r="AL69" s="64"/>
      <c r="AM69" s="64"/>
      <c r="AN69" s="64"/>
      <c r="AO69" s="64"/>
      <c r="AP69" s="64"/>
      <c r="AQ69" s="64"/>
      <c r="AR69" s="64"/>
      <c r="AS69" s="64"/>
      <c r="AT69" s="64"/>
      <c r="AU69" s="64"/>
      <c r="AV69" s="64"/>
      <c r="AW69" s="64"/>
      <c r="AX69" s="64"/>
      <c r="AY69" s="96"/>
    </row>
    <row r="70" spans="1:51" ht="12.75" customHeight="1">
      <c r="A70" s="95"/>
      <c r="B70" s="64"/>
      <c r="C70" s="64"/>
      <c r="D70" s="64"/>
      <c r="E70" s="64"/>
      <c r="F70" s="64"/>
      <c r="G70" s="64"/>
      <c r="H70" s="64"/>
      <c r="I70" s="64"/>
      <c r="J70" s="64"/>
      <c r="K70" s="64"/>
      <c r="L70" s="64"/>
      <c r="M70" s="64"/>
      <c r="N70" s="64"/>
      <c r="O70" s="64"/>
      <c r="P70" s="64"/>
      <c r="Q70" s="96"/>
      <c r="R70" s="95"/>
      <c r="S70" s="64"/>
      <c r="T70" s="64"/>
      <c r="U70" s="64"/>
      <c r="V70" s="64"/>
      <c r="W70" s="64"/>
      <c r="X70" s="64"/>
      <c r="Y70" s="64"/>
      <c r="Z70" s="64"/>
      <c r="AA70" s="64"/>
      <c r="AB70" s="64"/>
      <c r="AC70" s="64"/>
      <c r="AD70" s="64"/>
      <c r="AE70" s="64"/>
      <c r="AF70" s="64"/>
      <c r="AG70" s="64"/>
      <c r="AH70" s="96"/>
      <c r="AI70" s="95"/>
      <c r="AJ70" s="64"/>
      <c r="AK70" s="64"/>
      <c r="AL70" s="64"/>
      <c r="AM70" s="64"/>
      <c r="AN70" s="64"/>
      <c r="AO70" s="64"/>
      <c r="AP70" s="64"/>
      <c r="AQ70" s="64"/>
      <c r="AR70" s="64"/>
      <c r="AS70" s="64"/>
      <c r="AT70" s="64"/>
      <c r="AU70" s="64"/>
      <c r="AV70" s="64"/>
      <c r="AW70" s="64"/>
      <c r="AX70" s="64"/>
      <c r="AY70" s="96"/>
    </row>
    <row r="71" spans="1:51" ht="12.75" customHeight="1">
      <c r="A71" s="95"/>
      <c r="B71" s="64"/>
      <c r="C71" s="64"/>
      <c r="D71" s="64"/>
      <c r="E71" s="64"/>
      <c r="F71" s="64"/>
      <c r="G71" s="64"/>
      <c r="H71" s="64"/>
      <c r="I71" s="64"/>
      <c r="J71" s="64"/>
      <c r="K71" s="64"/>
      <c r="L71" s="64"/>
      <c r="M71" s="64"/>
      <c r="N71" s="64"/>
      <c r="O71" s="64"/>
      <c r="P71" s="64"/>
      <c r="Q71" s="96"/>
      <c r="R71" s="95"/>
      <c r="S71" s="64"/>
      <c r="T71" s="64"/>
      <c r="U71" s="64"/>
      <c r="V71" s="64"/>
      <c r="W71" s="64"/>
      <c r="X71" s="64"/>
      <c r="Y71" s="64"/>
      <c r="Z71" s="64"/>
      <c r="AA71" s="64"/>
      <c r="AB71" s="64"/>
      <c r="AC71" s="64"/>
      <c r="AD71" s="64"/>
      <c r="AE71" s="64"/>
      <c r="AF71" s="64"/>
      <c r="AG71" s="64"/>
      <c r="AH71" s="96"/>
      <c r="AI71" s="95"/>
      <c r="AJ71" s="64"/>
      <c r="AK71" s="64"/>
      <c r="AL71" s="64"/>
      <c r="AM71" s="64"/>
      <c r="AN71" s="64"/>
      <c r="AO71" s="64"/>
      <c r="AP71" s="64"/>
      <c r="AQ71" s="64"/>
      <c r="AR71" s="64"/>
      <c r="AS71" s="64"/>
      <c r="AT71" s="64"/>
      <c r="AU71" s="64"/>
      <c r="AV71" s="64"/>
      <c r="AW71" s="64"/>
      <c r="AX71" s="64"/>
      <c r="AY71" s="96"/>
    </row>
    <row r="72" spans="1:51" ht="12.75" customHeight="1">
      <c r="A72" s="95"/>
      <c r="B72" s="64"/>
      <c r="C72" s="64"/>
      <c r="D72" s="64"/>
      <c r="E72" s="64"/>
      <c r="F72" s="64"/>
      <c r="G72" s="64"/>
      <c r="H72" s="64"/>
      <c r="I72" s="64"/>
      <c r="J72" s="64"/>
      <c r="K72" s="64"/>
      <c r="L72" s="64"/>
      <c r="M72" s="64"/>
      <c r="N72" s="64"/>
      <c r="O72" s="64"/>
      <c r="P72" s="64"/>
      <c r="Q72" s="96"/>
      <c r="R72" s="95"/>
      <c r="S72" s="64"/>
      <c r="T72" s="64"/>
      <c r="U72" s="64"/>
      <c r="V72" s="64"/>
      <c r="W72" s="64"/>
      <c r="X72" s="64"/>
      <c r="Y72" s="64"/>
      <c r="Z72" s="64"/>
      <c r="AA72" s="64"/>
      <c r="AB72" s="64"/>
      <c r="AC72" s="64"/>
      <c r="AD72" s="64"/>
      <c r="AE72" s="64"/>
      <c r="AF72" s="64"/>
      <c r="AG72" s="64"/>
      <c r="AH72" s="96"/>
      <c r="AI72" s="95"/>
      <c r="AJ72" s="64"/>
      <c r="AK72" s="64"/>
      <c r="AL72" s="64"/>
      <c r="AM72" s="64"/>
      <c r="AN72" s="64"/>
      <c r="AO72" s="64"/>
      <c r="AP72" s="64"/>
      <c r="AQ72" s="64"/>
      <c r="AR72" s="64"/>
      <c r="AS72" s="64"/>
      <c r="AT72" s="64"/>
      <c r="AU72" s="64"/>
      <c r="AV72" s="64"/>
      <c r="AW72" s="64"/>
      <c r="AX72" s="64"/>
      <c r="AY72" s="96"/>
    </row>
    <row r="73" spans="1:51" ht="12.75" customHeight="1">
      <c r="A73" s="95"/>
      <c r="B73" s="64"/>
      <c r="C73" s="64"/>
      <c r="D73" s="64"/>
      <c r="E73" s="64"/>
      <c r="F73" s="64"/>
      <c r="G73" s="64"/>
      <c r="H73" s="64"/>
      <c r="I73" s="64"/>
      <c r="J73" s="64"/>
      <c r="K73" s="64"/>
      <c r="L73" s="64"/>
      <c r="M73" s="64"/>
      <c r="N73" s="64"/>
      <c r="O73" s="64"/>
      <c r="P73" s="64"/>
      <c r="Q73" s="96"/>
      <c r="R73" s="95"/>
      <c r="S73" s="64"/>
      <c r="T73" s="64"/>
      <c r="U73" s="64"/>
      <c r="V73" s="64"/>
      <c r="W73" s="64"/>
      <c r="X73" s="64"/>
      <c r="Y73" s="64"/>
      <c r="Z73" s="64"/>
      <c r="AA73" s="64"/>
      <c r="AB73" s="64"/>
      <c r="AC73" s="64"/>
      <c r="AD73" s="64"/>
      <c r="AE73" s="64"/>
      <c r="AF73" s="64"/>
      <c r="AG73" s="64"/>
      <c r="AH73" s="96"/>
      <c r="AI73" s="95"/>
      <c r="AJ73" s="64"/>
      <c r="AK73" s="64"/>
      <c r="AL73" s="64"/>
      <c r="AM73" s="64"/>
      <c r="AN73" s="64"/>
      <c r="AO73" s="64"/>
      <c r="AP73" s="64"/>
      <c r="AQ73" s="64"/>
      <c r="AR73" s="64"/>
      <c r="AS73" s="64"/>
      <c r="AT73" s="64"/>
      <c r="AU73" s="64"/>
      <c r="AV73" s="64"/>
      <c r="AW73" s="64"/>
      <c r="AX73" s="64"/>
      <c r="AY73" s="96"/>
    </row>
    <row r="74" spans="1:51" ht="12.75" customHeight="1">
      <c r="A74" s="95"/>
      <c r="B74" s="64"/>
      <c r="C74" s="64"/>
      <c r="D74" s="64"/>
      <c r="E74" s="64"/>
      <c r="F74" s="64"/>
      <c r="G74" s="64"/>
      <c r="H74" s="64"/>
      <c r="I74" s="64"/>
      <c r="J74" s="64"/>
      <c r="K74" s="64"/>
      <c r="L74" s="64"/>
      <c r="M74" s="64"/>
      <c r="N74" s="64"/>
      <c r="O74" s="64"/>
      <c r="P74" s="64"/>
      <c r="Q74" s="96"/>
      <c r="R74" s="95"/>
      <c r="S74" s="64"/>
      <c r="T74" s="64"/>
      <c r="U74" s="64"/>
      <c r="V74" s="64"/>
      <c r="W74" s="64"/>
      <c r="X74" s="64"/>
      <c r="Y74" s="64"/>
      <c r="Z74" s="64"/>
      <c r="AA74" s="64"/>
      <c r="AB74" s="64"/>
      <c r="AC74" s="64"/>
      <c r="AD74" s="64"/>
      <c r="AE74" s="64"/>
      <c r="AF74" s="64"/>
      <c r="AG74" s="64"/>
      <c r="AH74" s="96"/>
      <c r="AI74" s="95"/>
      <c r="AJ74" s="64"/>
      <c r="AK74" s="64"/>
      <c r="AL74" s="64"/>
      <c r="AM74" s="64"/>
      <c r="AN74" s="64"/>
      <c r="AO74" s="64"/>
      <c r="AP74" s="64"/>
      <c r="AQ74" s="64"/>
      <c r="AR74" s="64"/>
      <c r="AS74" s="64"/>
      <c r="AT74" s="64"/>
      <c r="AU74" s="64"/>
      <c r="AV74" s="64"/>
      <c r="AW74" s="64"/>
      <c r="AX74" s="64"/>
      <c r="AY74" s="96"/>
    </row>
    <row r="75" spans="1:51" ht="12.75" customHeight="1">
      <c r="A75" s="95"/>
      <c r="B75" s="64"/>
      <c r="C75" s="64"/>
      <c r="D75" s="64"/>
      <c r="E75" s="64"/>
      <c r="F75" s="64"/>
      <c r="G75" s="64"/>
      <c r="H75" s="64"/>
      <c r="I75" s="64"/>
      <c r="J75" s="64"/>
      <c r="K75" s="64"/>
      <c r="L75" s="64"/>
      <c r="M75" s="64"/>
      <c r="N75" s="64"/>
      <c r="O75" s="64"/>
      <c r="P75" s="64"/>
      <c r="Q75" s="96"/>
      <c r="R75" s="95"/>
      <c r="S75" s="64"/>
      <c r="T75" s="64"/>
      <c r="U75" s="64"/>
      <c r="V75" s="64"/>
      <c r="W75" s="64"/>
      <c r="X75" s="64"/>
      <c r="Y75" s="64"/>
      <c r="Z75" s="64"/>
      <c r="AA75" s="64"/>
      <c r="AB75" s="64"/>
      <c r="AC75" s="64"/>
      <c r="AD75" s="64"/>
      <c r="AE75" s="64"/>
      <c r="AF75" s="64"/>
      <c r="AG75" s="64"/>
      <c r="AH75" s="96"/>
      <c r="AI75" s="95"/>
      <c r="AJ75" s="64"/>
      <c r="AK75" s="64"/>
      <c r="AL75" s="64"/>
      <c r="AM75" s="64"/>
      <c r="AN75" s="64"/>
      <c r="AO75" s="64"/>
      <c r="AP75" s="64"/>
      <c r="AQ75" s="64"/>
      <c r="AR75" s="64"/>
      <c r="AS75" s="64"/>
      <c r="AT75" s="64"/>
      <c r="AU75" s="64"/>
      <c r="AV75" s="64"/>
      <c r="AW75" s="64"/>
      <c r="AX75" s="64"/>
      <c r="AY75" s="96"/>
    </row>
    <row r="76" spans="1:51" ht="12.75" customHeight="1">
      <c r="A76" s="95"/>
      <c r="B76" s="64"/>
      <c r="C76" s="64"/>
      <c r="D76" s="64"/>
      <c r="E76" s="64"/>
      <c r="F76" s="64"/>
      <c r="G76" s="64"/>
      <c r="H76" s="64"/>
      <c r="I76" s="64"/>
      <c r="J76" s="64"/>
      <c r="K76" s="64"/>
      <c r="L76" s="64"/>
      <c r="M76" s="64"/>
      <c r="N76" s="64"/>
      <c r="O76" s="64"/>
      <c r="P76" s="64"/>
      <c r="Q76" s="96"/>
      <c r="R76" s="95"/>
      <c r="S76" s="64"/>
      <c r="T76" s="64"/>
      <c r="U76" s="64"/>
      <c r="V76" s="64"/>
      <c r="W76" s="64"/>
      <c r="X76" s="64"/>
      <c r="Y76" s="64"/>
      <c r="Z76" s="64"/>
      <c r="AA76" s="64"/>
      <c r="AB76" s="64"/>
      <c r="AC76" s="64"/>
      <c r="AD76" s="64"/>
      <c r="AE76" s="64"/>
      <c r="AF76" s="64"/>
      <c r="AG76" s="64"/>
      <c r="AH76" s="96"/>
      <c r="AI76" s="95"/>
      <c r="AJ76" s="64"/>
      <c r="AK76" s="64"/>
      <c r="AL76" s="64"/>
      <c r="AM76" s="64"/>
      <c r="AN76" s="64"/>
      <c r="AO76" s="64"/>
      <c r="AP76" s="64"/>
      <c r="AQ76" s="64"/>
      <c r="AR76" s="64"/>
      <c r="AS76" s="64"/>
      <c r="AT76" s="64"/>
      <c r="AU76" s="64"/>
      <c r="AV76" s="64"/>
      <c r="AW76" s="64"/>
      <c r="AX76" s="64"/>
      <c r="AY76" s="96"/>
    </row>
    <row r="77" spans="1:51" ht="12.75" customHeight="1">
      <c r="A77" s="95"/>
      <c r="B77" s="64"/>
      <c r="C77" s="64"/>
      <c r="D77" s="64"/>
      <c r="E77" s="64"/>
      <c r="F77" s="64"/>
      <c r="G77" s="64"/>
      <c r="H77" s="64"/>
      <c r="I77" s="64"/>
      <c r="J77" s="64"/>
      <c r="K77" s="64"/>
      <c r="L77" s="64"/>
      <c r="M77" s="64"/>
      <c r="N77" s="64"/>
      <c r="O77" s="64"/>
      <c r="P77" s="64"/>
      <c r="Q77" s="96"/>
      <c r="R77" s="95"/>
      <c r="S77" s="64"/>
      <c r="T77" s="64"/>
      <c r="U77" s="64"/>
      <c r="V77" s="64"/>
      <c r="W77" s="64"/>
      <c r="X77" s="64"/>
      <c r="Y77" s="64"/>
      <c r="Z77" s="64"/>
      <c r="AA77" s="64"/>
      <c r="AB77" s="64"/>
      <c r="AC77" s="64"/>
      <c r="AD77" s="64"/>
      <c r="AE77" s="64"/>
      <c r="AF77" s="64"/>
      <c r="AG77" s="64"/>
      <c r="AH77" s="96"/>
      <c r="AI77" s="95"/>
      <c r="AJ77" s="64"/>
      <c r="AK77" s="64"/>
      <c r="AL77" s="64"/>
      <c r="AM77" s="64"/>
      <c r="AN77" s="64"/>
      <c r="AO77" s="64"/>
      <c r="AP77" s="64"/>
      <c r="AQ77" s="64"/>
      <c r="AR77" s="64"/>
      <c r="AS77" s="64"/>
      <c r="AT77" s="64"/>
      <c r="AU77" s="64"/>
      <c r="AV77" s="64"/>
      <c r="AW77" s="64"/>
      <c r="AX77" s="64"/>
      <c r="AY77" s="96"/>
    </row>
    <row r="78" spans="1:51" ht="12.75" customHeight="1">
      <c r="A78" s="95"/>
      <c r="B78" s="64"/>
      <c r="C78" s="64"/>
      <c r="D78" s="64"/>
      <c r="E78" s="64"/>
      <c r="F78" s="64"/>
      <c r="G78" s="64"/>
      <c r="H78" s="64"/>
      <c r="I78" s="64"/>
      <c r="J78" s="64"/>
      <c r="K78" s="64"/>
      <c r="L78" s="64"/>
      <c r="M78" s="64"/>
      <c r="N78" s="64"/>
      <c r="O78" s="64"/>
      <c r="P78" s="64"/>
      <c r="Q78" s="96"/>
      <c r="R78" s="95"/>
      <c r="S78" s="64"/>
      <c r="T78" s="64"/>
      <c r="U78" s="64"/>
      <c r="V78" s="64"/>
      <c r="W78" s="64"/>
      <c r="X78" s="64"/>
      <c r="Y78" s="64"/>
      <c r="Z78" s="64"/>
      <c r="AA78" s="64"/>
      <c r="AB78" s="64"/>
      <c r="AC78" s="64"/>
      <c r="AD78" s="64"/>
      <c r="AE78" s="64"/>
      <c r="AF78" s="64"/>
      <c r="AG78" s="64"/>
      <c r="AH78" s="96"/>
      <c r="AI78" s="95"/>
      <c r="AJ78" s="64"/>
      <c r="AK78" s="64"/>
      <c r="AL78" s="64"/>
      <c r="AM78" s="64"/>
      <c r="AN78" s="64"/>
      <c r="AO78" s="64"/>
      <c r="AP78" s="64"/>
      <c r="AQ78" s="64"/>
      <c r="AR78" s="64"/>
      <c r="AS78" s="64"/>
      <c r="AT78" s="64"/>
      <c r="AU78" s="64"/>
      <c r="AV78" s="64"/>
      <c r="AW78" s="64"/>
      <c r="AX78" s="64"/>
      <c r="AY78" s="96"/>
    </row>
    <row r="79" spans="1:51" ht="12.75" customHeight="1">
      <c r="A79" s="95"/>
      <c r="B79" s="64"/>
      <c r="C79" s="64"/>
      <c r="D79" s="64"/>
      <c r="E79" s="64"/>
      <c r="F79" s="64"/>
      <c r="G79" s="64"/>
      <c r="H79" s="64"/>
      <c r="I79" s="64"/>
      <c r="J79" s="64"/>
      <c r="K79" s="64"/>
      <c r="L79" s="64"/>
      <c r="M79" s="64"/>
      <c r="N79" s="64"/>
      <c r="O79" s="64"/>
      <c r="P79" s="64"/>
      <c r="Q79" s="96"/>
      <c r="R79" s="95"/>
      <c r="S79" s="64"/>
      <c r="T79" s="64"/>
      <c r="U79" s="64"/>
      <c r="V79" s="64"/>
      <c r="W79" s="64"/>
      <c r="X79" s="64"/>
      <c r="Y79" s="64"/>
      <c r="Z79" s="64"/>
      <c r="AA79" s="64"/>
      <c r="AB79" s="64"/>
      <c r="AC79" s="64"/>
      <c r="AD79" s="64"/>
      <c r="AE79" s="64"/>
      <c r="AF79" s="64"/>
      <c r="AG79" s="64"/>
      <c r="AH79" s="96"/>
      <c r="AI79" s="95"/>
      <c r="AJ79" s="64"/>
      <c r="AK79" s="64"/>
      <c r="AL79" s="64"/>
      <c r="AM79" s="64"/>
      <c r="AN79" s="64"/>
      <c r="AO79" s="64"/>
      <c r="AP79" s="64"/>
      <c r="AQ79" s="64"/>
      <c r="AR79" s="64"/>
      <c r="AS79" s="64"/>
      <c r="AT79" s="64"/>
      <c r="AU79" s="64"/>
      <c r="AV79" s="64"/>
      <c r="AW79" s="64"/>
      <c r="AX79" s="64"/>
      <c r="AY79" s="96"/>
    </row>
    <row r="80" spans="1:51" ht="12.75" customHeight="1">
      <c r="A80" s="95"/>
      <c r="B80" s="64"/>
      <c r="C80" s="64"/>
      <c r="D80" s="64"/>
      <c r="E80" s="64"/>
      <c r="F80" s="64"/>
      <c r="G80" s="64"/>
      <c r="H80" s="64"/>
      <c r="I80" s="64"/>
      <c r="J80" s="64"/>
      <c r="K80" s="64"/>
      <c r="L80" s="64"/>
      <c r="M80" s="64"/>
      <c r="N80" s="64"/>
      <c r="O80" s="64"/>
      <c r="P80" s="64"/>
      <c r="Q80" s="96"/>
      <c r="R80" s="95"/>
      <c r="S80" s="64"/>
      <c r="T80" s="64"/>
      <c r="U80" s="64"/>
      <c r="V80" s="64"/>
      <c r="W80" s="64"/>
      <c r="X80" s="64"/>
      <c r="Y80" s="64"/>
      <c r="Z80" s="64"/>
      <c r="AA80" s="64"/>
      <c r="AB80" s="64"/>
      <c r="AC80" s="64"/>
      <c r="AD80" s="64"/>
      <c r="AE80" s="64"/>
      <c r="AF80" s="64"/>
      <c r="AG80" s="64"/>
      <c r="AH80" s="96"/>
      <c r="AI80" s="95"/>
      <c r="AJ80" s="64"/>
      <c r="AK80" s="64"/>
      <c r="AL80" s="64"/>
      <c r="AM80" s="64"/>
      <c r="AN80" s="64"/>
      <c r="AO80" s="64"/>
      <c r="AP80" s="64"/>
      <c r="AQ80" s="64"/>
      <c r="AR80" s="64"/>
      <c r="AS80" s="64"/>
      <c r="AT80" s="64"/>
      <c r="AU80" s="64"/>
      <c r="AV80" s="64"/>
      <c r="AW80" s="64"/>
      <c r="AX80" s="64"/>
      <c r="AY80" s="96"/>
    </row>
    <row r="81" spans="1:51" ht="12.75" customHeight="1">
      <c r="A81" s="95"/>
      <c r="B81" s="64"/>
      <c r="C81" s="64"/>
      <c r="D81" s="64"/>
      <c r="E81" s="64"/>
      <c r="F81" s="64"/>
      <c r="G81" s="64"/>
      <c r="H81" s="64"/>
      <c r="I81" s="64"/>
      <c r="J81" s="64"/>
      <c r="K81" s="64"/>
      <c r="L81" s="64"/>
      <c r="M81" s="64"/>
      <c r="N81" s="64"/>
      <c r="O81" s="64"/>
      <c r="P81" s="64"/>
      <c r="Q81" s="96"/>
      <c r="R81" s="95"/>
      <c r="S81" s="64"/>
      <c r="T81" s="64"/>
      <c r="U81" s="64"/>
      <c r="V81" s="64"/>
      <c r="W81" s="64"/>
      <c r="X81" s="64"/>
      <c r="Y81" s="64"/>
      <c r="Z81" s="64"/>
      <c r="AA81" s="64"/>
      <c r="AB81" s="64"/>
      <c r="AC81" s="64"/>
      <c r="AD81" s="64"/>
      <c r="AE81" s="64"/>
      <c r="AF81" s="64"/>
      <c r="AG81" s="64"/>
      <c r="AH81" s="96"/>
      <c r="AI81" s="95"/>
      <c r="AJ81" s="64"/>
      <c r="AK81" s="64"/>
      <c r="AL81" s="64"/>
      <c r="AM81" s="64"/>
      <c r="AN81" s="64"/>
      <c r="AO81" s="64"/>
      <c r="AP81" s="64"/>
      <c r="AQ81" s="64"/>
      <c r="AR81" s="64"/>
      <c r="AS81" s="64"/>
      <c r="AT81" s="64"/>
      <c r="AU81" s="64"/>
      <c r="AV81" s="64"/>
      <c r="AW81" s="64"/>
      <c r="AX81" s="64"/>
      <c r="AY81" s="96"/>
    </row>
    <row r="82" spans="1:51" ht="12.75" customHeight="1">
      <c r="A82" s="95"/>
      <c r="B82" s="64"/>
      <c r="C82" s="64"/>
      <c r="D82" s="64"/>
      <c r="E82" s="64"/>
      <c r="F82" s="64"/>
      <c r="G82" s="64"/>
      <c r="H82" s="64"/>
      <c r="I82" s="64"/>
      <c r="J82" s="64"/>
      <c r="K82" s="64"/>
      <c r="L82" s="64"/>
      <c r="M82" s="64"/>
      <c r="N82" s="64"/>
      <c r="O82" s="64"/>
      <c r="P82" s="64"/>
      <c r="Q82" s="96"/>
      <c r="R82" s="95"/>
      <c r="S82" s="64"/>
      <c r="T82" s="64"/>
      <c r="U82" s="64"/>
      <c r="V82" s="64"/>
      <c r="W82" s="64"/>
      <c r="X82" s="64"/>
      <c r="Y82" s="64"/>
      <c r="Z82" s="64"/>
      <c r="AA82" s="64"/>
      <c r="AB82" s="64"/>
      <c r="AC82" s="64"/>
      <c r="AD82" s="64"/>
      <c r="AE82" s="64"/>
      <c r="AF82" s="64"/>
      <c r="AG82" s="64"/>
      <c r="AH82" s="96"/>
      <c r="AI82" s="95"/>
      <c r="AJ82" s="64"/>
      <c r="AK82" s="64"/>
      <c r="AL82" s="64"/>
      <c r="AM82" s="64"/>
      <c r="AN82" s="64"/>
      <c r="AO82" s="64"/>
      <c r="AP82" s="64"/>
      <c r="AQ82" s="64"/>
      <c r="AR82" s="64"/>
      <c r="AS82" s="64"/>
      <c r="AT82" s="64"/>
      <c r="AU82" s="64"/>
      <c r="AV82" s="64"/>
      <c r="AW82" s="64"/>
      <c r="AX82" s="64"/>
      <c r="AY82" s="96"/>
    </row>
    <row r="83" spans="1:51" ht="12.75" customHeight="1">
      <c r="A83" s="95"/>
      <c r="B83" s="64"/>
      <c r="C83" s="64"/>
      <c r="D83" s="64"/>
      <c r="E83" s="64"/>
      <c r="F83" s="64"/>
      <c r="G83" s="64"/>
      <c r="H83" s="64"/>
      <c r="I83" s="64"/>
      <c r="J83" s="64"/>
      <c r="K83" s="64"/>
      <c r="L83" s="64"/>
      <c r="M83" s="64"/>
      <c r="N83" s="64"/>
      <c r="O83" s="64"/>
      <c r="P83" s="64"/>
      <c r="Q83" s="96"/>
      <c r="R83" s="95"/>
      <c r="S83" s="64"/>
      <c r="T83" s="64"/>
      <c r="U83" s="64"/>
      <c r="V83" s="64"/>
      <c r="W83" s="64"/>
      <c r="X83" s="64"/>
      <c r="Y83" s="64"/>
      <c r="Z83" s="64"/>
      <c r="AA83" s="64"/>
      <c r="AB83" s="64"/>
      <c r="AC83" s="64"/>
      <c r="AD83" s="64"/>
      <c r="AE83" s="64"/>
      <c r="AF83" s="64"/>
      <c r="AG83" s="64"/>
      <c r="AH83" s="96"/>
      <c r="AI83" s="95"/>
      <c r="AJ83" s="64"/>
      <c r="AK83" s="64"/>
      <c r="AL83" s="64"/>
      <c r="AM83" s="64"/>
      <c r="AN83" s="64"/>
      <c r="AO83" s="64"/>
      <c r="AP83" s="64"/>
      <c r="AQ83" s="64"/>
      <c r="AR83" s="64"/>
      <c r="AS83" s="64"/>
      <c r="AT83" s="64"/>
      <c r="AU83" s="64"/>
      <c r="AV83" s="64"/>
      <c r="AW83" s="64"/>
      <c r="AX83" s="64"/>
      <c r="AY83" s="96"/>
    </row>
    <row r="84" spans="1:51" ht="12.75" customHeight="1">
      <c r="A84" s="95"/>
      <c r="B84" s="64"/>
      <c r="C84" s="64"/>
      <c r="D84" s="64"/>
      <c r="E84" s="64"/>
      <c r="F84" s="64"/>
      <c r="G84" s="64"/>
      <c r="H84" s="64"/>
      <c r="I84" s="64"/>
      <c r="J84" s="64"/>
      <c r="K84" s="64"/>
      <c r="L84" s="64"/>
      <c r="M84" s="64"/>
      <c r="N84" s="64"/>
      <c r="O84" s="64"/>
      <c r="P84" s="64"/>
      <c r="Q84" s="96"/>
      <c r="R84" s="95"/>
      <c r="S84" s="64"/>
      <c r="T84" s="64"/>
      <c r="U84" s="64"/>
      <c r="V84" s="64"/>
      <c r="W84" s="64"/>
      <c r="X84" s="64"/>
      <c r="Y84" s="64"/>
      <c r="Z84" s="64"/>
      <c r="AA84" s="64"/>
      <c r="AB84" s="64"/>
      <c r="AC84" s="64"/>
      <c r="AD84" s="64"/>
      <c r="AE84" s="64"/>
      <c r="AF84" s="64"/>
      <c r="AG84" s="64"/>
      <c r="AH84" s="96"/>
      <c r="AI84" s="95"/>
      <c r="AJ84" s="64"/>
      <c r="AK84" s="64"/>
      <c r="AL84" s="64"/>
      <c r="AM84" s="64"/>
      <c r="AN84" s="64"/>
      <c r="AO84" s="64"/>
      <c r="AP84" s="64"/>
      <c r="AQ84" s="64"/>
      <c r="AR84" s="64"/>
      <c r="AS84" s="64"/>
      <c r="AT84" s="64"/>
      <c r="AU84" s="64"/>
      <c r="AV84" s="64"/>
      <c r="AW84" s="64"/>
      <c r="AX84" s="64"/>
      <c r="AY84" s="96"/>
    </row>
    <row r="85" spans="1:51" ht="12.75" customHeight="1">
      <c r="A85" s="95"/>
      <c r="B85" s="64"/>
      <c r="C85" s="64"/>
      <c r="D85" s="64"/>
      <c r="E85" s="64"/>
      <c r="F85" s="64"/>
      <c r="G85" s="64"/>
      <c r="H85" s="64"/>
      <c r="I85" s="64"/>
      <c r="J85" s="64"/>
      <c r="K85" s="64"/>
      <c r="L85" s="64"/>
      <c r="M85" s="64"/>
      <c r="N85" s="64"/>
      <c r="O85" s="64"/>
      <c r="P85" s="64"/>
      <c r="Q85" s="96"/>
      <c r="R85" s="95"/>
      <c r="S85" s="64"/>
      <c r="T85" s="64"/>
      <c r="U85" s="64"/>
      <c r="V85" s="64"/>
      <c r="W85" s="64"/>
      <c r="X85" s="64"/>
      <c r="Y85" s="64"/>
      <c r="Z85" s="64"/>
      <c r="AA85" s="64"/>
      <c r="AB85" s="64"/>
      <c r="AC85" s="64"/>
      <c r="AD85" s="64"/>
      <c r="AE85" s="64"/>
      <c r="AF85" s="64"/>
      <c r="AG85" s="64"/>
      <c r="AH85" s="96"/>
      <c r="AI85" s="95"/>
      <c r="AJ85" s="64"/>
      <c r="AK85" s="64"/>
      <c r="AL85" s="64"/>
      <c r="AM85" s="64"/>
      <c r="AN85" s="64"/>
      <c r="AO85" s="64"/>
      <c r="AP85" s="64"/>
      <c r="AQ85" s="64"/>
      <c r="AR85" s="64"/>
      <c r="AS85" s="64"/>
      <c r="AT85" s="64"/>
      <c r="AU85" s="64"/>
      <c r="AV85" s="64"/>
      <c r="AW85" s="64"/>
      <c r="AX85" s="64"/>
      <c r="AY85" s="96"/>
    </row>
    <row r="86" spans="1:51" ht="12.75" customHeight="1">
      <c r="A86" s="95"/>
      <c r="B86" s="64"/>
      <c r="C86" s="64"/>
      <c r="D86" s="64"/>
      <c r="E86" s="64"/>
      <c r="F86" s="64"/>
      <c r="G86" s="64"/>
      <c r="H86" s="64"/>
      <c r="I86" s="64"/>
      <c r="J86" s="64"/>
      <c r="K86" s="64"/>
      <c r="L86" s="64"/>
      <c r="M86" s="64"/>
      <c r="N86" s="64"/>
      <c r="O86" s="64"/>
      <c r="P86" s="64"/>
      <c r="Q86" s="96"/>
      <c r="R86" s="95"/>
      <c r="S86" s="64"/>
      <c r="T86" s="64"/>
      <c r="U86" s="64"/>
      <c r="V86" s="64"/>
      <c r="W86" s="64"/>
      <c r="X86" s="64"/>
      <c r="Y86" s="64"/>
      <c r="Z86" s="64"/>
      <c r="AA86" s="64"/>
      <c r="AB86" s="64"/>
      <c r="AC86" s="64"/>
      <c r="AD86" s="64"/>
      <c r="AE86" s="64"/>
      <c r="AF86" s="64"/>
      <c r="AG86" s="64"/>
      <c r="AH86" s="96"/>
      <c r="AI86" s="95"/>
      <c r="AJ86" s="64"/>
      <c r="AK86" s="64"/>
      <c r="AL86" s="64"/>
      <c r="AM86" s="64"/>
      <c r="AN86" s="64"/>
      <c r="AO86" s="64"/>
      <c r="AP86" s="64"/>
      <c r="AQ86" s="64"/>
      <c r="AR86" s="64"/>
      <c r="AS86" s="64"/>
      <c r="AT86" s="64"/>
      <c r="AU86" s="64"/>
      <c r="AV86" s="64"/>
      <c r="AW86" s="64"/>
      <c r="AX86" s="64"/>
      <c r="AY86" s="96"/>
    </row>
    <row r="87" spans="1:51" ht="12.75" customHeight="1">
      <c r="A87" s="95"/>
      <c r="B87" s="64"/>
      <c r="C87" s="64"/>
      <c r="D87" s="64"/>
      <c r="E87" s="64"/>
      <c r="F87" s="64"/>
      <c r="G87" s="64"/>
      <c r="H87" s="64"/>
      <c r="I87" s="64"/>
      <c r="J87" s="64"/>
      <c r="K87" s="64"/>
      <c r="L87" s="64"/>
      <c r="M87" s="64"/>
      <c r="N87" s="64"/>
      <c r="O87" s="64"/>
      <c r="P87" s="64"/>
      <c r="Q87" s="96"/>
      <c r="R87" s="95"/>
      <c r="S87" s="64"/>
      <c r="T87" s="64"/>
      <c r="U87" s="64"/>
      <c r="V87" s="64"/>
      <c r="W87" s="64"/>
      <c r="X87" s="64"/>
      <c r="Y87" s="64"/>
      <c r="Z87" s="64"/>
      <c r="AA87" s="64"/>
      <c r="AB87" s="64"/>
      <c r="AC87" s="64"/>
      <c r="AD87" s="64"/>
      <c r="AE87" s="64"/>
      <c r="AF87" s="64"/>
      <c r="AG87" s="64"/>
      <c r="AH87" s="96"/>
      <c r="AI87" s="95"/>
      <c r="AJ87" s="64"/>
      <c r="AK87" s="64"/>
      <c r="AL87" s="64"/>
      <c r="AM87" s="64"/>
      <c r="AN87" s="64"/>
      <c r="AO87" s="64"/>
      <c r="AP87" s="64"/>
      <c r="AQ87" s="64"/>
      <c r="AR87" s="64"/>
      <c r="AS87" s="64"/>
      <c r="AT87" s="64"/>
      <c r="AU87" s="64"/>
      <c r="AV87" s="64"/>
      <c r="AW87" s="64"/>
      <c r="AX87" s="64"/>
      <c r="AY87" s="96"/>
    </row>
    <row r="88" spans="1:51" ht="12.75" customHeight="1">
      <c r="A88" s="95"/>
      <c r="B88" s="64"/>
      <c r="C88" s="64"/>
      <c r="D88" s="64"/>
      <c r="E88" s="64"/>
      <c r="F88" s="64"/>
      <c r="G88" s="64"/>
      <c r="H88" s="64"/>
      <c r="I88" s="64"/>
      <c r="J88" s="64"/>
      <c r="K88" s="64"/>
      <c r="L88" s="64"/>
      <c r="M88" s="64"/>
      <c r="N88" s="64"/>
      <c r="O88" s="64"/>
      <c r="P88" s="64"/>
      <c r="Q88" s="96"/>
      <c r="R88" s="95"/>
      <c r="S88" s="64"/>
      <c r="T88" s="64"/>
      <c r="U88" s="64"/>
      <c r="V88" s="64"/>
      <c r="W88" s="64"/>
      <c r="X88" s="64"/>
      <c r="Y88" s="64"/>
      <c r="Z88" s="64"/>
      <c r="AA88" s="64"/>
      <c r="AB88" s="64"/>
      <c r="AC88" s="64"/>
      <c r="AD88" s="64"/>
      <c r="AE88" s="64"/>
      <c r="AF88" s="64"/>
      <c r="AG88" s="64"/>
      <c r="AH88" s="96"/>
      <c r="AI88" s="95"/>
      <c r="AJ88" s="64"/>
      <c r="AK88" s="64"/>
      <c r="AL88" s="64"/>
      <c r="AM88" s="64"/>
      <c r="AN88" s="64"/>
      <c r="AO88" s="64"/>
      <c r="AP88" s="64"/>
      <c r="AQ88" s="64"/>
      <c r="AR88" s="64"/>
      <c r="AS88" s="64"/>
      <c r="AT88" s="64"/>
      <c r="AU88" s="64"/>
      <c r="AV88" s="64"/>
      <c r="AW88" s="64"/>
      <c r="AX88" s="64"/>
      <c r="AY88" s="96"/>
    </row>
    <row r="89" spans="1:51" ht="12.75" customHeight="1">
      <c r="A89" s="95"/>
      <c r="B89" s="64"/>
      <c r="C89" s="64"/>
      <c r="D89" s="64"/>
      <c r="E89" s="64"/>
      <c r="F89" s="64"/>
      <c r="G89" s="64"/>
      <c r="H89" s="64"/>
      <c r="I89" s="64"/>
      <c r="J89" s="64"/>
      <c r="K89" s="64"/>
      <c r="L89" s="64"/>
      <c r="M89" s="64"/>
      <c r="N89" s="64"/>
      <c r="O89" s="64"/>
      <c r="P89" s="64"/>
      <c r="Q89" s="96"/>
      <c r="R89" s="95"/>
      <c r="S89" s="64"/>
      <c r="T89" s="64"/>
      <c r="U89" s="64"/>
      <c r="V89" s="64"/>
      <c r="W89" s="64"/>
      <c r="X89" s="64"/>
      <c r="Y89" s="64"/>
      <c r="Z89" s="64"/>
      <c r="AA89" s="64"/>
      <c r="AB89" s="64"/>
      <c r="AC89" s="64"/>
      <c r="AD89" s="64"/>
      <c r="AE89" s="64"/>
      <c r="AF89" s="64"/>
      <c r="AG89" s="64"/>
      <c r="AH89" s="96"/>
      <c r="AI89" s="95"/>
      <c r="AJ89" s="64"/>
      <c r="AK89" s="64"/>
      <c r="AL89" s="64"/>
      <c r="AM89" s="64"/>
      <c r="AN89" s="64"/>
      <c r="AO89" s="64"/>
      <c r="AP89" s="64"/>
      <c r="AQ89" s="64"/>
      <c r="AR89" s="64"/>
      <c r="AS89" s="64"/>
      <c r="AT89" s="64"/>
      <c r="AU89" s="64"/>
      <c r="AV89" s="64"/>
      <c r="AW89" s="64"/>
      <c r="AX89" s="64"/>
      <c r="AY89" s="96"/>
    </row>
    <row r="90" spans="1:51" ht="12.75" customHeight="1">
      <c r="A90" s="95"/>
      <c r="B90" s="64"/>
      <c r="C90" s="64"/>
      <c r="D90" s="64"/>
      <c r="E90" s="64"/>
      <c r="F90" s="64"/>
      <c r="G90" s="64"/>
      <c r="H90" s="64"/>
      <c r="I90" s="64"/>
      <c r="J90" s="64"/>
      <c r="K90" s="64"/>
      <c r="L90" s="64"/>
      <c r="M90" s="64"/>
      <c r="N90" s="64"/>
      <c r="O90" s="64"/>
      <c r="P90" s="64"/>
      <c r="Q90" s="96"/>
      <c r="R90" s="95"/>
      <c r="S90" s="64"/>
      <c r="T90" s="64"/>
      <c r="U90" s="64"/>
      <c r="V90" s="64"/>
      <c r="W90" s="64"/>
      <c r="X90" s="64"/>
      <c r="Y90" s="64"/>
      <c r="Z90" s="64"/>
      <c r="AA90" s="64"/>
      <c r="AB90" s="64"/>
      <c r="AC90" s="64"/>
      <c r="AD90" s="64"/>
      <c r="AE90" s="64"/>
      <c r="AF90" s="64"/>
      <c r="AG90" s="64"/>
      <c r="AH90" s="96"/>
      <c r="AI90" s="95"/>
      <c r="AJ90" s="64"/>
      <c r="AK90" s="64"/>
      <c r="AL90" s="64"/>
      <c r="AM90" s="64"/>
      <c r="AN90" s="64"/>
      <c r="AO90" s="64"/>
      <c r="AP90" s="64"/>
      <c r="AQ90" s="64"/>
      <c r="AR90" s="64"/>
      <c r="AS90" s="64"/>
      <c r="AT90" s="64"/>
      <c r="AU90" s="64"/>
      <c r="AV90" s="64"/>
      <c r="AW90" s="64"/>
      <c r="AX90" s="64"/>
      <c r="AY90" s="96"/>
    </row>
    <row r="91" spans="1:51" ht="12.75" customHeight="1">
      <c r="A91" s="95"/>
      <c r="B91" s="64"/>
      <c r="C91" s="64"/>
      <c r="D91" s="64"/>
      <c r="E91" s="64"/>
      <c r="F91" s="64"/>
      <c r="G91" s="64"/>
      <c r="H91" s="64"/>
      <c r="I91" s="64"/>
      <c r="J91" s="64"/>
      <c r="K91" s="64"/>
      <c r="L91" s="64"/>
      <c r="M91" s="64"/>
      <c r="N91" s="64"/>
      <c r="O91" s="64"/>
      <c r="P91" s="64"/>
      <c r="Q91" s="96"/>
      <c r="R91" s="95"/>
      <c r="S91" s="64"/>
      <c r="T91" s="64"/>
      <c r="U91" s="64"/>
      <c r="V91" s="64"/>
      <c r="W91" s="64"/>
      <c r="X91" s="64"/>
      <c r="Y91" s="64"/>
      <c r="Z91" s="64"/>
      <c r="AA91" s="64"/>
      <c r="AB91" s="64"/>
      <c r="AC91" s="64"/>
      <c r="AD91" s="64"/>
      <c r="AE91" s="64"/>
      <c r="AF91" s="64"/>
      <c r="AG91" s="64"/>
      <c r="AH91" s="96"/>
      <c r="AI91" s="95"/>
      <c r="AJ91" s="64"/>
      <c r="AK91" s="64"/>
      <c r="AL91" s="64"/>
      <c r="AM91" s="64"/>
      <c r="AN91" s="64"/>
      <c r="AO91" s="64"/>
      <c r="AP91" s="64"/>
      <c r="AQ91" s="64"/>
      <c r="AR91" s="64"/>
      <c r="AS91" s="64"/>
      <c r="AT91" s="64"/>
      <c r="AU91" s="64"/>
      <c r="AV91" s="64"/>
      <c r="AW91" s="64"/>
      <c r="AX91" s="64"/>
      <c r="AY91" s="96"/>
    </row>
    <row r="92" spans="1:51" ht="12.75" customHeight="1">
      <c r="A92" s="95"/>
      <c r="B92" s="64"/>
      <c r="C92" s="64"/>
      <c r="D92" s="64"/>
      <c r="E92" s="64"/>
      <c r="F92" s="64"/>
      <c r="G92" s="64"/>
      <c r="H92" s="64"/>
      <c r="I92" s="64"/>
      <c r="J92" s="64"/>
      <c r="K92" s="64"/>
      <c r="L92" s="64"/>
      <c r="M92" s="64"/>
      <c r="N92" s="64"/>
      <c r="O92" s="64"/>
      <c r="P92" s="64"/>
      <c r="Q92" s="96"/>
      <c r="R92" s="95"/>
      <c r="S92" s="64"/>
      <c r="T92" s="64"/>
      <c r="U92" s="64"/>
      <c r="V92" s="64"/>
      <c r="W92" s="64"/>
      <c r="X92" s="64"/>
      <c r="Y92" s="64"/>
      <c r="Z92" s="64"/>
      <c r="AA92" s="64"/>
      <c r="AB92" s="64"/>
      <c r="AC92" s="64"/>
      <c r="AD92" s="64"/>
      <c r="AE92" s="64"/>
      <c r="AF92" s="64"/>
      <c r="AG92" s="64"/>
      <c r="AH92" s="96"/>
      <c r="AI92" s="95"/>
      <c r="AJ92" s="64"/>
      <c r="AK92" s="64"/>
      <c r="AL92" s="64"/>
      <c r="AM92" s="64"/>
      <c r="AN92" s="64"/>
      <c r="AO92" s="64"/>
      <c r="AP92" s="64"/>
      <c r="AQ92" s="64"/>
      <c r="AR92" s="64"/>
      <c r="AS92" s="64"/>
      <c r="AT92" s="64"/>
      <c r="AU92" s="64"/>
      <c r="AV92" s="64"/>
      <c r="AW92" s="64"/>
      <c r="AX92" s="64"/>
      <c r="AY92" s="96"/>
    </row>
    <row r="93" spans="1:51" ht="12.75" customHeight="1">
      <c r="A93" s="95"/>
      <c r="B93" s="64"/>
      <c r="C93" s="64"/>
      <c r="D93" s="64"/>
      <c r="E93" s="64"/>
      <c r="F93" s="64"/>
      <c r="G93" s="64"/>
      <c r="H93" s="64"/>
      <c r="I93" s="64"/>
      <c r="J93" s="64"/>
      <c r="K93" s="64"/>
      <c r="L93" s="64"/>
      <c r="M93" s="64"/>
      <c r="N93" s="64"/>
      <c r="O93" s="64"/>
      <c r="P93" s="64"/>
      <c r="Q93" s="96"/>
      <c r="R93" s="95"/>
      <c r="S93" s="64"/>
      <c r="T93" s="64"/>
      <c r="U93" s="64"/>
      <c r="V93" s="64"/>
      <c r="W93" s="64"/>
      <c r="X93" s="64"/>
      <c r="Y93" s="64"/>
      <c r="Z93" s="64"/>
      <c r="AA93" s="64"/>
      <c r="AB93" s="64"/>
      <c r="AC93" s="64"/>
      <c r="AD93" s="64"/>
      <c r="AE93" s="64"/>
      <c r="AF93" s="64"/>
      <c r="AG93" s="64"/>
      <c r="AH93" s="96"/>
      <c r="AI93" s="95"/>
      <c r="AJ93" s="64"/>
      <c r="AK93" s="64"/>
      <c r="AL93" s="64"/>
      <c r="AM93" s="64"/>
      <c r="AN93" s="64"/>
      <c r="AO93" s="64"/>
      <c r="AP93" s="64"/>
      <c r="AQ93" s="64"/>
      <c r="AR93" s="64"/>
      <c r="AS93" s="64"/>
      <c r="AT93" s="64"/>
      <c r="AU93" s="64"/>
      <c r="AV93" s="64"/>
      <c r="AW93" s="64"/>
      <c r="AX93" s="64"/>
      <c r="AY93" s="96"/>
    </row>
    <row r="94" spans="1:51" ht="12.75" customHeight="1">
      <c r="A94" s="95"/>
      <c r="B94" s="64"/>
      <c r="C94" s="64"/>
      <c r="D94" s="64"/>
      <c r="E94" s="64"/>
      <c r="F94" s="64"/>
      <c r="G94" s="64"/>
      <c r="H94" s="64"/>
      <c r="I94" s="64"/>
      <c r="J94" s="64"/>
      <c r="K94" s="64"/>
      <c r="L94" s="64"/>
      <c r="M94" s="64"/>
      <c r="N94" s="64"/>
      <c r="O94" s="64"/>
      <c r="P94" s="64"/>
      <c r="Q94" s="96"/>
      <c r="R94" s="95"/>
      <c r="S94" s="64"/>
      <c r="T94" s="64"/>
      <c r="U94" s="64"/>
      <c r="V94" s="64"/>
      <c r="W94" s="64"/>
      <c r="X94" s="64"/>
      <c r="Y94" s="64"/>
      <c r="Z94" s="64"/>
      <c r="AA94" s="64"/>
      <c r="AB94" s="64"/>
      <c r="AC94" s="64"/>
      <c r="AD94" s="64"/>
      <c r="AE94" s="64"/>
      <c r="AF94" s="64"/>
      <c r="AG94" s="64"/>
      <c r="AH94" s="96"/>
      <c r="AI94" s="95"/>
      <c r="AJ94" s="64"/>
      <c r="AK94" s="64"/>
      <c r="AL94" s="64"/>
      <c r="AM94" s="64"/>
      <c r="AN94" s="64"/>
      <c r="AO94" s="64"/>
      <c r="AP94" s="64"/>
      <c r="AQ94" s="64"/>
      <c r="AR94" s="64"/>
      <c r="AS94" s="64"/>
      <c r="AT94" s="64"/>
      <c r="AU94" s="64"/>
      <c r="AV94" s="64"/>
      <c r="AW94" s="64"/>
      <c r="AX94" s="64"/>
      <c r="AY94" s="96"/>
    </row>
    <row r="95" spans="1:51" ht="12.75" customHeight="1">
      <c r="A95" s="95"/>
      <c r="B95" s="64"/>
      <c r="C95" s="64"/>
      <c r="D95" s="64"/>
      <c r="E95" s="64"/>
      <c r="F95" s="64"/>
      <c r="G95" s="64"/>
      <c r="H95" s="64"/>
      <c r="I95" s="64"/>
      <c r="J95" s="64"/>
      <c r="K95" s="64"/>
      <c r="L95" s="64"/>
      <c r="M95" s="64"/>
      <c r="N95" s="64"/>
      <c r="O95" s="64"/>
      <c r="P95" s="64"/>
      <c r="Q95" s="96"/>
      <c r="R95" s="95"/>
      <c r="S95" s="64"/>
      <c r="T95" s="64"/>
      <c r="U95" s="64"/>
      <c r="V95" s="64"/>
      <c r="W95" s="64"/>
      <c r="X95" s="64"/>
      <c r="Y95" s="64"/>
      <c r="Z95" s="64"/>
      <c r="AA95" s="64"/>
      <c r="AB95" s="64"/>
      <c r="AC95" s="64"/>
      <c r="AD95" s="64"/>
      <c r="AE95" s="64"/>
      <c r="AF95" s="64"/>
      <c r="AG95" s="64"/>
      <c r="AH95" s="96"/>
      <c r="AI95" s="95"/>
      <c r="AJ95" s="64"/>
      <c r="AK95" s="64"/>
      <c r="AL95" s="64"/>
      <c r="AM95" s="64"/>
      <c r="AN95" s="64"/>
      <c r="AO95" s="64"/>
      <c r="AP95" s="64"/>
      <c r="AQ95" s="64"/>
      <c r="AR95" s="64"/>
      <c r="AS95" s="64"/>
      <c r="AT95" s="64"/>
      <c r="AU95" s="64"/>
      <c r="AV95" s="64"/>
      <c r="AW95" s="64"/>
      <c r="AX95" s="64"/>
      <c r="AY95" s="96"/>
    </row>
    <row r="96" spans="1:51" ht="12.75" customHeight="1">
      <c r="A96" s="95"/>
      <c r="B96" s="64"/>
      <c r="C96" s="64"/>
      <c r="D96" s="64"/>
      <c r="E96" s="64"/>
      <c r="F96" s="64"/>
      <c r="G96" s="64"/>
      <c r="H96" s="64"/>
      <c r="I96" s="64"/>
      <c r="J96" s="64"/>
      <c r="K96" s="64"/>
      <c r="L96" s="64"/>
      <c r="M96" s="64"/>
      <c r="N96" s="64"/>
      <c r="O96" s="64"/>
      <c r="P96" s="64"/>
      <c r="Q96" s="96"/>
      <c r="R96" s="95"/>
      <c r="S96" s="64"/>
      <c r="T96" s="64"/>
      <c r="U96" s="64"/>
      <c r="V96" s="64"/>
      <c r="W96" s="64"/>
      <c r="X96" s="64"/>
      <c r="Y96" s="64"/>
      <c r="Z96" s="64"/>
      <c r="AA96" s="64"/>
      <c r="AB96" s="64"/>
      <c r="AC96" s="64"/>
      <c r="AD96" s="64"/>
      <c r="AE96" s="64"/>
      <c r="AF96" s="64"/>
      <c r="AG96" s="64"/>
      <c r="AH96" s="96"/>
      <c r="AI96" s="95"/>
      <c r="AJ96" s="64"/>
      <c r="AK96" s="64"/>
      <c r="AL96" s="64"/>
      <c r="AM96" s="64"/>
      <c r="AN96" s="64"/>
      <c r="AO96" s="64"/>
      <c r="AP96" s="64"/>
      <c r="AQ96" s="64"/>
      <c r="AR96" s="64"/>
      <c r="AS96" s="64"/>
      <c r="AT96" s="64"/>
      <c r="AU96" s="64"/>
      <c r="AV96" s="64"/>
      <c r="AW96" s="64"/>
      <c r="AX96" s="64"/>
      <c r="AY96" s="96"/>
    </row>
    <row r="97" spans="1:51" ht="12.75" customHeight="1">
      <c r="A97" s="95"/>
      <c r="B97" s="64"/>
      <c r="C97" s="64"/>
      <c r="D97" s="64"/>
      <c r="E97" s="64"/>
      <c r="F97" s="64"/>
      <c r="G97" s="64"/>
      <c r="H97" s="64"/>
      <c r="I97" s="64"/>
      <c r="J97" s="64"/>
      <c r="K97" s="64"/>
      <c r="L97" s="64"/>
      <c r="M97" s="64"/>
      <c r="N97" s="64"/>
      <c r="O97" s="64"/>
      <c r="P97" s="64"/>
      <c r="Q97" s="96"/>
      <c r="R97" s="95"/>
      <c r="S97" s="64"/>
      <c r="T97" s="64"/>
      <c r="U97" s="64"/>
      <c r="V97" s="64"/>
      <c r="W97" s="64"/>
      <c r="X97" s="64"/>
      <c r="Y97" s="64"/>
      <c r="Z97" s="64"/>
      <c r="AA97" s="64"/>
      <c r="AB97" s="64"/>
      <c r="AC97" s="64"/>
      <c r="AD97" s="64"/>
      <c r="AE97" s="64"/>
      <c r="AF97" s="64"/>
      <c r="AG97" s="64"/>
      <c r="AH97" s="96"/>
      <c r="AI97" s="95"/>
      <c r="AJ97" s="64"/>
      <c r="AK97" s="64"/>
      <c r="AL97" s="64"/>
      <c r="AM97" s="64"/>
      <c r="AN97" s="64"/>
      <c r="AO97" s="64"/>
      <c r="AP97" s="64"/>
      <c r="AQ97" s="64"/>
      <c r="AR97" s="64"/>
      <c r="AS97" s="64"/>
      <c r="AT97" s="64"/>
      <c r="AU97" s="64"/>
      <c r="AV97" s="64"/>
      <c r="AW97" s="64"/>
      <c r="AX97" s="64"/>
      <c r="AY97" s="96"/>
    </row>
    <row r="98" spans="1:51" ht="12.75" customHeight="1">
      <c r="A98" s="95"/>
      <c r="B98" s="64"/>
      <c r="C98" s="64"/>
      <c r="D98" s="64"/>
      <c r="E98" s="64"/>
      <c r="F98" s="64"/>
      <c r="G98" s="64"/>
      <c r="H98" s="64"/>
      <c r="I98" s="64"/>
      <c r="J98" s="64"/>
      <c r="K98" s="64"/>
      <c r="L98" s="64"/>
      <c r="M98" s="64"/>
      <c r="N98" s="64"/>
      <c r="O98" s="64"/>
      <c r="P98" s="64"/>
      <c r="Q98" s="96"/>
      <c r="R98" s="95"/>
      <c r="S98" s="64"/>
      <c r="T98" s="64"/>
      <c r="U98" s="64"/>
      <c r="V98" s="64"/>
      <c r="W98" s="64"/>
      <c r="X98" s="64"/>
      <c r="Y98" s="64"/>
      <c r="Z98" s="64"/>
      <c r="AA98" s="64"/>
      <c r="AB98" s="64"/>
      <c r="AC98" s="64"/>
      <c r="AD98" s="64"/>
      <c r="AE98" s="64"/>
      <c r="AF98" s="64"/>
      <c r="AG98" s="64"/>
      <c r="AH98" s="96"/>
      <c r="AI98" s="95"/>
      <c r="AJ98" s="64"/>
      <c r="AK98" s="64"/>
      <c r="AL98" s="64"/>
      <c r="AM98" s="64"/>
      <c r="AN98" s="64"/>
      <c r="AO98" s="64"/>
      <c r="AP98" s="64"/>
      <c r="AQ98" s="64"/>
      <c r="AR98" s="64"/>
      <c r="AS98" s="64"/>
      <c r="AT98" s="64"/>
      <c r="AU98" s="64"/>
      <c r="AV98" s="64"/>
      <c r="AW98" s="64"/>
      <c r="AX98" s="64"/>
      <c r="AY98" s="96"/>
    </row>
    <row r="99" spans="1:51" ht="12.75" customHeight="1">
      <c r="A99" s="95"/>
      <c r="B99" s="64"/>
      <c r="C99" s="64"/>
      <c r="D99" s="64"/>
      <c r="E99" s="64"/>
      <c r="F99" s="64"/>
      <c r="G99" s="64"/>
      <c r="H99" s="64"/>
      <c r="I99" s="64"/>
      <c r="J99" s="64"/>
      <c r="K99" s="64"/>
      <c r="L99" s="64"/>
      <c r="M99" s="64"/>
      <c r="N99" s="64"/>
      <c r="O99" s="64"/>
      <c r="P99" s="64"/>
      <c r="Q99" s="96"/>
      <c r="R99" s="95"/>
      <c r="S99" s="64"/>
      <c r="T99" s="64"/>
      <c r="U99" s="64"/>
      <c r="V99" s="64"/>
      <c r="W99" s="64"/>
      <c r="X99" s="64"/>
      <c r="Y99" s="64"/>
      <c r="Z99" s="64"/>
      <c r="AA99" s="64"/>
      <c r="AB99" s="64"/>
      <c r="AC99" s="64"/>
      <c r="AD99" s="64"/>
      <c r="AE99" s="64"/>
      <c r="AF99" s="64"/>
      <c r="AG99" s="64"/>
      <c r="AH99" s="96"/>
      <c r="AI99" s="95"/>
      <c r="AJ99" s="64"/>
      <c r="AK99" s="64"/>
      <c r="AL99" s="64"/>
      <c r="AM99" s="64"/>
      <c r="AN99" s="64"/>
      <c r="AO99" s="64"/>
      <c r="AP99" s="64"/>
      <c r="AQ99" s="64"/>
      <c r="AR99" s="64"/>
      <c r="AS99" s="64"/>
      <c r="AT99" s="64"/>
      <c r="AU99" s="64"/>
      <c r="AV99" s="64"/>
      <c r="AW99" s="64"/>
      <c r="AX99" s="64"/>
      <c r="AY99" s="96"/>
    </row>
    <row r="100" spans="1:51" ht="12.75" customHeight="1">
      <c r="A100" s="95"/>
      <c r="B100" s="64"/>
      <c r="C100" s="64"/>
      <c r="D100" s="64"/>
      <c r="E100" s="64"/>
      <c r="F100" s="64"/>
      <c r="G100" s="64"/>
      <c r="H100" s="64"/>
      <c r="I100" s="64"/>
      <c r="J100" s="64"/>
      <c r="K100" s="64"/>
      <c r="L100" s="64"/>
      <c r="M100" s="64"/>
      <c r="N100" s="64"/>
      <c r="O100" s="64"/>
      <c r="P100" s="64"/>
      <c r="Q100" s="96"/>
      <c r="R100" s="95"/>
      <c r="S100" s="64"/>
      <c r="T100" s="64"/>
      <c r="U100" s="64"/>
      <c r="V100" s="64"/>
      <c r="W100" s="64"/>
      <c r="X100" s="64"/>
      <c r="Y100" s="64"/>
      <c r="Z100" s="64"/>
      <c r="AA100" s="64"/>
      <c r="AB100" s="64"/>
      <c r="AC100" s="64"/>
      <c r="AD100" s="64"/>
      <c r="AE100" s="64"/>
      <c r="AF100" s="64"/>
      <c r="AG100" s="64"/>
      <c r="AH100" s="96"/>
      <c r="AI100" s="95"/>
      <c r="AJ100" s="64"/>
      <c r="AK100" s="64"/>
      <c r="AL100" s="64"/>
      <c r="AM100" s="64"/>
      <c r="AN100" s="64"/>
      <c r="AO100" s="64"/>
      <c r="AP100" s="64"/>
      <c r="AQ100" s="64"/>
      <c r="AR100" s="64"/>
      <c r="AS100" s="64"/>
      <c r="AT100" s="64"/>
      <c r="AU100" s="64"/>
      <c r="AV100" s="64"/>
      <c r="AW100" s="64"/>
      <c r="AX100" s="64"/>
      <c r="AY100" s="96"/>
    </row>
    <row r="101" spans="1:51" ht="12.75" customHeight="1">
      <c r="A101" s="95"/>
      <c r="B101" s="64"/>
      <c r="C101" s="64"/>
      <c r="D101" s="64"/>
      <c r="E101" s="64"/>
      <c r="F101" s="64"/>
      <c r="G101" s="64"/>
      <c r="H101" s="64"/>
      <c r="I101" s="64"/>
      <c r="J101" s="64"/>
      <c r="K101" s="64"/>
      <c r="L101" s="64"/>
      <c r="M101" s="64"/>
      <c r="N101" s="64"/>
      <c r="O101" s="64"/>
      <c r="P101" s="64"/>
      <c r="Q101" s="96"/>
      <c r="R101" s="95"/>
      <c r="S101" s="64"/>
      <c r="T101" s="64"/>
      <c r="U101" s="64"/>
      <c r="V101" s="64"/>
      <c r="W101" s="64"/>
      <c r="X101" s="64"/>
      <c r="Y101" s="64"/>
      <c r="Z101" s="64"/>
      <c r="AA101" s="64"/>
      <c r="AB101" s="64"/>
      <c r="AC101" s="64"/>
      <c r="AD101" s="64"/>
      <c r="AE101" s="64"/>
      <c r="AF101" s="64"/>
      <c r="AG101" s="64"/>
      <c r="AH101" s="96"/>
      <c r="AI101" s="95"/>
      <c r="AJ101" s="64"/>
      <c r="AK101" s="64"/>
      <c r="AL101" s="64"/>
      <c r="AM101" s="64"/>
      <c r="AN101" s="64"/>
      <c r="AO101" s="64"/>
      <c r="AP101" s="64"/>
      <c r="AQ101" s="64"/>
      <c r="AR101" s="64"/>
      <c r="AS101" s="64"/>
      <c r="AT101" s="64"/>
      <c r="AU101" s="64"/>
      <c r="AV101" s="64"/>
      <c r="AW101" s="64"/>
      <c r="AX101" s="64"/>
      <c r="AY101" s="96"/>
    </row>
    <row r="102" spans="1:51" ht="12.75" customHeight="1">
      <c r="A102" s="95"/>
      <c r="B102" s="64"/>
      <c r="C102" s="64"/>
      <c r="D102" s="64"/>
      <c r="E102" s="64"/>
      <c r="F102" s="64"/>
      <c r="G102" s="64"/>
      <c r="H102" s="64"/>
      <c r="I102" s="64"/>
      <c r="J102" s="64"/>
      <c r="K102" s="64"/>
      <c r="L102" s="64"/>
      <c r="M102" s="64"/>
      <c r="N102" s="64"/>
      <c r="O102" s="64"/>
      <c r="P102" s="64"/>
      <c r="Q102" s="96"/>
      <c r="R102" s="95"/>
      <c r="S102" s="64"/>
      <c r="T102" s="64"/>
      <c r="U102" s="64"/>
      <c r="V102" s="64"/>
      <c r="W102" s="64"/>
      <c r="X102" s="64"/>
      <c r="Y102" s="64"/>
      <c r="Z102" s="64"/>
      <c r="AA102" s="64"/>
      <c r="AB102" s="64"/>
      <c r="AC102" s="64"/>
      <c r="AD102" s="64"/>
      <c r="AE102" s="64"/>
      <c r="AF102" s="64"/>
      <c r="AG102" s="64"/>
      <c r="AH102" s="96"/>
      <c r="AI102" s="95"/>
      <c r="AJ102" s="64"/>
      <c r="AK102" s="64"/>
      <c r="AL102" s="64"/>
      <c r="AM102" s="64"/>
      <c r="AN102" s="64"/>
      <c r="AO102" s="64"/>
      <c r="AP102" s="64"/>
      <c r="AQ102" s="64"/>
      <c r="AR102" s="64"/>
      <c r="AS102" s="64"/>
      <c r="AT102" s="64"/>
      <c r="AU102" s="64"/>
      <c r="AV102" s="64"/>
      <c r="AW102" s="64"/>
      <c r="AX102" s="64"/>
      <c r="AY102" s="96"/>
    </row>
    <row r="103" spans="1:51" ht="12.75" customHeight="1">
      <c r="A103" s="95"/>
      <c r="B103" s="64"/>
      <c r="C103" s="64"/>
      <c r="D103" s="64"/>
      <c r="E103" s="64"/>
      <c r="F103" s="64"/>
      <c r="G103" s="64"/>
      <c r="H103" s="64"/>
      <c r="I103" s="64"/>
      <c r="J103" s="64"/>
      <c r="K103" s="64"/>
      <c r="L103" s="64"/>
      <c r="M103" s="64"/>
      <c r="N103" s="64"/>
      <c r="O103" s="64"/>
      <c r="P103" s="64"/>
      <c r="Q103" s="96"/>
      <c r="R103" s="95"/>
      <c r="S103" s="64"/>
      <c r="T103" s="64"/>
      <c r="U103" s="64"/>
      <c r="V103" s="64"/>
      <c r="W103" s="64"/>
      <c r="X103" s="64"/>
      <c r="Y103" s="64"/>
      <c r="Z103" s="64"/>
      <c r="AA103" s="64"/>
      <c r="AB103" s="64"/>
      <c r="AC103" s="64"/>
      <c r="AD103" s="64"/>
      <c r="AE103" s="64"/>
      <c r="AF103" s="64"/>
      <c r="AG103" s="64"/>
      <c r="AH103" s="96"/>
      <c r="AI103" s="95"/>
      <c r="AJ103" s="64"/>
      <c r="AK103" s="64"/>
      <c r="AL103" s="64"/>
      <c r="AM103" s="64"/>
      <c r="AN103" s="64"/>
      <c r="AO103" s="64"/>
      <c r="AP103" s="64"/>
      <c r="AQ103" s="64"/>
      <c r="AR103" s="64"/>
      <c r="AS103" s="64"/>
      <c r="AT103" s="64"/>
      <c r="AU103" s="64"/>
      <c r="AV103" s="64"/>
      <c r="AW103" s="64"/>
      <c r="AX103" s="64"/>
      <c r="AY103" s="96"/>
    </row>
    <row r="104" spans="1:51" ht="12.75" customHeight="1">
      <c r="A104" s="95"/>
      <c r="B104" s="64"/>
      <c r="C104" s="64"/>
      <c r="D104" s="64"/>
      <c r="E104" s="64"/>
      <c r="F104" s="64"/>
      <c r="G104" s="64"/>
      <c r="H104" s="64"/>
      <c r="I104" s="64"/>
      <c r="J104" s="64"/>
      <c r="K104" s="64"/>
      <c r="L104" s="64"/>
      <c r="M104" s="64"/>
      <c r="N104" s="64"/>
      <c r="O104" s="64"/>
      <c r="P104" s="64"/>
      <c r="Q104" s="96"/>
      <c r="R104" s="95"/>
      <c r="S104" s="64"/>
      <c r="T104" s="64"/>
      <c r="U104" s="64"/>
      <c r="V104" s="64"/>
      <c r="W104" s="64"/>
      <c r="X104" s="64"/>
      <c r="Y104" s="64"/>
      <c r="Z104" s="64"/>
      <c r="AA104" s="64"/>
      <c r="AB104" s="64"/>
      <c r="AC104" s="64"/>
      <c r="AD104" s="64"/>
      <c r="AE104" s="64"/>
      <c r="AF104" s="64"/>
      <c r="AG104" s="64"/>
      <c r="AH104" s="96"/>
      <c r="AI104" s="95"/>
      <c r="AJ104" s="64"/>
      <c r="AK104" s="64"/>
      <c r="AL104" s="64"/>
      <c r="AM104" s="64"/>
      <c r="AN104" s="64"/>
      <c r="AO104" s="64"/>
      <c r="AP104" s="64"/>
      <c r="AQ104" s="64"/>
      <c r="AR104" s="64"/>
      <c r="AS104" s="64"/>
      <c r="AT104" s="64"/>
      <c r="AU104" s="64"/>
      <c r="AV104" s="64"/>
      <c r="AW104" s="64"/>
      <c r="AX104" s="64"/>
      <c r="AY104" s="96"/>
    </row>
    <row r="105" spans="1:51" ht="12.75" customHeight="1">
      <c r="A105" s="95"/>
      <c r="B105" s="64"/>
      <c r="C105" s="64"/>
      <c r="D105" s="64"/>
      <c r="E105" s="64"/>
      <c r="F105" s="64"/>
      <c r="G105" s="64"/>
      <c r="H105" s="64"/>
      <c r="I105" s="64"/>
      <c r="J105" s="64"/>
      <c r="K105" s="64"/>
      <c r="L105" s="64"/>
      <c r="M105" s="64"/>
      <c r="N105" s="64"/>
      <c r="O105" s="64"/>
      <c r="P105" s="64"/>
      <c r="Q105" s="96"/>
      <c r="R105" s="95"/>
      <c r="S105" s="64"/>
      <c r="T105" s="64"/>
      <c r="U105" s="64"/>
      <c r="V105" s="64"/>
      <c r="W105" s="64"/>
      <c r="X105" s="64"/>
      <c r="Y105" s="64"/>
      <c r="Z105" s="64"/>
      <c r="AA105" s="64"/>
      <c r="AB105" s="64"/>
      <c r="AC105" s="64"/>
      <c r="AD105" s="64"/>
      <c r="AE105" s="64"/>
      <c r="AF105" s="64"/>
      <c r="AG105" s="64"/>
      <c r="AH105" s="96"/>
      <c r="AI105" s="95"/>
      <c r="AJ105" s="64"/>
      <c r="AK105" s="64"/>
      <c r="AL105" s="64"/>
      <c r="AM105" s="64"/>
      <c r="AN105" s="64"/>
      <c r="AO105" s="64"/>
      <c r="AP105" s="64"/>
      <c r="AQ105" s="64"/>
      <c r="AR105" s="64"/>
      <c r="AS105" s="64"/>
      <c r="AT105" s="64"/>
      <c r="AU105" s="64"/>
      <c r="AV105" s="64"/>
      <c r="AW105" s="64"/>
      <c r="AX105" s="64"/>
      <c r="AY105" s="96"/>
    </row>
    <row r="106" spans="1:51" ht="12.75" customHeight="1">
      <c r="A106" s="95"/>
      <c r="B106" s="64"/>
      <c r="C106" s="64"/>
      <c r="D106" s="64"/>
      <c r="E106" s="64"/>
      <c r="F106" s="64"/>
      <c r="G106" s="64"/>
      <c r="H106" s="64"/>
      <c r="I106" s="64"/>
      <c r="J106" s="64"/>
      <c r="K106" s="64"/>
      <c r="L106" s="64"/>
      <c r="M106" s="64"/>
      <c r="N106" s="64"/>
      <c r="O106" s="64"/>
      <c r="P106" s="64"/>
      <c r="Q106" s="96"/>
      <c r="R106" s="95"/>
      <c r="S106" s="64"/>
      <c r="T106" s="64"/>
      <c r="U106" s="64"/>
      <c r="V106" s="64"/>
      <c r="W106" s="64"/>
      <c r="X106" s="64"/>
      <c r="Y106" s="64"/>
      <c r="Z106" s="64"/>
      <c r="AA106" s="64"/>
      <c r="AB106" s="64"/>
      <c r="AC106" s="64"/>
      <c r="AD106" s="64"/>
      <c r="AE106" s="64"/>
      <c r="AF106" s="64"/>
      <c r="AG106" s="64"/>
      <c r="AH106" s="96"/>
      <c r="AI106" s="95"/>
      <c r="AJ106" s="64"/>
      <c r="AK106" s="64"/>
      <c r="AL106" s="64"/>
      <c r="AM106" s="64"/>
      <c r="AN106" s="64"/>
      <c r="AO106" s="64"/>
      <c r="AP106" s="64"/>
      <c r="AQ106" s="64"/>
      <c r="AR106" s="64"/>
      <c r="AS106" s="64"/>
      <c r="AT106" s="64"/>
      <c r="AU106" s="64"/>
      <c r="AV106" s="64"/>
      <c r="AW106" s="64"/>
      <c r="AX106" s="64"/>
      <c r="AY106" s="96"/>
    </row>
    <row r="107" spans="1:51" ht="12.75" customHeight="1">
      <c r="A107" s="95"/>
      <c r="B107" s="64"/>
      <c r="C107" s="64"/>
      <c r="D107" s="64"/>
      <c r="E107" s="64"/>
      <c r="F107" s="64"/>
      <c r="G107" s="64"/>
      <c r="H107" s="64"/>
      <c r="I107" s="64"/>
      <c r="J107" s="64"/>
      <c r="K107" s="64"/>
      <c r="L107" s="64"/>
      <c r="M107" s="64"/>
      <c r="N107" s="64"/>
      <c r="O107" s="64"/>
      <c r="P107" s="64"/>
      <c r="Q107" s="96"/>
      <c r="R107" s="95"/>
      <c r="S107" s="64"/>
      <c r="T107" s="64"/>
      <c r="U107" s="64"/>
      <c r="V107" s="64"/>
      <c r="W107" s="64"/>
      <c r="X107" s="64"/>
      <c r="Y107" s="64"/>
      <c r="Z107" s="64"/>
      <c r="AA107" s="64"/>
      <c r="AB107" s="64"/>
      <c r="AC107" s="64"/>
      <c r="AD107" s="64"/>
      <c r="AE107" s="64"/>
      <c r="AF107" s="64"/>
      <c r="AG107" s="64"/>
      <c r="AH107" s="96"/>
      <c r="AI107" s="95"/>
      <c r="AJ107" s="64"/>
      <c r="AK107" s="64"/>
      <c r="AL107" s="64"/>
      <c r="AM107" s="64"/>
      <c r="AN107" s="64"/>
      <c r="AO107" s="64"/>
      <c r="AP107" s="64"/>
      <c r="AQ107" s="64"/>
      <c r="AR107" s="64"/>
      <c r="AS107" s="64"/>
      <c r="AT107" s="64"/>
      <c r="AU107" s="64"/>
      <c r="AV107" s="64"/>
      <c r="AW107" s="64"/>
      <c r="AX107" s="64"/>
      <c r="AY107" s="96"/>
    </row>
    <row r="108" spans="1:51" ht="12.75" customHeight="1">
      <c r="A108" s="95"/>
      <c r="B108" s="64"/>
      <c r="C108" s="64"/>
      <c r="D108" s="64"/>
      <c r="E108" s="64"/>
      <c r="F108" s="64"/>
      <c r="G108" s="64"/>
      <c r="H108" s="64"/>
      <c r="I108" s="64"/>
      <c r="J108" s="64"/>
      <c r="K108" s="64"/>
      <c r="L108" s="64"/>
      <c r="M108" s="64"/>
      <c r="N108" s="64"/>
      <c r="O108" s="64"/>
      <c r="P108" s="64"/>
      <c r="Q108" s="96"/>
      <c r="R108" s="95"/>
      <c r="S108" s="64"/>
      <c r="T108" s="64"/>
      <c r="U108" s="64"/>
      <c r="V108" s="64"/>
      <c r="W108" s="64"/>
      <c r="X108" s="64"/>
      <c r="Y108" s="64"/>
      <c r="Z108" s="64"/>
      <c r="AA108" s="64"/>
      <c r="AB108" s="64"/>
      <c r="AC108" s="64"/>
      <c r="AD108" s="64"/>
      <c r="AE108" s="64"/>
      <c r="AF108" s="64"/>
      <c r="AG108" s="64"/>
      <c r="AH108" s="96"/>
      <c r="AI108" s="95"/>
      <c r="AJ108" s="64"/>
      <c r="AK108" s="64"/>
      <c r="AL108" s="64"/>
      <c r="AM108" s="64"/>
      <c r="AN108" s="64"/>
      <c r="AO108" s="64"/>
      <c r="AP108" s="64"/>
      <c r="AQ108" s="64"/>
      <c r="AR108" s="64"/>
      <c r="AS108" s="64"/>
      <c r="AT108" s="64"/>
      <c r="AU108" s="64"/>
      <c r="AV108" s="64"/>
      <c r="AW108" s="64"/>
      <c r="AX108" s="64"/>
      <c r="AY108" s="96"/>
    </row>
    <row r="109" spans="1:51" ht="12.75" customHeight="1">
      <c r="A109" s="95"/>
      <c r="B109" s="64"/>
      <c r="C109" s="64"/>
      <c r="D109" s="64"/>
      <c r="E109" s="64"/>
      <c r="F109" s="64"/>
      <c r="G109" s="64"/>
      <c r="H109" s="64"/>
      <c r="I109" s="64"/>
      <c r="J109" s="64"/>
      <c r="K109" s="64"/>
      <c r="L109" s="64"/>
      <c r="M109" s="64"/>
      <c r="N109" s="64"/>
      <c r="O109" s="64"/>
      <c r="P109" s="64"/>
      <c r="Q109" s="96"/>
      <c r="R109" s="95"/>
      <c r="S109" s="64"/>
      <c r="T109" s="64"/>
      <c r="U109" s="64"/>
      <c r="V109" s="64"/>
      <c r="W109" s="64"/>
      <c r="X109" s="64"/>
      <c r="Y109" s="64"/>
      <c r="Z109" s="64"/>
      <c r="AA109" s="64"/>
      <c r="AB109" s="64"/>
      <c r="AC109" s="64"/>
      <c r="AD109" s="64"/>
      <c r="AE109" s="64"/>
      <c r="AF109" s="64"/>
      <c r="AG109" s="64"/>
      <c r="AH109" s="96"/>
      <c r="AI109" s="95"/>
      <c r="AJ109" s="64"/>
      <c r="AK109" s="64"/>
      <c r="AL109" s="64"/>
      <c r="AM109" s="64"/>
      <c r="AN109" s="64"/>
      <c r="AO109" s="64"/>
      <c r="AP109" s="64"/>
      <c r="AQ109" s="64"/>
      <c r="AR109" s="64"/>
      <c r="AS109" s="64"/>
      <c r="AT109" s="64"/>
      <c r="AU109" s="64"/>
      <c r="AV109" s="64"/>
      <c r="AW109" s="64"/>
      <c r="AX109" s="64"/>
      <c r="AY109" s="96"/>
    </row>
    <row r="110" spans="1:51" ht="12.75" customHeight="1">
      <c r="A110" s="95"/>
      <c r="B110" s="64"/>
      <c r="C110" s="64"/>
      <c r="D110" s="64"/>
      <c r="E110" s="64"/>
      <c r="F110" s="64"/>
      <c r="G110" s="64"/>
      <c r="H110" s="64"/>
      <c r="I110" s="64"/>
      <c r="J110" s="64"/>
      <c r="K110" s="64"/>
      <c r="L110" s="64"/>
      <c r="M110" s="64"/>
      <c r="N110" s="64"/>
      <c r="O110" s="64"/>
      <c r="P110" s="64"/>
      <c r="Q110" s="96"/>
      <c r="R110" s="95"/>
      <c r="S110" s="64"/>
      <c r="T110" s="64"/>
      <c r="U110" s="64"/>
      <c r="V110" s="64"/>
      <c r="W110" s="64"/>
      <c r="X110" s="64"/>
      <c r="Y110" s="64"/>
      <c r="Z110" s="64"/>
      <c r="AA110" s="64"/>
      <c r="AB110" s="64"/>
      <c r="AC110" s="64"/>
      <c r="AD110" s="64"/>
      <c r="AE110" s="64"/>
      <c r="AF110" s="64"/>
      <c r="AG110" s="64"/>
      <c r="AH110" s="96"/>
      <c r="AI110" s="95"/>
      <c r="AJ110" s="64"/>
      <c r="AK110" s="64"/>
      <c r="AL110" s="64"/>
      <c r="AM110" s="64"/>
      <c r="AN110" s="64"/>
      <c r="AO110" s="64"/>
      <c r="AP110" s="64"/>
      <c r="AQ110" s="64"/>
      <c r="AR110" s="64"/>
      <c r="AS110" s="64"/>
      <c r="AT110" s="64"/>
      <c r="AU110" s="64"/>
      <c r="AV110" s="64"/>
      <c r="AW110" s="64"/>
      <c r="AX110" s="64"/>
      <c r="AY110" s="96"/>
    </row>
    <row r="111" spans="1:51" ht="12.75" customHeight="1">
      <c r="A111" s="95"/>
      <c r="B111" s="64"/>
      <c r="C111" s="64"/>
      <c r="D111" s="64"/>
      <c r="E111" s="64"/>
      <c r="F111" s="64"/>
      <c r="G111" s="64"/>
      <c r="H111" s="64"/>
      <c r="I111" s="64"/>
      <c r="J111" s="64"/>
      <c r="K111" s="64"/>
      <c r="L111" s="64"/>
      <c r="M111" s="64"/>
      <c r="N111" s="64"/>
      <c r="O111" s="64"/>
      <c r="P111" s="64"/>
      <c r="Q111" s="96"/>
      <c r="R111" s="95"/>
      <c r="S111" s="64"/>
      <c r="T111" s="64"/>
      <c r="U111" s="64"/>
      <c r="V111" s="64"/>
      <c r="W111" s="64"/>
      <c r="X111" s="64"/>
      <c r="Y111" s="64"/>
      <c r="Z111" s="64"/>
      <c r="AA111" s="64"/>
      <c r="AB111" s="64"/>
      <c r="AC111" s="64"/>
      <c r="AD111" s="64"/>
      <c r="AE111" s="64"/>
      <c r="AF111" s="64"/>
      <c r="AG111" s="64"/>
      <c r="AH111" s="96"/>
      <c r="AI111" s="95"/>
      <c r="AJ111" s="64"/>
      <c r="AK111" s="64"/>
      <c r="AL111" s="64"/>
      <c r="AM111" s="64"/>
      <c r="AN111" s="64"/>
      <c r="AO111" s="64"/>
      <c r="AP111" s="64"/>
      <c r="AQ111" s="64"/>
      <c r="AR111" s="64"/>
      <c r="AS111" s="64"/>
      <c r="AT111" s="64"/>
      <c r="AU111" s="64"/>
      <c r="AV111" s="64"/>
      <c r="AW111" s="64"/>
      <c r="AX111" s="64"/>
      <c r="AY111" s="96"/>
    </row>
    <row r="112" spans="1:51" ht="12.75" customHeight="1">
      <c r="A112" s="95"/>
      <c r="B112" s="64"/>
      <c r="C112" s="64"/>
      <c r="D112" s="64"/>
      <c r="E112" s="64"/>
      <c r="F112" s="64"/>
      <c r="G112" s="64"/>
      <c r="H112" s="64"/>
      <c r="I112" s="64"/>
      <c r="J112" s="64"/>
      <c r="K112" s="64"/>
      <c r="L112" s="64"/>
      <c r="M112" s="64"/>
      <c r="N112" s="64"/>
      <c r="O112" s="64"/>
      <c r="P112" s="64"/>
      <c r="Q112" s="96"/>
      <c r="R112" s="95"/>
      <c r="S112" s="64"/>
      <c r="T112" s="64"/>
      <c r="U112" s="64"/>
      <c r="V112" s="64"/>
      <c r="W112" s="64"/>
      <c r="X112" s="64"/>
      <c r="Y112" s="64"/>
      <c r="Z112" s="64"/>
      <c r="AA112" s="64"/>
      <c r="AB112" s="64"/>
      <c r="AC112" s="64"/>
      <c r="AD112" s="64"/>
      <c r="AE112" s="64"/>
      <c r="AF112" s="64"/>
      <c r="AG112" s="64"/>
      <c r="AH112" s="96"/>
      <c r="AI112" s="95"/>
      <c r="AJ112" s="64"/>
      <c r="AK112" s="64"/>
      <c r="AL112" s="64"/>
      <c r="AM112" s="64"/>
      <c r="AN112" s="64"/>
      <c r="AO112" s="64"/>
      <c r="AP112" s="64"/>
      <c r="AQ112" s="64"/>
      <c r="AR112" s="64"/>
      <c r="AS112" s="64"/>
      <c r="AT112" s="64"/>
      <c r="AU112" s="64"/>
      <c r="AV112" s="64"/>
      <c r="AW112" s="64"/>
      <c r="AX112" s="64"/>
      <c r="AY112" s="96"/>
    </row>
    <row r="113" spans="1:51" ht="12.75" customHeight="1">
      <c r="A113" s="95"/>
      <c r="B113" s="64"/>
      <c r="C113" s="64"/>
      <c r="D113" s="64"/>
      <c r="E113" s="64"/>
      <c r="F113" s="64"/>
      <c r="G113" s="64"/>
      <c r="H113" s="64"/>
      <c r="I113" s="64"/>
      <c r="J113" s="64"/>
      <c r="K113" s="64"/>
      <c r="L113" s="64"/>
      <c r="M113" s="64"/>
      <c r="N113" s="64"/>
      <c r="O113" s="64"/>
      <c r="P113" s="64"/>
      <c r="Q113" s="96"/>
      <c r="R113" s="95"/>
      <c r="S113" s="64"/>
      <c r="T113" s="64"/>
      <c r="U113" s="64"/>
      <c r="V113" s="64"/>
      <c r="W113" s="64"/>
      <c r="X113" s="64"/>
      <c r="Y113" s="64"/>
      <c r="Z113" s="64"/>
      <c r="AA113" s="64"/>
      <c r="AB113" s="64"/>
      <c r="AC113" s="64"/>
      <c r="AD113" s="64"/>
      <c r="AE113" s="64"/>
      <c r="AF113" s="64"/>
      <c r="AG113" s="64"/>
      <c r="AH113" s="96"/>
      <c r="AI113" s="95"/>
      <c r="AJ113" s="64"/>
      <c r="AK113" s="64"/>
      <c r="AL113" s="64"/>
      <c r="AM113" s="64"/>
      <c r="AN113" s="64"/>
      <c r="AO113" s="64"/>
      <c r="AP113" s="64"/>
      <c r="AQ113" s="64"/>
      <c r="AR113" s="64"/>
      <c r="AS113" s="64"/>
      <c r="AT113" s="64"/>
      <c r="AU113" s="64"/>
      <c r="AV113" s="64"/>
      <c r="AW113" s="64"/>
      <c r="AX113" s="64"/>
      <c r="AY113" s="96"/>
    </row>
    <row r="114" spans="1:51" ht="12.75" customHeight="1">
      <c r="A114" s="95"/>
      <c r="B114" s="64"/>
      <c r="C114" s="64"/>
      <c r="D114" s="64"/>
      <c r="E114" s="64"/>
      <c r="F114" s="64"/>
      <c r="G114" s="64"/>
      <c r="H114" s="64"/>
      <c r="I114" s="64"/>
      <c r="J114" s="64"/>
      <c r="K114" s="64"/>
      <c r="L114" s="64"/>
      <c r="M114" s="64"/>
      <c r="N114" s="64"/>
      <c r="O114" s="64"/>
      <c r="P114" s="64"/>
      <c r="Q114" s="96"/>
      <c r="R114" s="95"/>
      <c r="S114" s="64"/>
      <c r="T114" s="64"/>
      <c r="U114" s="64"/>
      <c r="V114" s="64"/>
      <c r="W114" s="64"/>
      <c r="X114" s="64"/>
      <c r="Y114" s="64"/>
      <c r="Z114" s="64"/>
      <c r="AA114" s="64"/>
      <c r="AB114" s="64"/>
      <c r="AC114" s="64"/>
      <c r="AD114" s="64"/>
      <c r="AE114" s="64"/>
      <c r="AF114" s="64"/>
      <c r="AG114" s="64"/>
      <c r="AH114" s="96"/>
      <c r="AI114" s="95"/>
      <c r="AJ114" s="64"/>
      <c r="AK114" s="64"/>
      <c r="AL114" s="64"/>
      <c r="AM114" s="64"/>
      <c r="AN114" s="64"/>
      <c r="AO114" s="64"/>
      <c r="AP114" s="64"/>
      <c r="AQ114" s="64"/>
      <c r="AR114" s="64"/>
      <c r="AS114" s="64"/>
      <c r="AT114" s="64"/>
      <c r="AU114" s="64"/>
      <c r="AV114" s="64"/>
      <c r="AW114" s="64"/>
      <c r="AX114" s="64"/>
      <c r="AY114" s="96"/>
    </row>
    <row r="115" spans="1:51" ht="12.75" customHeight="1">
      <c r="A115" s="95"/>
      <c r="B115" s="64"/>
      <c r="C115" s="64"/>
      <c r="D115" s="64"/>
      <c r="E115" s="64"/>
      <c r="F115" s="64"/>
      <c r="G115" s="64"/>
      <c r="H115" s="64"/>
      <c r="I115" s="64"/>
      <c r="J115" s="64"/>
      <c r="K115" s="64"/>
      <c r="L115" s="64"/>
      <c r="M115" s="64"/>
      <c r="N115" s="64"/>
      <c r="O115" s="64"/>
      <c r="P115" s="64"/>
      <c r="Q115" s="96"/>
      <c r="R115" s="95"/>
      <c r="S115" s="64"/>
      <c r="T115" s="64"/>
      <c r="U115" s="64"/>
      <c r="V115" s="64"/>
      <c r="W115" s="64"/>
      <c r="X115" s="64"/>
      <c r="Y115" s="64"/>
      <c r="Z115" s="64"/>
      <c r="AA115" s="64"/>
      <c r="AB115" s="64"/>
      <c r="AC115" s="64"/>
      <c r="AD115" s="64"/>
      <c r="AE115" s="64"/>
      <c r="AF115" s="64"/>
      <c r="AG115" s="64"/>
      <c r="AH115" s="96"/>
      <c r="AI115" s="95"/>
      <c r="AJ115" s="64"/>
      <c r="AK115" s="64"/>
      <c r="AL115" s="64"/>
      <c r="AM115" s="64"/>
      <c r="AN115" s="64"/>
      <c r="AO115" s="64"/>
      <c r="AP115" s="64"/>
      <c r="AQ115" s="64"/>
      <c r="AR115" s="64"/>
      <c r="AS115" s="64"/>
      <c r="AT115" s="64"/>
      <c r="AU115" s="64"/>
      <c r="AV115" s="64"/>
      <c r="AW115" s="64"/>
      <c r="AX115" s="64"/>
      <c r="AY115" s="96"/>
    </row>
    <row r="116" spans="1:51" ht="12.75" customHeight="1">
      <c r="A116" s="100"/>
      <c r="B116" s="101"/>
      <c r="C116" s="101"/>
      <c r="D116" s="101"/>
      <c r="E116" s="101"/>
      <c r="F116" s="101"/>
      <c r="G116" s="101"/>
      <c r="H116" s="101"/>
      <c r="I116" s="101"/>
      <c r="J116" s="101"/>
      <c r="K116" s="101"/>
      <c r="L116" s="101"/>
      <c r="M116" s="101"/>
      <c r="N116" s="101"/>
      <c r="O116" s="101"/>
      <c r="P116" s="101"/>
      <c r="Q116" s="150"/>
      <c r="R116" s="100"/>
      <c r="S116" s="101"/>
      <c r="T116" s="101"/>
      <c r="U116" s="101"/>
      <c r="V116" s="101"/>
      <c r="W116" s="101"/>
      <c r="X116" s="101"/>
      <c r="Y116" s="101"/>
      <c r="Z116" s="101"/>
      <c r="AA116" s="101"/>
      <c r="AB116" s="101"/>
      <c r="AC116" s="101"/>
      <c r="AD116" s="101"/>
      <c r="AE116" s="101"/>
      <c r="AF116" s="101"/>
      <c r="AG116" s="101"/>
      <c r="AH116" s="150"/>
      <c r="AI116" s="100"/>
      <c r="AJ116" s="101"/>
      <c r="AK116" s="101"/>
      <c r="AL116" s="101"/>
      <c r="AM116" s="101"/>
      <c r="AN116" s="101"/>
      <c r="AO116" s="101"/>
      <c r="AP116" s="101"/>
      <c r="AQ116" s="101"/>
      <c r="AR116" s="101"/>
      <c r="AS116" s="101"/>
      <c r="AT116" s="101"/>
      <c r="AU116" s="101"/>
      <c r="AV116" s="101"/>
      <c r="AW116" s="101"/>
      <c r="AX116" s="101"/>
      <c r="AY116" s="150"/>
    </row>
    <row r="117" spans="1:51"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row>
    <row r="118" spans="1:51"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row>
    <row r="119" spans="1:51"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row>
    <row r="120" spans="1:51"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row>
    <row r="121" spans="1:51"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row>
    <row r="122" spans="1:51"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row>
    <row r="123" spans="1:51"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row>
    <row r="124" spans="1:51"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row>
    <row r="125" spans="1:51"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row>
    <row r="126" spans="1:51"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row>
    <row r="127" spans="1:51"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row>
    <row r="128" spans="1:51"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row>
    <row r="129" spans="1:51"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row>
    <row r="130" spans="1:51"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row>
    <row r="131" spans="1:51"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row>
    <row r="132" spans="1:51"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row>
    <row r="133" spans="1:51"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row>
    <row r="134" spans="1:51"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row>
    <row r="135" spans="1:51"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row>
    <row r="136" spans="1:51"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row>
    <row r="137" spans="1:51"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row>
    <row r="138" spans="1:51"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row>
    <row r="139" spans="1:51"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row>
    <row r="140" spans="1:51"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row>
    <row r="141" spans="1:51"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row>
    <row r="142" spans="1:51"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row>
    <row r="143" spans="1:51"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row>
    <row r="144" spans="1:51"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row>
    <row r="145" spans="1:51"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row>
    <row r="146" spans="1:51"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row>
    <row r="147" spans="1:51"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row>
    <row r="148" spans="1:51"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row>
    <row r="149" spans="1:51"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row>
    <row r="150" spans="1:51"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row>
    <row r="151" spans="1:51"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row>
    <row r="152" spans="1:51"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row>
    <row r="153" spans="1:51"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row>
    <row r="154" spans="1:51"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row>
    <row r="155" spans="1:51"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row>
    <row r="156" spans="1:51"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row>
    <row r="157" spans="1:51"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row>
    <row r="158" spans="1:51"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row>
    <row r="159" spans="1:51"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row>
    <row r="160" spans="1:51"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row>
    <row r="161" spans="1:51"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row>
    <row r="162" spans="1:51"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row>
    <row r="163" spans="1:51"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row>
    <row r="164" spans="1:51"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row>
    <row r="165" spans="1:51"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row>
    <row r="166" spans="1:51"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row>
    <row r="167" spans="1:51"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row>
    <row r="168" spans="1:51"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row>
    <row r="169" spans="1:51"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row>
    <row r="170" spans="1:51"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row>
    <row r="171" spans="1:51"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row>
    <row r="172" spans="1:51"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row>
    <row r="173" spans="1:51"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row>
    <row r="174" spans="1:51"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row>
    <row r="175" spans="1:51"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row>
    <row r="176" spans="1:51"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row>
    <row r="177" spans="1:51"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row>
    <row r="178" spans="1:51"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row>
    <row r="179" spans="1:51"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row>
    <row r="180" spans="1:51"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row>
    <row r="181" spans="1:51"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row>
    <row r="182" spans="1:51"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row>
    <row r="183" spans="1:51"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row>
    <row r="184" spans="1:51"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row>
    <row r="185" spans="1:51"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row>
    <row r="186" spans="1:51"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row>
    <row r="187" spans="1:51"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row>
    <row r="188" spans="1:51"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row>
    <row r="189" spans="1:51"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row>
    <row r="190" spans="1:51"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row>
    <row r="191" spans="1:51"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row>
    <row r="192" spans="1:51"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row>
    <row r="193" spans="1:51"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row>
    <row r="194" spans="1:51"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row>
    <row r="195" spans="1:51"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row>
    <row r="196" spans="1:51"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row>
    <row r="197" spans="1:51"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row>
    <row r="198" spans="1:51"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row>
    <row r="199" spans="1:51"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row>
    <row r="200" spans="1:51"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row>
    <row r="201" spans="1:51"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row>
    <row r="202" spans="1:51"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row>
    <row r="203" spans="1:51"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row>
    <row r="204" spans="1:51"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row>
    <row r="205" spans="1:51"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row>
    <row r="206" spans="1:51"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row>
    <row r="207" spans="1:51"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row>
    <row r="208" spans="1:51"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row>
    <row r="209" spans="1:51"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row>
    <row r="210" spans="1:51"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row>
    <row r="211" spans="1:51"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row>
    <row r="212" spans="1:51"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row>
    <row r="213" spans="1:51"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row>
    <row r="214" spans="1:51"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row>
    <row r="215" spans="1:51"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row>
    <row r="216" spans="1:51"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row>
    <row r="217" spans="1:51"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row>
    <row r="218" spans="1:51"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row>
    <row r="219" spans="1:51"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row>
    <row r="220" spans="1:51"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row>
    <row r="221" spans="1:51"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row>
    <row r="222" spans="1:51"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row>
    <row r="223" spans="1:51"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row>
    <row r="224" spans="1:51"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row>
    <row r="225" spans="1:51"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row>
    <row r="226" spans="1:51"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row>
    <row r="227" spans="1:51"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row>
    <row r="228" spans="1:51"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row>
    <row r="229" spans="1:51"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row>
    <row r="230" spans="1:51"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row>
    <row r="231" spans="1:51"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row>
    <row r="232" spans="1:51"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row>
    <row r="233" spans="1:51"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row>
    <row r="234" spans="1:51"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row>
    <row r="235" spans="1:51"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row>
    <row r="236" spans="1:51"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row>
    <row r="237" spans="1:51"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row>
    <row r="238" spans="1:51"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row>
    <row r="239" spans="1:51"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row>
    <row r="240" spans="1:51"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row>
    <row r="241" spans="1:51"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row>
    <row r="242" spans="1:51"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row>
    <row r="243" spans="1:51"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row>
    <row r="244" spans="1:51"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row>
    <row r="245" spans="1:51"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row>
    <row r="246" spans="1:51"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row>
    <row r="247" spans="1:51"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row>
    <row r="248" spans="1:51"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row>
    <row r="249" spans="1:51"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row>
    <row r="250" spans="1:51"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row>
    <row r="251" spans="1:51"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row>
    <row r="252" spans="1:51"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row>
    <row r="253" spans="1:51"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row>
    <row r="254" spans="1:51"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row>
    <row r="255" spans="1:51"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row>
    <row r="256" spans="1:51"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row>
    <row r="257" spans="1:51"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row>
    <row r="258" spans="1:51"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row>
    <row r="259" spans="1:51"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row>
    <row r="260" spans="1:51"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row>
    <row r="261" spans="1:51"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row>
    <row r="262" spans="1:51"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row>
    <row r="263" spans="1:51"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row>
    <row r="264" spans="1:51"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row>
    <row r="265" spans="1:51"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row>
    <row r="266" spans="1:51"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row>
    <row r="267" spans="1:51"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row>
    <row r="268" spans="1:51"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row>
    <row r="269" spans="1:51"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row>
    <row r="270" spans="1:51"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row>
    <row r="271" spans="1:51"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row>
    <row r="272" spans="1:51"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row>
    <row r="273" spans="1:51"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row>
    <row r="274" spans="1:51"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row>
    <row r="275" spans="1:51"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row>
    <row r="276" spans="1:51"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row>
    <row r="277" spans="1:51"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row>
    <row r="278" spans="1:51"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row>
    <row r="279" spans="1:51"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row>
    <row r="280" spans="1:51"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row>
    <row r="281" spans="1:51"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row>
    <row r="282" spans="1:51"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row>
    <row r="283" spans="1:51"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row>
    <row r="284" spans="1:51"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row>
    <row r="285" spans="1:51"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row>
    <row r="286" spans="1:51"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row>
    <row r="287" spans="1:51"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row>
    <row r="288" spans="1:51"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row>
    <row r="289" spans="1:51"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row>
    <row r="290" spans="1:51"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row>
    <row r="291" spans="1:51"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row>
    <row r="292" spans="1:51"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row>
    <row r="293" spans="1:51"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row>
    <row r="294" spans="1:51"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row>
    <row r="295" spans="1:51"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row>
    <row r="296" spans="1:51"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row>
    <row r="297" spans="1:51"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row>
    <row r="298" spans="1:51"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row>
    <row r="299" spans="1:51"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row>
    <row r="300" spans="1:51"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row>
    <row r="301" spans="1:51"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row>
    <row r="302" spans="1:51"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row>
    <row r="303" spans="1:51"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row>
    <row r="304" spans="1:51"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row>
    <row r="305" spans="1:51"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row>
    <row r="306" spans="1:51"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row>
    <row r="307" spans="1:51"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row>
    <row r="308" spans="1:51"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row>
    <row r="309" spans="1:51"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row>
    <row r="310" spans="1:51"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row>
    <row r="311" spans="1:51"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row>
    <row r="312" spans="1:51"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row>
    <row r="313" spans="1:51"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row>
    <row r="314" spans="1:51"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row>
    <row r="315" spans="1:51"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row>
    <row r="316" spans="1:51"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row>
    <row r="317" spans="1:51"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row>
    <row r="318" spans="1:51"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row>
    <row r="319" spans="1:51"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row>
    <row r="320" spans="1:51"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row>
    <row r="321" spans="1:51"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row>
    <row r="322" spans="1:51"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row>
    <row r="323" spans="1:51"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row>
    <row r="324" spans="1:51"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row>
    <row r="325" spans="1:51"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row>
    <row r="326" spans="1:51"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row>
    <row r="327" spans="1:51"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row>
    <row r="328" spans="1:51"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row>
    <row r="329" spans="1:51"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row>
    <row r="330" spans="1:51"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row>
    <row r="331" spans="1:51"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row>
    <row r="332" spans="1:51"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row>
    <row r="333" spans="1:51"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row>
    <row r="334" spans="1:51"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row>
    <row r="335" spans="1:51"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row>
    <row r="336" spans="1:51"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row>
    <row r="337" spans="1:51"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row>
    <row r="338" spans="1:51"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row>
    <row r="339" spans="1:51"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row>
    <row r="340" spans="1:51"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row>
    <row r="341" spans="1:51"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row>
    <row r="342" spans="1:51"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row>
    <row r="343" spans="1:51"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row>
    <row r="344" spans="1:51"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row>
    <row r="345" spans="1:51"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row>
    <row r="346" spans="1:51"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row>
    <row r="347" spans="1:51"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row>
    <row r="348" spans="1:51"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row>
    <row r="349" spans="1:51"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row>
    <row r="350" spans="1:51"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row>
    <row r="351" spans="1:51"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row>
    <row r="352" spans="1:51"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row>
    <row r="353" spans="1:51"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row>
    <row r="354" spans="1:51"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row>
    <row r="355" spans="1:51"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row>
    <row r="356" spans="1:51"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row>
    <row r="357" spans="1:51"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row>
    <row r="358" spans="1:51"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row>
    <row r="359" spans="1:51"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row>
    <row r="360" spans="1:51"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row>
    <row r="361" spans="1:51"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row>
    <row r="362" spans="1:51"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row>
    <row r="363" spans="1:51"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row>
    <row r="364" spans="1:51"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row>
    <row r="365" spans="1:51"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row>
    <row r="366" spans="1:51"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row>
    <row r="367" spans="1:51"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row>
    <row r="368" spans="1:51"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row>
    <row r="369" spans="1:51"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row>
    <row r="370" spans="1:51"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row>
    <row r="371" spans="1:51"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row>
    <row r="372" spans="1:51"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row>
    <row r="373" spans="1:51"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row>
    <row r="374" spans="1:51"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row>
    <row r="375" spans="1:51"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row>
    <row r="376" spans="1:51"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row>
    <row r="377" spans="1:51"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row>
    <row r="378" spans="1:51"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row>
    <row r="379" spans="1:51"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row>
    <row r="380" spans="1:51"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row>
    <row r="381" spans="1:51"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row>
    <row r="382" spans="1:51"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row>
    <row r="383" spans="1:51"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row>
    <row r="384" spans="1:51"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row>
    <row r="385" spans="1:51"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row>
    <row r="386" spans="1:51"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row>
    <row r="387" spans="1:51"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row>
    <row r="388" spans="1:51"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row>
    <row r="389" spans="1:51"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row>
    <row r="390" spans="1:51"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row>
    <row r="391" spans="1:51"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row>
    <row r="392" spans="1:51"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row>
    <row r="393" spans="1:51"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row>
    <row r="394" spans="1:51"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row>
    <row r="395" spans="1:51"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row>
    <row r="396" spans="1:51"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row>
    <row r="397" spans="1:51"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row>
    <row r="398" spans="1:51"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row>
    <row r="399" spans="1:51"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row>
    <row r="400" spans="1:51"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row>
    <row r="401" spans="1:51"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row>
    <row r="402" spans="1:51"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row>
    <row r="403" spans="1:51"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row>
    <row r="404" spans="1:51"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row>
    <row r="405" spans="1:51"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row>
    <row r="406" spans="1:51"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row>
    <row r="407" spans="1:51"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row>
    <row r="408" spans="1:51"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row>
    <row r="409" spans="1:51"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row>
    <row r="410" spans="1:51"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row>
    <row r="411" spans="1:51"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row>
    <row r="412" spans="1:51"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row>
    <row r="413" spans="1:51"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row>
    <row r="414" spans="1:51"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row>
    <row r="415" spans="1:51"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row>
    <row r="416" spans="1:51"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row>
    <row r="417" spans="1:51"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row>
    <row r="418" spans="1:51"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row>
    <row r="419" spans="1:51"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row>
    <row r="420" spans="1:51"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row>
    <row r="421" spans="1:51"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row>
    <row r="422" spans="1:51"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row>
    <row r="423" spans="1:51"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row>
    <row r="424" spans="1:51"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row>
    <row r="425" spans="1:51"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row>
    <row r="426" spans="1:51"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row>
    <row r="427" spans="1:51"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row>
    <row r="428" spans="1:51"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row>
    <row r="429" spans="1:51"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row>
    <row r="430" spans="1:51"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row>
    <row r="431" spans="1:51"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row>
    <row r="432" spans="1:51"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row>
    <row r="433" spans="1:51"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row>
    <row r="434" spans="1:51"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row>
    <row r="435" spans="1:51"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row>
    <row r="436" spans="1:51"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row>
    <row r="437" spans="1:51"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row>
    <row r="438" spans="1:51"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row>
    <row r="439" spans="1:51"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row>
    <row r="440" spans="1:51"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row>
    <row r="441" spans="1:51"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row>
    <row r="442" spans="1:51"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row>
    <row r="443" spans="1:51"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row>
    <row r="444" spans="1:51"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row>
    <row r="445" spans="1:51"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row>
    <row r="446" spans="1:51"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row>
    <row r="447" spans="1:51"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row>
    <row r="448" spans="1:51"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row>
    <row r="449" spans="1:51"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row>
    <row r="450" spans="1:51"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row>
    <row r="451" spans="1:51"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row>
    <row r="452" spans="1:51"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row>
    <row r="453" spans="1:51"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row>
    <row r="454" spans="1:51"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row>
    <row r="455" spans="1:51"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row>
    <row r="456" spans="1:51"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row>
    <row r="457" spans="1:51"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row>
    <row r="458" spans="1:51"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row>
    <row r="459" spans="1:51"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row>
    <row r="460" spans="1:51"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row>
    <row r="461" spans="1:51"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row>
    <row r="462" spans="1:51"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row>
    <row r="463" spans="1:51"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row>
    <row r="464" spans="1:51"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row>
    <row r="465" spans="1:51"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row>
    <row r="466" spans="1:51"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row>
    <row r="467" spans="1:51"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row>
    <row r="468" spans="1:51"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row>
    <row r="469" spans="1:51"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row>
    <row r="470" spans="1:51"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row>
    <row r="471" spans="1:51"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row>
    <row r="472" spans="1:51"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row>
    <row r="473" spans="1:51"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row>
    <row r="474" spans="1:51"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row>
    <row r="475" spans="1:51"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row>
    <row r="476" spans="1:51"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row>
    <row r="477" spans="1:51"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row>
    <row r="478" spans="1:51"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row>
    <row r="479" spans="1:51"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row>
    <row r="480" spans="1:51"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row>
    <row r="481" spans="1:51"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row>
    <row r="482" spans="1:51"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row>
    <row r="483" spans="1:51"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row>
    <row r="484" spans="1:51"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row>
    <row r="485" spans="1:51"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row>
    <row r="486" spans="1:51"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row>
    <row r="487" spans="1:51"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row>
    <row r="488" spans="1:51"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row>
    <row r="489" spans="1:51"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row>
    <row r="490" spans="1:51"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row>
    <row r="491" spans="1:51"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row>
    <row r="492" spans="1:51"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row>
    <row r="493" spans="1:51"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row>
    <row r="494" spans="1:51"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row>
    <row r="495" spans="1:51"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row>
    <row r="496" spans="1:51"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row>
    <row r="497" spans="1:51"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row>
    <row r="498" spans="1:51"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row>
    <row r="499" spans="1:51"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row>
    <row r="500" spans="1:51"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row>
    <row r="501" spans="1:51"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row>
    <row r="502" spans="1:51"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row>
    <row r="503" spans="1:51"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row>
    <row r="504" spans="1:51"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row>
    <row r="505" spans="1:51"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row>
    <row r="506" spans="1:51"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row>
    <row r="507" spans="1:51"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row>
    <row r="508" spans="1:51"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row>
    <row r="509" spans="1:51"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row>
    <row r="510" spans="1:51"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row>
    <row r="511" spans="1:51"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row>
    <row r="512" spans="1:51"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row>
    <row r="513" spans="1:51"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row>
    <row r="514" spans="1:51"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row>
    <row r="515" spans="1:51"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row>
    <row r="516" spans="1:51"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row>
    <row r="517" spans="1:51"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row>
    <row r="518" spans="1:51"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row>
    <row r="519" spans="1:51"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row>
    <row r="520" spans="1:51"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row>
    <row r="521" spans="1:51"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row>
    <row r="522" spans="1:51"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row>
    <row r="523" spans="1:51"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row>
    <row r="524" spans="1:51"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row>
    <row r="525" spans="1:51"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row>
    <row r="526" spans="1:51"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row>
    <row r="527" spans="1:51"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row>
    <row r="528" spans="1:51"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row>
    <row r="529" spans="1:51"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row>
    <row r="530" spans="1:51"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row>
    <row r="531" spans="1:51"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row>
    <row r="532" spans="1:51"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row>
    <row r="533" spans="1:51"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row>
    <row r="534" spans="1:51"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row>
    <row r="535" spans="1:51"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row>
    <row r="536" spans="1:51"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row>
    <row r="537" spans="1:51"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row>
    <row r="538" spans="1:51"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row>
    <row r="539" spans="1:51"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row>
    <row r="540" spans="1:51"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row>
    <row r="541" spans="1:51"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row>
    <row r="542" spans="1:51"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row>
    <row r="543" spans="1:51"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row>
    <row r="544" spans="1:51"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row>
    <row r="545" spans="1:51"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row>
    <row r="546" spans="1:51"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row>
    <row r="547" spans="1:51"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row>
    <row r="548" spans="1:51"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row>
    <row r="549" spans="1:51"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row>
    <row r="550" spans="1:51"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row>
    <row r="551" spans="1:51"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c r="AV551" s="34"/>
      <c r="AW551" s="34"/>
      <c r="AX551" s="34"/>
      <c r="AY551" s="34"/>
    </row>
    <row r="552" spans="1:51"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row>
    <row r="553" spans="1:51"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c r="AV553" s="34"/>
      <c r="AW553" s="34"/>
      <c r="AX553" s="34"/>
      <c r="AY553" s="34"/>
    </row>
    <row r="554" spans="1:51"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row>
    <row r="555" spans="1:51"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row>
    <row r="556" spans="1:51"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row>
    <row r="557" spans="1:51"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c r="AV557" s="34"/>
      <c r="AW557" s="34"/>
      <c r="AX557" s="34"/>
      <c r="AY557" s="34"/>
    </row>
    <row r="558" spans="1:51"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row>
    <row r="559" spans="1:51"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c r="AV559" s="34"/>
      <c r="AW559" s="34"/>
      <c r="AX559" s="34"/>
      <c r="AY559" s="34"/>
    </row>
    <row r="560" spans="1:51"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row>
    <row r="561" spans="1:51"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c r="AV561" s="34"/>
      <c r="AW561" s="34"/>
      <c r="AX561" s="34"/>
      <c r="AY561" s="34"/>
    </row>
    <row r="562" spans="1:51"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row>
    <row r="563" spans="1:51"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c r="AV563" s="34"/>
      <c r="AW563" s="34"/>
      <c r="AX563" s="34"/>
      <c r="AY563" s="34"/>
    </row>
    <row r="564" spans="1:51"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row>
    <row r="565" spans="1:51"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c r="AV565" s="34"/>
      <c r="AW565" s="34"/>
      <c r="AX565" s="34"/>
      <c r="AY565" s="34"/>
    </row>
    <row r="566" spans="1:51"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row>
    <row r="567" spans="1:51"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c r="AV567" s="34"/>
      <c r="AW567" s="34"/>
      <c r="AX567" s="34"/>
      <c r="AY567" s="34"/>
    </row>
    <row r="568" spans="1:51"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row>
    <row r="569" spans="1:51"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row>
    <row r="570" spans="1:51"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row>
    <row r="571" spans="1:51"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row>
    <row r="572" spans="1:51"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row>
    <row r="573" spans="1:51"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row>
    <row r="574" spans="1:51"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row>
    <row r="575" spans="1:51"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row>
    <row r="576" spans="1:51"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row>
    <row r="577" spans="1:51"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row>
    <row r="578" spans="1:51"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c r="AV578" s="34"/>
      <c r="AW578" s="34"/>
      <c r="AX578" s="34"/>
      <c r="AY578" s="34"/>
    </row>
    <row r="579" spans="1:51"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row>
    <row r="580" spans="1:51"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c r="AV580" s="34"/>
      <c r="AW580" s="34"/>
      <c r="AX580" s="34"/>
      <c r="AY580" s="34"/>
    </row>
    <row r="581" spans="1:51"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row>
    <row r="582" spans="1:51"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c r="AV582" s="34"/>
      <c r="AW582" s="34"/>
      <c r="AX582" s="34"/>
      <c r="AY582" s="34"/>
    </row>
    <row r="583" spans="1:51"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c r="AV583" s="34"/>
      <c r="AW583" s="34"/>
      <c r="AX583" s="34"/>
      <c r="AY583" s="34"/>
    </row>
    <row r="584" spans="1:51"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c r="AV584" s="34"/>
      <c r="AW584" s="34"/>
      <c r="AX584" s="34"/>
      <c r="AY584" s="34"/>
    </row>
    <row r="585" spans="1:51"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row>
    <row r="586" spans="1:51"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row>
    <row r="587" spans="1:51"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row>
    <row r="588" spans="1:51"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c r="AV588" s="34"/>
      <c r="AW588" s="34"/>
      <c r="AX588" s="34"/>
      <c r="AY588" s="34"/>
    </row>
    <row r="589" spans="1:51"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c r="AV589" s="34"/>
      <c r="AW589" s="34"/>
      <c r="AX589" s="34"/>
      <c r="AY589" s="34"/>
    </row>
    <row r="590" spans="1:51"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row>
    <row r="591" spans="1:51"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row>
    <row r="592" spans="1:51"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row>
    <row r="593" spans="1:51"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row>
    <row r="594" spans="1:51"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c r="AV594" s="34"/>
      <c r="AW594" s="34"/>
      <c r="AX594" s="34"/>
      <c r="AY594" s="34"/>
    </row>
    <row r="595" spans="1:51"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row>
    <row r="596" spans="1:51"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row>
    <row r="597" spans="1:51"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row>
    <row r="598" spans="1:51"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row>
    <row r="599" spans="1:51"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row>
    <row r="600" spans="1:51"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row>
    <row r="601" spans="1:51"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row>
    <row r="602" spans="1:51"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row>
    <row r="603" spans="1:51"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row>
    <row r="604" spans="1:51"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row>
    <row r="605" spans="1:51"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row>
    <row r="606" spans="1:51"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row>
    <row r="607" spans="1:51"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row>
    <row r="608" spans="1:51"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row>
    <row r="609" spans="1:51"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row>
    <row r="610" spans="1:51"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row>
    <row r="611" spans="1:51"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row>
    <row r="612" spans="1:51"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row>
    <row r="613" spans="1:51"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row>
    <row r="614" spans="1:51"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row>
    <row r="615" spans="1:51"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row>
    <row r="616" spans="1:51"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row>
    <row r="617" spans="1:51"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row>
    <row r="618" spans="1:51"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row>
    <row r="619" spans="1:51"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row>
    <row r="620" spans="1:51"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row>
    <row r="621" spans="1:51"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row>
    <row r="622" spans="1:51"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row>
    <row r="623" spans="1:51"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row>
    <row r="624" spans="1:51"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row>
    <row r="625" spans="1:51"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row>
    <row r="626" spans="1:51"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row>
    <row r="627" spans="1:51"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row>
    <row r="628" spans="1:51"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row>
    <row r="629" spans="1:51"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row>
    <row r="630" spans="1:51"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row>
    <row r="631" spans="1:51"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row>
    <row r="632" spans="1:51"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row>
    <row r="633" spans="1:51"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row>
    <row r="634" spans="1:51"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row>
    <row r="635" spans="1:51"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row>
    <row r="636" spans="1:51"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row>
    <row r="637" spans="1:51"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row>
    <row r="638" spans="1:51"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row>
    <row r="639" spans="1:51"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row>
    <row r="640" spans="1:51"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c r="AV640" s="34"/>
      <c r="AW640" s="34"/>
      <c r="AX640" s="34"/>
      <c r="AY640" s="34"/>
    </row>
    <row r="641" spans="1:51"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c r="AV641" s="34"/>
      <c r="AW641" s="34"/>
      <c r="AX641" s="34"/>
      <c r="AY641" s="34"/>
    </row>
    <row r="642" spans="1:51"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c r="AV642" s="34"/>
      <c r="AW642" s="34"/>
      <c r="AX642" s="34"/>
      <c r="AY642" s="34"/>
    </row>
    <row r="643" spans="1:51"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c r="AV643" s="34"/>
      <c r="AW643" s="34"/>
      <c r="AX643" s="34"/>
      <c r="AY643" s="34"/>
    </row>
    <row r="644" spans="1:51"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c r="AV644" s="34"/>
      <c r="AW644" s="34"/>
      <c r="AX644" s="34"/>
      <c r="AY644" s="34"/>
    </row>
    <row r="645" spans="1:51"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c r="AV645" s="34"/>
      <c r="AW645" s="34"/>
      <c r="AX645" s="34"/>
      <c r="AY645" s="34"/>
    </row>
    <row r="646" spans="1:51"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c r="AV646" s="34"/>
      <c r="AW646" s="34"/>
      <c r="AX646" s="34"/>
      <c r="AY646" s="34"/>
    </row>
    <row r="647" spans="1:51"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c r="AV647" s="34"/>
      <c r="AW647" s="34"/>
      <c r="AX647" s="34"/>
      <c r="AY647" s="34"/>
    </row>
    <row r="648" spans="1:51"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row>
    <row r="649" spans="1:51"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row>
    <row r="650" spans="1:51"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row>
    <row r="651" spans="1:51"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c r="AV651" s="34"/>
      <c r="AW651" s="34"/>
      <c r="AX651" s="34"/>
      <c r="AY651" s="34"/>
    </row>
    <row r="652" spans="1:51"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c r="AV652" s="34"/>
      <c r="AW652" s="34"/>
      <c r="AX652" s="34"/>
      <c r="AY652" s="34"/>
    </row>
    <row r="653" spans="1:51"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c r="AV653" s="34"/>
      <c r="AW653" s="34"/>
      <c r="AX653" s="34"/>
      <c r="AY653" s="34"/>
    </row>
    <row r="654" spans="1:51"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c r="AV654" s="34"/>
      <c r="AW654" s="34"/>
      <c r="AX654" s="34"/>
      <c r="AY654" s="34"/>
    </row>
    <row r="655" spans="1:51"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c r="AV655" s="34"/>
      <c r="AW655" s="34"/>
      <c r="AX655" s="34"/>
      <c r="AY655" s="34"/>
    </row>
    <row r="656" spans="1:51"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c r="AV656" s="34"/>
      <c r="AW656" s="34"/>
      <c r="AX656" s="34"/>
      <c r="AY656" s="34"/>
    </row>
    <row r="657" spans="1:51"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c r="AV657" s="34"/>
      <c r="AW657" s="34"/>
      <c r="AX657" s="34"/>
      <c r="AY657" s="34"/>
    </row>
    <row r="658" spans="1:51"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row>
    <row r="659" spans="1:51"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c r="AV659" s="34"/>
      <c r="AW659" s="34"/>
      <c r="AX659" s="34"/>
      <c r="AY659" s="34"/>
    </row>
    <row r="660" spans="1:51"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row>
    <row r="661" spans="1:51"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row>
    <row r="662" spans="1:51"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row>
    <row r="663" spans="1:51"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row>
    <row r="664" spans="1:51"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row>
    <row r="665" spans="1:51"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row>
    <row r="666" spans="1:51"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row>
    <row r="667" spans="1:51"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c r="AV667" s="34"/>
      <c r="AW667" s="34"/>
      <c r="AX667" s="34"/>
      <c r="AY667" s="34"/>
    </row>
    <row r="668" spans="1:51"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c r="AV668" s="34"/>
      <c r="AW668" s="34"/>
      <c r="AX668" s="34"/>
      <c r="AY668" s="34"/>
    </row>
    <row r="669" spans="1:51"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c r="AV669" s="34"/>
      <c r="AW669" s="34"/>
      <c r="AX669" s="34"/>
      <c r="AY669" s="34"/>
    </row>
    <row r="670" spans="1:51"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c r="AV670" s="34"/>
      <c r="AW670" s="34"/>
      <c r="AX670" s="34"/>
      <c r="AY670" s="34"/>
    </row>
    <row r="671" spans="1:51"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c r="AV671" s="34"/>
      <c r="AW671" s="34"/>
      <c r="AX671" s="34"/>
      <c r="AY671" s="34"/>
    </row>
    <row r="672" spans="1:51"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c r="AV672" s="34"/>
      <c r="AW672" s="34"/>
      <c r="AX672" s="34"/>
      <c r="AY672" s="34"/>
    </row>
    <row r="673" spans="1:51"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c r="AV673" s="34"/>
      <c r="AW673" s="34"/>
      <c r="AX673" s="34"/>
      <c r="AY673" s="34"/>
    </row>
    <row r="674" spans="1:51"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c r="AV674" s="34"/>
      <c r="AW674" s="34"/>
      <c r="AX674" s="34"/>
      <c r="AY674" s="34"/>
    </row>
    <row r="675" spans="1:51"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c r="AV675" s="34"/>
      <c r="AW675" s="34"/>
      <c r="AX675" s="34"/>
      <c r="AY675" s="34"/>
    </row>
    <row r="676" spans="1:51"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c r="AV676" s="34"/>
      <c r="AW676" s="34"/>
      <c r="AX676" s="34"/>
      <c r="AY676" s="34"/>
    </row>
    <row r="677" spans="1:51"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c r="AV677" s="34"/>
      <c r="AW677" s="34"/>
      <c r="AX677" s="34"/>
      <c r="AY677" s="34"/>
    </row>
    <row r="678" spans="1:51"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c r="AV678" s="34"/>
      <c r="AW678" s="34"/>
      <c r="AX678" s="34"/>
      <c r="AY678" s="34"/>
    </row>
    <row r="679" spans="1:51"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c r="AV679" s="34"/>
      <c r="AW679" s="34"/>
      <c r="AX679" s="34"/>
      <c r="AY679" s="34"/>
    </row>
    <row r="680" spans="1:51"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c r="AV680" s="34"/>
      <c r="AW680" s="34"/>
      <c r="AX680" s="34"/>
      <c r="AY680" s="34"/>
    </row>
    <row r="681" spans="1:51"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c r="AV681" s="34"/>
      <c r="AW681" s="34"/>
      <c r="AX681" s="34"/>
      <c r="AY681" s="34"/>
    </row>
    <row r="682" spans="1:51"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c r="AV682" s="34"/>
      <c r="AW682" s="34"/>
      <c r="AX682" s="34"/>
      <c r="AY682" s="34"/>
    </row>
    <row r="683" spans="1:51"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c r="AV683" s="34"/>
      <c r="AW683" s="34"/>
      <c r="AX683" s="34"/>
      <c r="AY683" s="34"/>
    </row>
    <row r="684" spans="1:51"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c r="AV684" s="34"/>
      <c r="AW684" s="34"/>
      <c r="AX684" s="34"/>
      <c r="AY684" s="34"/>
    </row>
    <row r="685" spans="1:51"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c r="AV685" s="34"/>
      <c r="AW685" s="34"/>
      <c r="AX685" s="34"/>
      <c r="AY685" s="34"/>
    </row>
    <row r="686" spans="1:51"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c r="AV686" s="34"/>
      <c r="AW686" s="34"/>
      <c r="AX686" s="34"/>
      <c r="AY686" s="34"/>
    </row>
    <row r="687" spans="1:51"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c r="AV687" s="34"/>
      <c r="AW687" s="34"/>
      <c r="AX687" s="34"/>
      <c r="AY687" s="34"/>
    </row>
    <row r="688" spans="1:51"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c r="AV688" s="34"/>
      <c r="AW688" s="34"/>
      <c r="AX688" s="34"/>
      <c r="AY688" s="34"/>
    </row>
    <row r="689" spans="1:51"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4"/>
      <c r="AY689" s="34"/>
    </row>
    <row r="690" spans="1:51"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c r="AV690" s="34"/>
      <c r="AW690" s="34"/>
      <c r="AX690" s="34"/>
      <c r="AY690" s="34"/>
    </row>
    <row r="691" spans="1:51"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c r="AV691" s="34"/>
      <c r="AW691" s="34"/>
      <c r="AX691" s="34"/>
      <c r="AY691" s="34"/>
    </row>
    <row r="692" spans="1:51"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c r="AV692" s="34"/>
      <c r="AW692" s="34"/>
      <c r="AX692" s="34"/>
      <c r="AY692" s="34"/>
    </row>
    <row r="693" spans="1:51"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row>
    <row r="694" spans="1:51"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c r="AV694" s="34"/>
      <c r="AW694" s="34"/>
      <c r="AX694" s="34"/>
      <c r="AY694" s="34"/>
    </row>
    <row r="695" spans="1:51"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c r="AV695" s="34"/>
      <c r="AW695" s="34"/>
      <c r="AX695" s="34"/>
      <c r="AY695" s="34"/>
    </row>
    <row r="696" spans="1:51"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c r="AV696" s="34"/>
      <c r="AW696" s="34"/>
      <c r="AX696" s="34"/>
      <c r="AY696" s="34"/>
    </row>
    <row r="697" spans="1:51"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c r="AV697" s="34"/>
      <c r="AW697" s="34"/>
      <c r="AX697" s="34"/>
      <c r="AY697" s="34"/>
    </row>
    <row r="698" spans="1:51"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c r="AV698" s="34"/>
      <c r="AW698" s="34"/>
      <c r="AX698" s="34"/>
      <c r="AY698" s="34"/>
    </row>
    <row r="699" spans="1:51"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c r="AV699" s="34"/>
      <c r="AW699" s="34"/>
      <c r="AX699" s="34"/>
      <c r="AY699" s="34"/>
    </row>
    <row r="700" spans="1:51"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c r="AV700" s="34"/>
      <c r="AW700" s="34"/>
      <c r="AX700" s="34"/>
      <c r="AY700" s="34"/>
    </row>
    <row r="701" spans="1:51"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c r="AV701" s="34"/>
      <c r="AW701" s="34"/>
      <c r="AX701" s="34"/>
      <c r="AY701" s="34"/>
    </row>
    <row r="702" spans="1:51"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c r="AV702" s="34"/>
      <c r="AW702" s="34"/>
      <c r="AX702" s="34"/>
      <c r="AY702" s="34"/>
    </row>
    <row r="703" spans="1:51"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c r="AV703" s="34"/>
      <c r="AW703" s="34"/>
      <c r="AX703" s="34"/>
      <c r="AY703" s="34"/>
    </row>
    <row r="704" spans="1:51"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c r="AV704" s="34"/>
      <c r="AW704" s="34"/>
      <c r="AX704" s="34"/>
      <c r="AY704" s="34"/>
    </row>
    <row r="705" spans="1:51"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c r="AV705" s="34"/>
      <c r="AW705" s="34"/>
      <c r="AX705" s="34"/>
      <c r="AY705" s="34"/>
    </row>
    <row r="706" spans="1:51"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c r="AV706" s="34"/>
      <c r="AW706" s="34"/>
      <c r="AX706" s="34"/>
      <c r="AY706" s="34"/>
    </row>
    <row r="707" spans="1:51"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row>
    <row r="708" spans="1:51"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row>
    <row r="709" spans="1:51"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c r="AV709" s="34"/>
      <c r="AW709" s="34"/>
      <c r="AX709" s="34"/>
      <c r="AY709" s="34"/>
    </row>
    <row r="710" spans="1:51"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c r="AV710" s="34"/>
      <c r="AW710" s="34"/>
      <c r="AX710" s="34"/>
      <c r="AY710" s="34"/>
    </row>
    <row r="711" spans="1:51"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c r="AV711" s="34"/>
      <c r="AW711" s="34"/>
      <c r="AX711" s="34"/>
      <c r="AY711" s="34"/>
    </row>
    <row r="712" spans="1:51"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c r="AV712" s="34"/>
      <c r="AW712" s="34"/>
      <c r="AX712" s="34"/>
      <c r="AY712" s="34"/>
    </row>
    <row r="713" spans="1:51"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c r="AV713" s="34"/>
      <c r="AW713" s="34"/>
      <c r="AX713" s="34"/>
      <c r="AY713" s="34"/>
    </row>
    <row r="714" spans="1:51"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row>
    <row r="715" spans="1:51"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row>
    <row r="716" spans="1:51"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row>
    <row r="717" spans="1:51"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row>
    <row r="718" spans="1:51"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row>
    <row r="719" spans="1:51"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row>
    <row r="720" spans="1:51"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c r="AV720" s="34"/>
      <c r="AW720" s="34"/>
      <c r="AX720" s="34"/>
      <c r="AY720" s="34"/>
    </row>
    <row r="721" spans="1:51"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c r="AV721" s="34"/>
      <c r="AW721" s="34"/>
      <c r="AX721" s="34"/>
      <c r="AY721" s="34"/>
    </row>
    <row r="722" spans="1:51"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row>
    <row r="723" spans="1:51"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row>
    <row r="724" spans="1:51"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row>
    <row r="725" spans="1:51"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row>
    <row r="726" spans="1:51"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row>
    <row r="727" spans="1:51"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row>
    <row r="728" spans="1:51"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row>
    <row r="729" spans="1:51"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row>
    <row r="730" spans="1:51"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row>
    <row r="731" spans="1:51"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row>
    <row r="732" spans="1:51"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row>
    <row r="733" spans="1:51"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c r="AV733" s="34"/>
      <c r="AW733" s="34"/>
      <c r="AX733" s="34"/>
      <c r="AY733" s="34"/>
    </row>
    <row r="734" spans="1:51"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c r="AV734" s="34"/>
      <c r="AW734" s="34"/>
      <c r="AX734" s="34"/>
      <c r="AY734" s="34"/>
    </row>
    <row r="735" spans="1:51"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c r="AV735" s="34"/>
      <c r="AW735" s="34"/>
      <c r="AX735" s="34"/>
      <c r="AY735" s="34"/>
    </row>
    <row r="736" spans="1:51"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c r="AV736" s="34"/>
      <c r="AW736" s="34"/>
      <c r="AX736" s="34"/>
      <c r="AY736" s="34"/>
    </row>
    <row r="737" spans="1:51"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c r="AV737" s="34"/>
      <c r="AW737" s="34"/>
      <c r="AX737" s="34"/>
      <c r="AY737" s="34"/>
    </row>
    <row r="738" spans="1:51"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c r="AV738" s="34"/>
      <c r="AW738" s="34"/>
      <c r="AX738" s="34"/>
      <c r="AY738" s="34"/>
    </row>
    <row r="739" spans="1:51"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c r="AV739" s="34"/>
      <c r="AW739" s="34"/>
      <c r="AX739" s="34"/>
      <c r="AY739" s="34"/>
    </row>
    <row r="740" spans="1:51"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c r="AV740" s="34"/>
      <c r="AW740" s="34"/>
      <c r="AX740" s="34"/>
      <c r="AY740" s="34"/>
    </row>
    <row r="741" spans="1:51"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c r="AV741" s="34"/>
      <c r="AW741" s="34"/>
      <c r="AX741" s="34"/>
      <c r="AY741" s="34"/>
    </row>
    <row r="742" spans="1:51"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c r="AV742" s="34"/>
      <c r="AW742" s="34"/>
      <c r="AX742" s="34"/>
      <c r="AY742" s="34"/>
    </row>
    <row r="743" spans="1:51"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c r="AV743" s="34"/>
      <c r="AW743" s="34"/>
      <c r="AX743" s="34"/>
      <c r="AY743" s="34"/>
    </row>
    <row r="744" spans="1:51"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c r="AV744" s="34"/>
      <c r="AW744" s="34"/>
      <c r="AX744" s="34"/>
      <c r="AY744" s="34"/>
    </row>
    <row r="745" spans="1:51"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c r="AV745" s="34"/>
      <c r="AW745" s="34"/>
      <c r="AX745" s="34"/>
      <c r="AY745" s="34"/>
    </row>
    <row r="746" spans="1:51"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c r="AV746" s="34"/>
      <c r="AW746" s="34"/>
      <c r="AX746" s="34"/>
      <c r="AY746" s="34"/>
    </row>
    <row r="747" spans="1:51"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c r="AV747" s="34"/>
      <c r="AW747" s="34"/>
      <c r="AX747" s="34"/>
      <c r="AY747" s="34"/>
    </row>
    <row r="748" spans="1:51"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c r="AV748" s="34"/>
      <c r="AW748" s="34"/>
      <c r="AX748" s="34"/>
      <c r="AY748" s="34"/>
    </row>
    <row r="749" spans="1:51"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c r="AV749" s="34"/>
      <c r="AW749" s="34"/>
      <c r="AX749" s="34"/>
      <c r="AY749" s="34"/>
    </row>
    <row r="750" spans="1:51"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c r="AV750" s="34"/>
      <c r="AW750" s="34"/>
      <c r="AX750" s="34"/>
      <c r="AY750" s="34"/>
    </row>
    <row r="751" spans="1:51"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c r="AV751" s="34"/>
      <c r="AW751" s="34"/>
      <c r="AX751" s="34"/>
      <c r="AY751" s="34"/>
    </row>
    <row r="752" spans="1:51"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c r="AV752" s="34"/>
      <c r="AW752" s="34"/>
      <c r="AX752" s="34"/>
      <c r="AY752" s="34"/>
    </row>
    <row r="753" spans="1:51"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c r="AV753" s="34"/>
      <c r="AW753" s="34"/>
      <c r="AX753" s="34"/>
      <c r="AY753" s="34"/>
    </row>
    <row r="754" spans="1:51"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c r="AV754" s="34"/>
      <c r="AW754" s="34"/>
      <c r="AX754" s="34"/>
      <c r="AY754" s="34"/>
    </row>
    <row r="755" spans="1:51"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c r="AV755" s="34"/>
      <c r="AW755" s="34"/>
      <c r="AX755" s="34"/>
      <c r="AY755" s="34"/>
    </row>
    <row r="756" spans="1:51"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c r="AV756" s="34"/>
      <c r="AW756" s="34"/>
      <c r="AX756" s="34"/>
      <c r="AY756" s="34"/>
    </row>
    <row r="757" spans="1:51"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c r="AV757" s="34"/>
      <c r="AW757" s="34"/>
      <c r="AX757" s="34"/>
      <c r="AY757" s="34"/>
    </row>
    <row r="758" spans="1:51"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c r="AV758" s="34"/>
      <c r="AW758" s="34"/>
      <c r="AX758" s="34"/>
      <c r="AY758" s="34"/>
    </row>
    <row r="759" spans="1:51"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c r="AV759" s="34"/>
      <c r="AW759" s="34"/>
      <c r="AX759" s="34"/>
      <c r="AY759" s="34"/>
    </row>
    <row r="760" spans="1:51"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c r="AV760" s="34"/>
      <c r="AW760" s="34"/>
      <c r="AX760" s="34"/>
      <c r="AY760" s="34"/>
    </row>
    <row r="761" spans="1:51"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c r="AV761" s="34"/>
      <c r="AW761" s="34"/>
      <c r="AX761" s="34"/>
      <c r="AY761" s="34"/>
    </row>
    <row r="762" spans="1:51"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c r="AV762" s="34"/>
      <c r="AW762" s="34"/>
      <c r="AX762" s="34"/>
      <c r="AY762" s="34"/>
    </row>
    <row r="763" spans="1:51"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c r="AV763" s="34"/>
      <c r="AW763" s="34"/>
      <c r="AX763" s="34"/>
      <c r="AY763" s="34"/>
    </row>
    <row r="764" spans="1:51"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c r="AV764" s="34"/>
      <c r="AW764" s="34"/>
      <c r="AX764" s="34"/>
      <c r="AY764" s="34"/>
    </row>
    <row r="765" spans="1:51"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c r="AV765" s="34"/>
      <c r="AW765" s="34"/>
      <c r="AX765" s="34"/>
      <c r="AY765" s="34"/>
    </row>
    <row r="766" spans="1:51"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c r="AV766" s="34"/>
      <c r="AW766" s="34"/>
      <c r="AX766" s="34"/>
      <c r="AY766" s="34"/>
    </row>
    <row r="767" spans="1:51"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c r="AV767" s="34"/>
      <c r="AW767" s="34"/>
      <c r="AX767" s="34"/>
      <c r="AY767" s="34"/>
    </row>
    <row r="768" spans="1:51"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c r="AV768" s="34"/>
      <c r="AW768" s="34"/>
      <c r="AX768" s="34"/>
      <c r="AY768" s="34"/>
    </row>
    <row r="769" spans="1:51"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c r="AV769" s="34"/>
      <c r="AW769" s="34"/>
      <c r="AX769" s="34"/>
      <c r="AY769" s="34"/>
    </row>
    <row r="770" spans="1:51"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c r="AV770" s="34"/>
      <c r="AW770" s="34"/>
      <c r="AX770" s="34"/>
      <c r="AY770" s="34"/>
    </row>
    <row r="771" spans="1:51"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c r="AV771" s="34"/>
      <c r="AW771" s="34"/>
      <c r="AX771" s="34"/>
      <c r="AY771" s="34"/>
    </row>
    <row r="772" spans="1:51"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c r="AV772" s="34"/>
      <c r="AW772" s="34"/>
      <c r="AX772" s="34"/>
      <c r="AY772" s="34"/>
    </row>
    <row r="773" spans="1:51"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row>
    <row r="774" spans="1:51"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row>
    <row r="775" spans="1:51"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c r="AV775" s="34"/>
      <c r="AW775" s="34"/>
      <c r="AX775" s="34"/>
      <c r="AY775" s="34"/>
    </row>
    <row r="776" spans="1:51"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row>
    <row r="777" spans="1:51"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row>
    <row r="778" spans="1:51"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row>
    <row r="779" spans="1:51"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c r="AV779" s="34"/>
      <c r="AW779" s="34"/>
      <c r="AX779" s="34"/>
      <c r="AY779" s="34"/>
    </row>
    <row r="780" spans="1:51"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row>
    <row r="781" spans="1:51"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c r="AV781" s="34"/>
      <c r="AW781" s="34"/>
      <c r="AX781" s="34"/>
      <c r="AY781" s="34"/>
    </row>
    <row r="782" spans="1:51"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row>
    <row r="783" spans="1:51"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row>
    <row r="784" spans="1:51"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c r="AV784" s="34"/>
      <c r="AW784" s="34"/>
      <c r="AX784" s="34"/>
      <c r="AY784" s="34"/>
    </row>
    <row r="785" spans="1:51"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c r="AV785" s="34"/>
      <c r="AW785" s="34"/>
      <c r="AX785" s="34"/>
      <c r="AY785" s="34"/>
    </row>
    <row r="786" spans="1:51"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c r="AV786" s="34"/>
      <c r="AW786" s="34"/>
      <c r="AX786" s="34"/>
      <c r="AY786" s="34"/>
    </row>
    <row r="787" spans="1:51"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c r="AV787" s="34"/>
      <c r="AW787" s="34"/>
      <c r="AX787" s="34"/>
      <c r="AY787" s="34"/>
    </row>
    <row r="788" spans="1:51"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c r="AV788" s="34"/>
      <c r="AW788" s="34"/>
      <c r="AX788" s="34"/>
      <c r="AY788" s="34"/>
    </row>
    <row r="789" spans="1:51"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c r="AV789" s="34"/>
      <c r="AW789" s="34"/>
      <c r="AX789" s="34"/>
      <c r="AY789" s="34"/>
    </row>
    <row r="790" spans="1:51"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c r="AV790" s="34"/>
      <c r="AW790" s="34"/>
      <c r="AX790" s="34"/>
      <c r="AY790" s="34"/>
    </row>
    <row r="791" spans="1:51"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row>
    <row r="792" spans="1:51"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row>
    <row r="793" spans="1:51"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c r="AV793" s="34"/>
      <c r="AW793" s="34"/>
      <c r="AX793" s="34"/>
      <c r="AY793" s="34"/>
    </row>
    <row r="794" spans="1:51"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row>
    <row r="795" spans="1:51"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row>
    <row r="796" spans="1:51"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c r="AV796" s="34"/>
      <c r="AW796" s="34"/>
      <c r="AX796" s="34"/>
      <c r="AY796" s="34"/>
    </row>
    <row r="797" spans="1:51"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row>
    <row r="798" spans="1:51"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row>
    <row r="799" spans="1:51"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c r="AV799" s="34"/>
      <c r="AW799" s="34"/>
      <c r="AX799" s="34"/>
      <c r="AY799" s="34"/>
    </row>
    <row r="800" spans="1:51"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c r="AV800" s="34"/>
      <c r="AW800" s="34"/>
      <c r="AX800" s="34"/>
      <c r="AY800" s="34"/>
    </row>
    <row r="801" spans="1:51"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c r="AV801" s="34"/>
      <c r="AW801" s="34"/>
      <c r="AX801" s="34"/>
      <c r="AY801" s="34"/>
    </row>
    <row r="802" spans="1:51"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c r="AV802" s="34"/>
      <c r="AW802" s="34"/>
      <c r="AX802" s="34"/>
      <c r="AY802" s="34"/>
    </row>
    <row r="803" spans="1:51"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c r="AV803" s="34"/>
      <c r="AW803" s="34"/>
      <c r="AX803" s="34"/>
      <c r="AY803" s="34"/>
    </row>
    <row r="804" spans="1:51"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c r="AV804" s="34"/>
      <c r="AW804" s="34"/>
      <c r="AX804" s="34"/>
      <c r="AY804" s="34"/>
    </row>
    <row r="805" spans="1:51"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c r="AV805" s="34"/>
      <c r="AW805" s="34"/>
      <c r="AX805" s="34"/>
      <c r="AY805" s="34"/>
    </row>
    <row r="806" spans="1:51"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row>
    <row r="807" spans="1:51"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c r="AV807" s="34"/>
      <c r="AW807" s="34"/>
      <c r="AX807" s="34"/>
      <c r="AY807" s="34"/>
    </row>
    <row r="808" spans="1:51"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row>
    <row r="809" spans="1:51"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row>
    <row r="810" spans="1:51"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c r="AV810" s="34"/>
      <c r="AW810" s="34"/>
      <c r="AX810" s="34"/>
      <c r="AY810" s="34"/>
    </row>
    <row r="811" spans="1:51"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row>
    <row r="812" spans="1:51"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row>
    <row r="813" spans="1:51"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row>
    <row r="814" spans="1:51"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c r="AV814" s="34"/>
      <c r="AW814" s="34"/>
      <c r="AX814" s="34"/>
      <c r="AY814" s="34"/>
    </row>
    <row r="815" spans="1:51"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row>
    <row r="816" spans="1:51"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c r="AV816" s="34"/>
      <c r="AW816" s="34"/>
      <c r="AX816" s="34"/>
      <c r="AY816" s="34"/>
    </row>
    <row r="817" spans="1:51"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c r="AV817" s="34"/>
      <c r="AW817" s="34"/>
      <c r="AX817" s="34"/>
      <c r="AY817" s="34"/>
    </row>
    <row r="818" spans="1:51"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c r="AV818" s="34"/>
      <c r="AW818" s="34"/>
      <c r="AX818" s="34"/>
      <c r="AY818" s="34"/>
    </row>
    <row r="819" spans="1:51"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c r="AV819" s="34"/>
      <c r="AW819" s="34"/>
      <c r="AX819" s="34"/>
      <c r="AY819" s="34"/>
    </row>
    <row r="820" spans="1:51"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row>
    <row r="821" spans="1:51"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row>
    <row r="822" spans="1:51"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c r="AV822" s="34"/>
      <c r="AW822" s="34"/>
      <c r="AX822" s="34"/>
      <c r="AY822" s="34"/>
    </row>
    <row r="823" spans="1:51"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c r="AV823" s="34"/>
      <c r="AW823" s="34"/>
      <c r="AX823" s="34"/>
      <c r="AY823" s="34"/>
    </row>
    <row r="824" spans="1:51"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c r="AV824" s="34"/>
      <c r="AW824" s="34"/>
      <c r="AX824" s="34"/>
      <c r="AY824" s="34"/>
    </row>
    <row r="825" spans="1:51"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c r="AV825" s="34"/>
      <c r="AW825" s="34"/>
      <c r="AX825" s="34"/>
      <c r="AY825" s="34"/>
    </row>
    <row r="826" spans="1:51"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c r="AV826" s="34"/>
      <c r="AW826" s="34"/>
      <c r="AX826" s="34"/>
      <c r="AY826" s="34"/>
    </row>
    <row r="827" spans="1:51"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c r="AV827" s="34"/>
      <c r="AW827" s="34"/>
      <c r="AX827" s="34"/>
      <c r="AY827" s="34"/>
    </row>
    <row r="828" spans="1:51"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c r="AV828" s="34"/>
      <c r="AW828" s="34"/>
      <c r="AX828" s="34"/>
      <c r="AY828" s="34"/>
    </row>
    <row r="829" spans="1:51"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c r="AV829" s="34"/>
      <c r="AW829" s="34"/>
      <c r="AX829" s="34"/>
      <c r="AY829" s="34"/>
    </row>
    <row r="830" spans="1:51"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c r="AV830" s="34"/>
      <c r="AW830" s="34"/>
      <c r="AX830" s="34"/>
      <c r="AY830" s="34"/>
    </row>
    <row r="831" spans="1:51"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34"/>
      <c r="AW831" s="34"/>
      <c r="AX831" s="34"/>
      <c r="AY831" s="34"/>
    </row>
    <row r="832" spans="1:51"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c r="AV832" s="34"/>
      <c r="AW832" s="34"/>
      <c r="AX832" s="34"/>
      <c r="AY832" s="34"/>
    </row>
    <row r="833" spans="1:51"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c r="AV833" s="34"/>
      <c r="AW833" s="34"/>
      <c r="AX833" s="34"/>
      <c r="AY833" s="34"/>
    </row>
    <row r="834" spans="1:51"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c r="AV834" s="34"/>
      <c r="AW834" s="34"/>
      <c r="AX834" s="34"/>
      <c r="AY834" s="34"/>
    </row>
    <row r="835" spans="1:51"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c r="AV835" s="34"/>
      <c r="AW835" s="34"/>
      <c r="AX835" s="34"/>
      <c r="AY835" s="34"/>
    </row>
    <row r="836" spans="1:51"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c r="AV836" s="34"/>
      <c r="AW836" s="34"/>
      <c r="AX836" s="34"/>
      <c r="AY836" s="34"/>
    </row>
    <row r="837" spans="1:51"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c r="AV837" s="34"/>
      <c r="AW837" s="34"/>
      <c r="AX837" s="34"/>
      <c r="AY837" s="34"/>
    </row>
    <row r="838" spans="1:51"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c r="AV838" s="34"/>
      <c r="AW838" s="34"/>
      <c r="AX838" s="34"/>
      <c r="AY838" s="34"/>
    </row>
    <row r="839" spans="1:51"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c r="AV839" s="34"/>
      <c r="AW839" s="34"/>
      <c r="AX839" s="34"/>
      <c r="AY839" s="34"/>
    </row>
    <row r="840" spans="1:51"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c r="AV840" s="34"/>
      <c r="AW840" s="34"/>
      <c r="AX840" s="34"/>
      <c r="AY840" s="34"/>
    </row>
    <row r="841" spans="1:51"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c r="AV841" s="34"/>
      <c r="AW841" s="34"/>
      <c r="AX841" s="34"/>
      <c r="AY841" s="34"/>
    </row>
    <row r="842" spans="1:51"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c r="AV842" s="34"/>
      <c r="AW842" s="34"/>
      <c r="AX842" s="34"/>
      <c r="AY842" s="34"/>
    </row>
    <row r="843" spans="1:51"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c r="AV843" s="34"/>
      <c r="AW843" s="34"/>
      <c r="AX843" s="34"/>
      <c r="AY843" s="34"/>
    </row>
    <row r="844" spans="1:51"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c r="AV844" s="34"/>
      <c r="AW844" s="34"/>
      <c r="AX844" s="34"/>
      <c r="AY844" s="34"/>
    </row>
    <row r="845" spans="1:51"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c r="AV845" s="34"/>
      <c r="AW845" s="34"/>
      <c r="AX845" s="34"/>
      <c r="AY845" s="34"/>
    </row>
    <row r="846" spans="1:51"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4"/>
      <c r="AW846" s="34"/>
      <c r="AX846" s="34"/>
      <c r="AY846" s="34"/>
    </row>
    <row r="847" spans="1:51"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c r="AV847" s="34"/>
      <c r="AW847" s="34"/>
      <c r="AX847" s="34"/>
      <c r="AY847" s="34"/>
    </row>
    <row r="848" spans="1:51"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c r="AV848" s="34"/>
      <c r="AW848" s="34"/>
      <c r="AX848" s="34"/>
      <c r="AY848" s="34"/>
    </row>
    <row r="849" spans="1:51"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c r="AV849" s="34"/>
      <c r="AW849" s="34"/>
      <c r="AX849" s="34"/>
      <c r="AY849" s="34"/>
    </row>
    <row r="850" spans="1:51"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c r="AV850" s="34"/>
      <c r="AW850" s="34"/>
      <c r="AX850" s="34"/>
      <c r="AY850" s="34"/>
    </row>
    <row r="851" spans="1:51"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c r="AV851" s="34"/>
      <c r="AW851" s="34"/>
      <c r="AX851" s="34"/>
      <c r="AY851" s="34"/>
    </row>
    <row r="852" spans="1:51"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c r="AV852" s="34"/>
      <c r="AW852" s="34"/>
      <c r="AX852" s="34"/>
      <c r="AY852" s="34"/>
    </row>
    <row r="853" spans="1:51"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c r="AV853" s="34"/>
      <c r="AW853" s="34"/>
      <c r="AX853" s="34"/>
      <c r="AY853" s="34"/>
    </row>
    <row r="854" spans="1:51"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c r="AV854" s="34"/>
      <c r="AW854" s="34"/>
      <c r="AX854" s="34"/>
      <c r="AY854" s="34"/>
    </row>
    <row r="855" spans="1:51"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c r="AV855" s="34"/>
      <c r="AW855" s="34"/>
      <c r="AX855" s="34"/>
      <c r="AY855" s="34"/>
    </row>
    <row r="856" spans="1:51"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row>
    <row r="857" spans="1:51"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row>
    <row r="858" spans="1:51"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c r="AV858" s="34"/>
      <c r="AW858" s="34"/>
      <c r="AX858" s="34"/>
      <c r="AY858" s="34"/>
    </row>
    <row r="859" spans="1:51"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row>
    <row r="860" spans="1:51"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row>
    <row r="861" spans="1:51"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row>
    <row r="862" spans="1:51"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row>
    <row r="863" spans="1:51"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row>
    <row r="864" spans="1:51"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row>
    <row r="865" spans="1:51"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row>
    <row r="866" spans="1:51"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row>
    <row r="867" spans="1:51"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row>
    <row r="868" spans="1:51"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row>
    <row r="869" spans="1:51"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c r="AV869" s="34"/>
      <c r="AW869" s="34"/>
      <c r="AX869" s="34"/>
      <c r="AY869" s="34"/>
    </row>
    <row r="870" spans="1:51"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c r="AV870" s="34"/>
      <c r="AW870" s="34"/>
      <c r="AX870" s="34"/>
      <c r="AY870" s="34"/>
    </row>
    <row r="871" spans="1:51"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c r="AV871" s="34"/>
      <c r="AW871" s="34"/>
      <c r="AX871" s="34"/>
      <c r="AY871" s="34"/>
    </row>
    <row r="872" spans="1:51"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c r="AV872" s="34"/>
      <c r="AW872" s="34"/>
      <c r="AX872" s="34"/>
      <c r="AY872" s="34"/>
    </row>
    <row r="873" spans="1:51"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row>
    <row r="874" spans="1:51"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row>
    <row r="875" spans="1:51"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c r="AV875" s="34"/>
      <c r="AW875" s="34"/>
      <c r="AX875" s="34"/>
      <c r="AY875" s="34"/>
    </row>
    <row r="876" spans="1:51"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row>
    <row r="877" spans="1:51"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c r="AV877" s="34"/>
      <c r="AW877" s="34"/>
      <c r="AX877" s="34"/>
      <c r="AY877" s="34"/>
    </row>
    <row r="878" spans="1:51"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row>
    <row r="879" spans="1:51"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c r="AV879" s="34"/>
      <c r="AW879" s="34"/>
      <c r="AX879" s="34"/>
      <c r="AY879" s="34"/>
    </row>
    <row r="880" spans="1:51"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row>
    <row r="881" spans="1:51"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row>
    <row r="882" spans="1:51"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row>
    <row r="883" spans="1:51"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row>
    <row r="884" spans="1:51"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row>
    <row r="885" spans="1:51"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c r="AV885" s="34"/>
      <c r="AW885" s="34"/>
      <c r="AX885" s="34"/>
      <c r="AY885" s="34"/>
    </row>
    <row r="886" spans="1:51"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c r="AV886" s="34"/>
      <c r="AW886" s="34"/>
      <c r="AX886" s="34"/>
      <c r="AY886" s="34"/>
    </row>
    <row r="887" spans="1:51"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c r="AV887" s="34"/>
      <c r="AW887" s="34"/>
      <c r="AX887" s="34"/>
      <c r="AY887" s="34"/>
    </row>
    <row r="888" spans="1:51"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c r="AV888" s="34"/>
      <c r="AW888" s="34"/>
      <c r="AX888" s="34"/>
      <c r="AY888" s="34"/>
    </row>
    <row r="889" spans="1:51"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c r="AV889" s="34"/>
      <c r="AW889" s="34"/>
      <c r="AX889" s="34"/>
      <c r="AY889" s="34"/>
    </row>
    <row r="890" spans="1:51"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c r="AV890" s="34"/>
      <c r="AW890" s="34"/>
      <c r="AX890" s="34"/>
      <c r="AY890" s="34"/>
    </row>
    <row r="891" spans="1:51"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c r="AV891" s="34"/>
      <c r="AW891" s="34"/>
      <c r="AX891" s="34"/>
      <c r="AY891" s="34"/>
    </row>
    <row r="892" spans="1:51"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row>
    <row r="893" spans="1:51"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row>
    <row r="894" spans="1:51"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row>
    <row r="895" spans="1:51"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row>
    <row r="896" spans="1:51"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row>
    <row r="897" spans="1:51"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row>
    <row r="898" spans="1:51"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row>
    <row r="899" spans="1:51"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row>
    <row r="900" spans="1:51"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row>
    <row r="901" spans="1:51"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row>
    <row r="902" spans="1:51"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row>
    <row r="903" spans="1:51"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row>
    <row r="904" spans="1:51"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row>
    <row r="905" spans="1:51"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row>
    <row r="906" spans="1:51"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row>
    <row r="907" spans="1:51"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row>
    <row r="908" spans="1:51"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row>
    <row r="909" spans="1:51"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row>
    <row r="910" spans="1:51"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row>
    <row r="911" spans="1:51"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row>
    <row r="912" spans="1:51"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row>
    <row r="913" spans="1:51"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row>
    <row r="914" spans="1:51"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row>
    <row r="915" spans="1:51"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row>
    <row r="916" spans="1:51"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row>
    <row r="917" spans="1:51"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row>
    <row r="918" spans="1:51"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row>
    <row r="919" spans="1:51"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row>
    <row r="920" spans="1:51"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row>
    <row r="921" spans="1:51"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row>
    <row r="922" spans="1:51"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row>
    <row r="923" spans="1:51"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row>
    <row r="924" spans="1:51"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row>
    <row r="925" spans="1:51"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row>
    <row r="926" spans="1:51"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row>
    <row r="927" spans="1:51"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row>
    <row r="928" spans="1:51"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row>
    <row r="929" spans="1:51"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row>
    <row r="930" spans="1:51"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row>
    <row r="931" spans="1:51"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row>
    <row r="932" spans="1:51"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row>
    <row r="933" spans="1:51"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row>
    <row r="934" spans="1:51"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row>
    <row r="935" spans="1:51"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row>
    <row r="936" spans="1:51"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row>
    <row r="937" spans="1:51"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row>
    <row r="938" spans="1:51"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row>
    <row r="939" spans="1:51"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row>
    <row r="940" spans="1:51"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row>
    <row r="941" spans="1:51"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row>
    <row r="942" spans="1:51"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c r="AV942" s="34"/>
      <c r="AW942" s="34"/>
      <c r="AX942" s="34"/>
      <c r="AY942" s="34"/>
    </row>
    <row r="943" spans="1:51"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c r="AV943" s="34"/>
      <c r="AW943" s="34"/>
      <c r="AX943" s="34"/>
      <c r="AY943" s="34"/>
    </row>
    <row r="944" spans="1:51"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row>
    <row r="945" spans="1:51"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row>
    <row r="946" spans="1:51"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row>
    <row r="947" spans="1:51"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row>
    <row r="948" spans="1:51"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row>
    <row r="949" spans="1:51"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row>
    <row r="950" spans="1:51"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c r="AV950" s="34"/>
      <c r="AW950" s="34"/>
      <c r="AX950" s="34"/>
      <c r="AY950" s="34"/>
    </row>
    <row r="951" spans="1:51"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c r="AV951" s="34"/>
      <c r="AW951" s="34"/>
      <c r="AX951" s="34"/>
      <c r="AY951" s="34"/>
    </row>
    <row r="952" spans="1:51"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row>
    <row r="953" spans="1:51"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row>
    <row r="954" spans="1:51"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row>
    <row r="955" spans="1:51"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row>
    <row r="956" spans="1:51"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row>
    <row r="957" spans="1:51"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row>
    <row r="958" spans="1:51"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row>
    <row r="959" spans="1:51"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row>
    <row r="960" spans="1:51"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row>
    <row r="961" spans="1:51"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row>
    <row r="962" spans="1:51"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c r="AV962" s="34"/>
      <c r="AW962" s="34"/>
      <c r="AX962" s="34"/>
      <c r="AY962" s="34"/>
    </row>
    <row r="963" spans="1:51"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c r="AV963" s="34"/>
      <c r="AW963" s="34"/>
      <c r="AX963" s="34"/>
      <c r="AY963" s="34"/>
    </row>
    <row r="964" spans="1:51"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c r="AV964" s="34"/>
      <c r="AW964" s="34"/>
      <c r="AX964" s="34"/>
      <c r="AY964" s="34"/>
    </row>
    <row r="965" spans="1:51"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c r="AV965" s="34"/>
      <c r="AW965" s="34"/>
      <c r="AX965" s="34"/>
      <c r="AY965" s="34"/>
    </row>
    <row r="966" spans="1:51"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c r="AV966" s="34"/>
      <c r="AW966" s="34"/>
      <c r="AX966" s="34"/>
      <c r="AY966" s="34"/>
    </row>
    <row r="967" spans="1:51"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c r="AV967" s="34"/>
      <c r="AW967" s="34"/>
      <c r="AX967" s="34"/>
      <c r="AY967" s="34"/>
    </row>
    <row r="968" spans="1:51"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row>
    <row r="969" spans="1:51"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row>
    <row r="970" spans="1:51"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c r="AV970" s="34"/>
      <c r="AW970" s="34"/>
      <c r="AX970" s="34"/>
      <c r="AY970" s="34"/>
    </row>
    <row r="971" spans="1:51"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row>
    <row r="972" spans="1:51"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c r="AV972" s="34"/>
      <c r="AW972" s="34"/>
      <c r="AX972" s="34"/>
      <c r="AY972" s="34"/>
    </row>
    <row r="973" spans="1:51"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c r="AV973" s="34"/>
      <c r="AW973" s="34"/>
      <c r="AX973" s="34"/>
      <c r="AY973" s="34"/>
    </row>
    <row r="974" spans="1:51"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c r="AV974" s="34"/>
      <c r="AW974" s="34"/>
      <c r="AX974" s="34"/>
      <c r="AY974" s="34"/>
    </row>
    <row r="975" spans="1:51"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c r="AV975" s="34"/>
      <c r="AW975" s="34"/>
      <c r="AX975" s="34"/>
      <c r="AY975" s="34"/>
    </row>
    <row r="976" spans="1:51"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c r="AV976" s="34"/>
      <c r="AW976" s="34"/>
      <c r="AX976" s="34"/>
      <c r="AY976" s="34"/>
    </row>
    <row r="977" spans="1:51"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c r="AV977" s="34"/>
      <c r="AW977" s="34"/>
      <c r="AX977" s="34"/>
      <c r="AY977" s="34"/>
    </row>
    <row r="978" spans="1:51"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c r="AV978" s="34"/>
      <c r="AW978" s="34"/>
      <c r="AX978" s="34"/>
      <c r="AY978" s="34"/>
    </row>
    <row r="979" spans="1:51"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c r="AV979" s="34"/>
      <c r="AW979" s="34"/>
      <c r="AX979" s="34"/>
      <c r="AY979" s="34"/>
    </row>
    <row r="980" spans="1:51"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c r="AV980" s="34"/>
      <c r="AW980" s="34"/>
      <c r="AX980" s="34"/>
      <c r="AY980" s="34"/>
    </row>
    <row r="981" spans="1:51"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c r="AV981" s="34"/>
      <c r="AW981" s="34"/>
      <c r="AX981" s="34"/>
      <c r="AY981" s="34"/>
    </row>
    <row r="982" spans="1:51"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c r="AV982" s="34"/>
      <c r="AW982" s="34"/>
      <c r="AX982" s="34"/>
      <c r="AY982" s="34"/>
    </row>
    <row r="983" spans="1:51"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c r="AV983" s="34"/>
      <c r="AW983" s="34"/>
      <c r="AX983" s="34"/>
      <c r="AY983" s="34"/>
    </row>
    <row r="984" spans="1:51"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c r="AV984" s="34"/>
      <c r="AW984" s="34"/>
      <c r="AX984" s="34"/>
      <c r="AY984" s="34"/>
    </row>
    <row r="985" spans="1:51"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c r="AV985" s="34"/>
      <c r="AW985" s="34"/>
      <c r="AX985" s="34"/>
      <c r="AY985" s="34"/>
    </row>
    <row r="986" spans="1:51"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c r="AV986" s="34"/>
      <c r="AW986" s="34"/>
      <c r="AX986" s="34"/>
      <c r="AY986" s="34"/>
    </row>
    <row r="987" spans="1:51"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c r="AV987" s="34"/>
      <c r="AW987" s="34"/>
      <c r="AX987" s="34"/>
      <c r="AY987" s="34"/>
    </row>
    <row r="988" spans="1:51"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c r="AV988" s="34"/>
      <c r="AW988" s="34"/>
      <c r="AX988" s="34"/>
      <c r="AY988" s="34"/>
    </row>
    <row r="989" spans="1:51"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c r="AV989" s="34"/>
      <c r="AW989" s="34"/>
      <c r="AX989" s="34"/>
      <c r="AY989" s="34"/>
    </row>
    <row r="990" spans="1:51"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row>
    <row r="991" spans="1:51"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c r="AV991" s="34"/>
      <c r="AW991" s="34"/>
      <c r="AX991" s="34"/>
      <c r="AY991" s="34"/>
    </row>
    <row r="992" spans="1:51"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c r="AV992" s="34"/>
      <c r="AW992" s="34"/>
      <c r="AX992" s="34"/>
      <c r="AY992" s="34"/>
    </row>
    <row r="993" spans="1:51"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c r="AV993" s="34"/>
      <c r="AW993" s="34"/>
      <c r="AX993" s="34"/>
      <c r="AY993" s="34"/>
    </row>
    <row r="994" spans="1:51"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c r="AV994" s="34"/>
      <c r="AW994" s="34"/>
      <c r="AX994" s="34"/>
      <c r="AY994" s="34"/>
    </row>
    <row r="995" spans="1:51"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c r="AV995" s="34"/>
      <c r="AW995" s="34"/>
      <c r="AX995" s="34"/>
      <c r="AY995" s="34"/>
    </row>
    <row r="996" spans="1:51"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c r="AV996" s="34"/>
      <c r="AW996" s="34"/>
      <c r="AX996" s="34"/>
      <c r="AY996" s="34"/>
    </row>
    <row r="997" spans="1:51"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c r="AV997" s="34"/>
      <c r="AW997" s="34"/>
      <c r="AX997" s="34"/>
      <c r="AY997" s="34"/>
    </row>
    <row r="998" spans="1:51"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c r="AV998" s="34"/>
      <c r="AW998" s="34"/>
      <c r="AX998" s="34"/>
      <c r="AY998" s="34"/>
    </row>
    <row r="999" spans="1:51"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c r="AV999" s="34"/>
      <c r="AW999" s="34"/>
      <c r="AX999" s="34"/>
      <c r="AY999" s="34"/>
    </row>
    <row r="1000" spans="1:51"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row>
  </sheetData>
  <mergeCells count="8">
    <mergeCell ref="A12:Q12"/>
    <mergeCell ref="R12:AH12"/>
    <mergeCell ref="AI12:AY12"/>
    <mergeCell ref="A1:Q1"/>
    <mergeCell ref="D3:I3"/>
    <mergeCell ref="N3:Q3"/>
    <mergeCell ref="S3:X3"/>
    <mergeCell ref="S4:X4"/>
  </mergeCells>
  <dataValidations count="1">
    <dataValidation type="list" allowBlank="1" showErrorMessage="1" sqref="AF2:AG2 AF6" xr:uid="{00000000-0002-0000-2000-000000000000}">
      <formula1>"Yes,No"</formula1>
    </dataValidation>
  </dataValidations>
  <hyperlinks>
    <hyperlink ref="M9" location="'EV5.5 TSAC Attachment Guidance'!A1" display="Link to guidance notes" xr:uid="{00000000-0004-0000-2000-000000000000}"/>
    <hyperlink ref="M10" location="'Cover Sheet'!A1" display="BACK to COVER SHEET" xr:uid="{00000000-0004-0000-2000-000001000000}"/>
  </hyperlinks>
  <pageMargins left="0.7" right="0.7" top="0.78740157499999996" bottom="0.78740157499999996" header="0" footer="0"/>
  <pageSetup paperSize="9"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D99594"/>
  </sheetPr>
  <dimension ref="A1:AB1000"/>
  <sheetViews>
    <sheetView showGridLines="0" workbookViewId="0"/>
  </sheetViews>
  <sheetFormatPr baseColWidth="10" defaultColWidth="12.5703125" defaultRowHeight="15" customHeight="1"/>
  <cols>
    <col min="1" max="1" width="4.42578125" customWidth="1"/>
    <col min="2" max="2" width="21.42578125" customWidth="1"/>
    <col min="3" max="3" width="37.42578125" customWidth="1"/>
    <col min="4" max="4" width="36.140625" customWidth="1"/>
    <col min="5" max="5" width="20" customWidth="1"/>
    <col min="6" max="6" width="7.42578125" customWidth="1"/>
    <col min="7" max="7" width="9.140625" customWidth="1"/>
    <col min="8" max="8" width="7.42578125" customWidth="1"/>
    <col min="9" max="9" width="6.140625" customWidth="1"/>
    <col min="10" max="28" width="11.42578125" customWidth="1"/>
  </cols>
  <sheetData>
    <row r="1" spans="1:28" ht="12.75" customHeight="1">
      <c r="A1" s="34"/>
      <c r="B1" s="213" t="s">
        <v>137</v>
      </c>
      <c r="C1" s="213"/>
      <c r="D1" s="34"/>
      <c r="E1" s="34"/>
      <c r="F1" s="34"/>
      <c r="G1" s="34"/>
      <c r="H1" s="34"/>
      <c r="I1" s="34"/>
      <c r="J1" s="34"/>
      <c r="K1" s="34"/>
      <c r="L1" s="34"/>
      <c r="M1" s="34"/>
      <c r="N1" s="34"/>
      <c r="O1" s="34"/>
      <c r="P1" s="34"/>
      <c r="Q1" s="34"/>
      <c r="R1" s="34"/>
      <c r="S1" s="34"/>
      <c r="T1" s="34"/>
      <c r="U1" s="34"/>
      <c r="V1" s="34"/>
      <c r="W1" s="34"/>
      <c r="X1" s="34"/>
      <c r="Y1" s="34"/>
      <c r="Z1" s="34"/>
      <c r="AA1" s="34"/>
      <c r="AB1" s="34"/>
    </row>
    <row r="2" spans="1:28" ht="12.75" customHeight="1">
      <c r="A2" s="34"/>
      <c r="B2" s="213"/>
      <c r="C2" s="213"/>
      <c r="D2" s="34"/>
      <c r="E2" s="34"/>
      <c r="F2" s="34"/>
      <c r="G2" s="34"/>
      <c r="H2" s="34"/>
      <c r="I2" s="39"/>
      <c r="J2" s="39"/>
      <c r="K2" s="34"/>
      <c r="L2" s="34"/>
      <c r="M2" s="34"/>
      <c r="N2" s="34"/>
      <c r="O2" s="34"/>
      <c r="P2" s="34"/>
      <c r="Q2" s="34"/>
      <c r="R2" s="34"/>
      <c r="S2" s="34"/>
      <c r="T2" s="34"/>
      <c r="U2" s="34"/>
      <c r="V2" s="34"/>
      <c r="W2" s="34"/>
      <c r="X2" s="34"/>
      <c r="Y2" s="34"/>
      <c r="Z2" s="34"/>
      <c r="AA2" s="34"/>
      <c r="AB2" s="34"/>
    </row>
    <row r="3" spans="1:28" ht="12.75" customHeight="1">
      <c r="A3" s="34"/>
      <c r="B3" s="743" t="s">
        <v>797</v>
      </c>
      <c r="C3" s="588"/>
      <c r="D3" s="448" t="str">
        <f>IF(OR(AND(E24="PASS",B11="PASS",C15="Yes",'Cover Sheet'!D17:J17="Internal Combustion"),AND(E39="PASS",E32="PASS",B11="PASS",C15="Yes",'Cover Sheet'!D17:J17="Electric Vehicle")),"PASS","FAIL")</f>
        <v>PASS</v>
      </c>
      <c r="E3" s="449"/>
      <c r="F3" s="744"/>
      <c r="G3" s="583"/>
      <c r="H3" s="57" t="s">
        <v>252</v>
      </c>
      <c r="I3" s="450"/>
      <c r="J3" s="138"/>
      <c r="K3" s="138"/>
      <c r="L3" s="138"/>
      <c r="M3" s="138"/>
      <c r="N3" s="138"/>
      <c r="O3" s="138"/>
      <c r="P3" s="138"/>
      <c r="Q3" s="138"/>
      <c r="R3" s="138"/>
      <c r="S3" s="138"/>
      <c r="T3" s="138"/>
      <c r="U3" s="138"/>
      <c r="V3" s="138"/>
      <c r="W3" s="138"/>
      <c r="X3" s="138"/>
      <c r="Y3" s="138"/>
      <c r="Z3" s="138"/>
      <c r="AA3" s="138"/>
      <c r="AB3" s="138"/>
    </row>
    <row r="4" spans="1:28" ht="12.75" customHeight="1">
      <c r="A4" s="34"/>
      <c r="B4" s="451"/>
      <c r="C4" s="451"/>
      <c r="D4" s="452"/>
      <c r="E4" s="449"/>
      <c r="F4" s="450"/>
      <c r="G4" s="450"/>
      <c r="H4" s="57"/>
      <c r="I4" s="450"/>
      <c r="J4" s="138"/>
      <c r="K4" s="138"/>
      <c r="L4" s="138"/>
      <c r="M4" s="138"/>
      <c r="N4" s="138"/>
      <c r="O4" s="138"/>
      <c r="P4" s="138"/>
      <c r="Q4" s="138"/>
      <c r="R4" s="138"/>
      <c r="S4" s="138"/>
      <c r="T4" s="138"/>
      <c r="U4" s="138"/>
      <c r="V4" s="138"/>
      <c r="W4" s="138"/>
      <c r="X4" s="138"/>
      <c r="Y4" s="138"/>
      <c r="Z4" s="138"/>
      <c r="AA4" s="138"/>
      <c r="AB4" s="138"/>
    </row>
    <row r="5" spans="1:28" ht="12.75" customHeight="1">
      <c r="A5" s="34"/>
      <c r="B5" s="224"/>
      <c r="C5" s="27" t="s">
        <v>798</v>
      </c>
      <c r="D5" s="453" t="s">
        <v>799</v>
      </c>
      <c r="E5" s="453" t="s">
        <v>800</v>
      </c>
      <c r="F5" s="450"/>
      <c r="G5" s="450"/>
      <c r="H5" s="57"/>
      <c r="I5" s="450"/>
      <c r="J5" s="138"/>
      <c r="K5" s="138"/>
      <c r="L5" s="138"/>
      <c r="M5" s="138"/>
      <c r="N5" s="138"/>
      <c r="O5" s="138"/>
      <c r="P5" s="138"/>
      <c r="Q5" s="138"/>
      <c r="R5" s="138"/>
      <c r="S5" s="138"/>
      <c r="T5" s="138"/>
      <c r="U5" s="138"/>
      <c r="V5" s="138"/>
      <c r="W5" s="138"/>
      <c r="X5" s="138"/>
      <c r="Y5" s="138"/>
      <c r="Z5" s="138"/>
      <c r="AA5" s="138"/>
      <c r="AB5" s="138"/>
    </row>
    <row r="6" spans="1:28" ht="15" customHeight="1">
      <c r="A6" s="34"/>
      <c r="B6" s="745" t="s">
        <v>801</v>
      </c>
      <c r="C6" s="34"/>
      <c r="D6" s="454"/>
      <c r="E6" s="455"/>
      <c r="F6" s="450"/>
      <c r="G6" s="450"/>
      <c r="H6" s="57"/>
      <c r="I6" s="450"/>
      <c r="J6" s="138"/>
      <c r="K6" s="138"/>
      <c r="L6" s="138"/>
      <c r="M6" s="138"/>
      <c r="N6" s="138"/>
      <c r="O6" s="138"/>
      <c r="P6" s="138"/>
      <c r="Q6" s="138"/>
      <c r="R6" s="138"/>
      <c r="S6" s="138"/>
      <c r="T6" s="138"/>
      <c r="U6" s="138"/>
      <c r="V6" s="138"/>
      <c r="W6" s="138"/>
      <c r="X6" s="138"/>
      <c r="Y6" s="138"/>
      <c r="Z6" s="138"/>
      <c r="AA6" s="138"/>
      <c r="AB6" s="138"/>
    </row>
    <row r="7" spans="1:28" ht="18.75" customHeight="1">
      <c r="A7" s="34"/>
      <c r="B7" s="591"/>
      <c r="C7" s="456" t="s">
        <v>802</v>
      </c>
      <c r="D7" s="457" t="s">
        <v>803</v>
      </c>
      <c r="E7" s="458" t="s">
        <v>168</v>
      </c>
      <c r="F7" s="138"/>
      <c r="G7" s="138"/>
      <c r="H7" s="138"/>
      <c r="I7" s="138"/>
      <c r="J7" s="138"/>
      <c r="K7" s="138"/>
      <c r="L7" s="138"/>
      <c r="M7" s="138"/>
      <c r="N7" s="138"/>
      <c r="O7" s="138"/>
      <c r="P7" s="138"/>
      <c r="Q7" s="138"/>
      <c r="R7" s="138"/>
      <c r="S7" s="138"/>
      <c r="T7" s="138"/>
      <c r="U7" s="138"/>
      <c r="V7" s="138"/>
      <c r="W7" s="138"/>
      <c r="X7" s="138"/>
      <c r="Y7" s="138"/>
      <c r="Z7" s="138"/>
      <c r="AA7" s="138"/>
      <c r="AB7" s="138"/>
    </row>
    <row r="8" spans="1:28" ht="30" customHeight="1">
      <c r="A8" s="34"/>
      <c r="B8" s="591"/>
      <c r="C8" s="459" t="s">
        <v>804</v>
      </c>
      <c r="D8" s="460">
        <v>96.953000000000003</v>
      </c>
      <c r="E8" s="461" t="s">
        <v>168</v>
      </c>
      <c r="F8" s="450"/>
      <c r="G8" s="450"/>
      <c r="H8" s="57"/>
      <c r="I8" s="450"/>
      <c r="J8" s="138"/>
      <c r="K8" s="138"/>
      <c r="L8" s="138"/>
      <c r="M8" s="138"/>
      <c r="N8" s="138"/>
      <c r="O8" s="138"/>
      <c r="P8" s="138"/>
      <c r="Q8" s="138"/>
      <c r="R8" s="138"/>
      <c r="S8" s="138"/>
      <c r="T8" s="138"/>
      <c r="U8" s="138"/>
      <c r="V8" s="138"/>
      <c r="W8" s="138"/>
      <c r="X8" s="138"/>
      <c r="Y8" s="138"/>
      <c r="Z8" s="138"/>
      <c r="AA8" s="138"/>
      <c r="AB8" s="138"/>
    </row>
    <row r="9" spans="1:28" ht="18" customHeight="1">
      <c r="A9" s="34"/>
      <c r="B9" s="591"/>
      <c r="C9" s="462" t="s">
        <v>805</v>
      </c>
      <c r="D9" s="310" t="s">
        <v>806</v>
      </c>
      <c r="E9" s="463" t="s">
        <v>168</v>
      </c>
      <c r="F9" s="450"/>
      <c r="G9" s="450"/>
      <c r="H9" s="57"/>
      <c r="I9" s="450"/>
      <c r="J9" s="138"/>
      <c r="K9" s="138"/>
      <c r="L9" s="138"/>
      <c r="M9" s="138"/>
      <c r="N9" s="138"/>
      <c r="O9" s="138"/>
      <c r="P9" s="138"/>
      <c r="Q9" s="138"/>
      <c r="R9" s="138"/>
      <c r="S9" s="138"/>
      <c r="T9" s="138"/>
      <c r="U9" s="138"/>
      <c r="V9" s="138"/>
      <c r="W9" s="138"/>
      <c r="X9" s="138"/>
      <c r="Y9" s="138"/>
      <c r="Z9" s="138"/>
      <c r="AA9" s="138"/>
      <c r="AB9" s="138"/>
    </row>
    <row r="10" spans="1:28" ht="15" customHeight="1">
      <c r="A10" s="34"/>
      <c r="B10" s="592"/>
      <c r="C10" s="464"/>
      <c r="D10" s="81"/>
      <c r="E10" s="465"/>
      <c r="F10" s="450"/>
      <c r="G10" s="450"/>
      <c r="H10" s="57"/>
      <c r="I10" s="450"/>
      <c r="J10" s="138"/>
      <c r="K10" s="138"/>
      <c r="L10" s="138"/>
      <c r="M10" s="138"/>
      <c r="N10" s="138"/>
      <c r="O10" s="138"/>
      <c r="P10" s="138"/>
      <c r="Q10" s="138"/>
      <c r="R10" s="138"/>
      <c r="S10" s="138"/>
      <c r="T10" s="138"/>
      <c r="U10" s="138"/>
      <c r="V10" s="138"/>
      <c r="W10" s="138"/>
      <c r="X10" s="138"/>
      <c r="Y10" s="138"/>
      <c r="Z10" s="138"/>
      <c r="AA10" s="138"/>
      <c r="AB10" s="138"/>
    </row>
    <row r="11" spans="1:28" ht="25.5" customHeight="1">
      <c r="A11" s="34"/>
      <c r="B11" s="466" t="str">
        <f>IF(AND(E7="Yes",E8="yes",E9="yes",NOT(ISBLANK(D7)),NOT(ISBLANK(D9)),NOT(AND(D7="No direct contact",D9="8mm heat insulation with reflective layer")),D8&gt;=25),"PASS","FAIL")</f>
        <v>PASS</v>
      </c>
      <c r="C11" s="746" t="str">
        <f>IF(ISBLANK(D8),"",IF(D8&lt;25,"Insufficient air gap, check design",IF((AND(D7="No direct contact",D9="8mm heat insulation with reflective layer")),"Conduction &amp; Radiation insulation do not match, check input","")))</f>
        <v/>
      </c>
      <c r="D11" s="587"/>
      <c r="E11" s="588"/>
      <c r="F11" s="450"/>
      <c r="G11" s="450"/>
      <c r="H11" s="57"/>
      <c r="I11" s="450"/>
      <c r="J11" s="138"/>
      <c r="K11" s="138"/>
      <c r="L11" s="138"/>
      <c r="M11" s="138"/>
      <c r="N11" s="138"/>
      <c r="O11" s="138"/>
      <c r="P11" s="138"/>
      <c r="Q11" s="138"/>
      <c r="R11" s="138"/>
      <c r="S11" s="138"/>
      <c r="T11" s="138"/>
      <c r="U11" s="138"/>
      <c r="V11" s="138"/>
      <c r="W11" s="138"/>
      <c r="X11" s="138"/>
      <c r="Y11" s="138"/>
      <c r="Z11" s="138"/>
      <c r="AA11" s="138"/>
      <c r="AB11" s="138"/>
    </row>
    <row r="12" spans="1:28" ht="12.75" customHeight="1">
      <c r="A12" s="34"/>
      <c r="B12" s="467"/>
      <c r="C12" s="467"/>
      <c r="D12" s="468"/>
      <c r="E12" s="449"/>
      <c r="F12" s="450"/>
      <c r="G12" s="450"/>
      <c r="H12" s="57"/>
      <c r="I12" s="450"/>
      <c r="J12" s="138"/>
      <c r="K12" s="138"/>
      <c r="L12" s="138"/>
      <c r="M12" s="138"/>
      <c r="N12" s="138"/>
      <c r="O12" s="138"/>
      <c r="P12" s="138"/>
      <c r="Q12" s="138"/>
      <c r="R12" s="138"/>
      <c r="S12" s="138"/>
      <c r="T12" s="138"/>
      <c r="U12" s="138"/>
      <c r="V12" s="138"/>
      <c r="W12" s="138"/>
      <c r="X12" s="138"/>
      <c r="Y12" s="138"/>
      <c r="Z12" s="138"/>
      <c r="AA12" s="138"/>
      <c r="AB12" s="138"/>
    </row>
    <row r="13" spans="1:28" ht="12.75" customHeight="1">
      <c r="A13" s="34"/>
      <c r="B13" s="467"/>
      <c r="C13" s="467"/>
      <c r="E13" s="449"/>
      <c r="F13" s="450"/>
      <c r="G13" s="450"/>
      <c r="H13" s="57"/>
      <c r="I13" s="450"/>
      <c r="J13" s="138"/>
      <c r="K13" s="138"/>
      <c r="L13" s="138"/>
      <c r="M13" s="138"/>
      <c r="N13" s="138"/>
      <c r="O13" s="138"/>
      <c r="P13" s="138"/>
      <c r="Q13" s="138"/>
      <c r="R13" s="138"/>
      <c r="S13" s="138"/>
      <c r="T13" s="138"/>
      <c r="U13" s="138"/>
      <c r="V13" s="138"/>
      <c r="W13" s="138"/>
      <c r="X13" s="138"/>
      <c r="Y13" s="138"/>
      <c r="Z13" s="138"/>
      <c r="AA13" s="138"/>
      <c r="AB13" s="138"/>
    </row>
    <row r="14" spans="1:28" ht="12.75" customHeight="1">
      <c r="A14" s="34"/>
      <c r="B14" s="469" t="s">
        <v>807</v>
      </c>
      <c r="C14" s="470" t="s">
        <v>808</v>
      </c>
      <c r="D14" s="468"/>
      <c r="E14" s="449"/>
      <c r="F14" s="450"/>
      <c r="G14" s="450"/>
      <c r="H14" s="57"/>
      <c r="I14" s="450"/>
      <c r="J14" s="138"/>
      <c r="K14" s="138"/>
      <c r="L14" s="138"/>
      <c r="M14" s="138"/>
      <c r="N14" s="138"/>
      <c r="O14" s="138"/>
      <c r="P14" s="138"/>
      <c r="Q14" s="138"/>
      <c r="R14" s="138"/>
      <c r="S14" s="138"/>
      <c r="T14" s="138"/>
      <c r="U14" s="138"/>
      <c r="V14" s="138"/>
      <c r="W14" s="138"/>
      <c r="X14" s="138"/>
      <c r="Y14" s="138"/>
      <c r="Z14" s="138"/>
      <c r="AA14" s="138"/>
      <c r="AB14" s="138"/>
    </row>
    <row r="15" spans="1:28" ht="12.75" customHeight="1">
      <c r="A15" s="34"/>
      <c r="B15" s="471" t="s">
        <v>809</v>
      </c>
      <c r="C15" s="463" t="s">
        <v>168</v>
      </c>
      <c r="D15" s="468"/>
      <c r="E15" s="449"/>
      <c r="F15" s="450"/>
      <c r="G15" s="450"/>
      <c r="H15" s="57"/>
      <c r="I15" s="450"/>
      <c r="J15" s="138"/>
      <c r="K15" s="138"/>
      <c r="L15" s="138"/>
      <c r="M15" s="138"/>
      <c r="N15" s="138"/>
      <c r="O15" s="138"/>
      <c r="P15" s="138"/>
      <c r="Q15" s="138"/>
      <c r="R15" s="138"/>
      <c r="S15" s="138"/>
      <c r="T15" s="138"/>
      <c r="U15" s="138"/>
      <c r="V15" s="138"/>
      <c r="W15" s="138"/>
      <c r="X15" s="138"/>
      <c r="Y15" s="138"/>
      <c r="Z15" s="138"/>
      <c r="AA15" s="138"/>
      <c r="AB15" s="138"/>
    </row>
    <row r="16" spans="1:28" ht="12.75" customHeight="1">
      <c r="A16" s="34"/>
      <c r="B16" s="467"/>
      <c r="C16" s="467"/>
      <c r="D16" s="468"/>
      <c r="E16" s="449"/>
      <c r="F16" s="450"/>
      <c r="G16" s="450"/>
      <c r="H16" s="57"/>
      <c r="I16" s="450"/>
      <c r="J16" s="138"/>
      <c r="K16" s="138"/>
      <c r="L16" s="138"/>
      <c r="M16" s="138"/>
      <c r="N16" s="138"/>
      <c r="O16" s="138"/>
      <c r="P16" s="138"/>
      <c r="Q16" s="138"/>
      <c r="R16" s="138"/>
      <c r="S16" s="138"/>
      <c r="T16" s="138"/>
      <c r="U16" s="138"/>
      <c r="V16" s="138"/>
      <c r="W16" s="138"/>
      <c r="X16" s="138"/>
      <c r="Y16" s="138"/>
      <c r="Z16" s="138"/>
      <c r="AA16" s="138"/>
      <c r="AB16" s="138"/>
    </row>
    <row r="17" spans="1:28" ht="12.75" customHeight="1">
      <c r="A17" s="34"/>
      <c r="B17" s="43"/>
      <c r="C17" s="27" t="s">
        <v>810</v>
      </c>
      <c r="D17" s="472" t="s">
        <v>811</v>
      </c>
      <c r="E17" s="473"/>
      <c r="F17" s="474"/>
      <c r="G17" s="138"/>
      <c r="H17" s="138"/>
      <c r="I17" s="138"/>
      <c r="J17" s="138"/>
      <c r="K17" s="138"/>
      <c r="L17" s="138"/>
      <c r="M17" s="138"/>
      <c r="N17" s="138"/>
      <c r="O17" s="138"/>
      <c r="P17" s="138"/>
      <c r="Q17" s="138"/>
      <c r="R17" s="138"/>
      <c r="S17" s="138"/>
      <c r="T17" s="138"/>
      <c r="U17" s="138"/>
      <c r="V17" s="138"/>
      <c r="W17" s="138"/>
      <c r="X17" s="138"/>
      <c r="Y17" s="138"/>
      <c r="Z17" s="138"/>
      <c r="AA17" s="138"/>
      <c r="AB17" s="138"/>
    </row>
    <row r="18" spans="1:28" ht="12.75" customHeight="1">
      <c r="A18" s="34"/>
      <c r="B18" s="475"/>
      <c r="C18" s="747"/>
      <c r="D18" s="748"/>
      <c r="E18" s="228"/>
      <c r="F18" s="476"/>
      <c r="G18" s="477"/>
      <c r="H18" s="478"/>
      <c r="I18" s="477"/>
      <c r="J18" s="138"/>
      <c r="K18" s="138"/>
      <c r="L18" s="138"/>
      <c r="M18" s="138"/>
      <c r="N18" s="138"/>
      <c r="O18" s="138"/>
      <c r="P18" s="138"/>
      <c r="Q18" s="138"/>
      <c r="R18" s="138"/>
      <c r="S18" s="138"/>
      <c r="T18" s="138"/>
      <c r="U18" s="138"/>
      <c r="V18" s="138"/>
      <c r="W18" s="138"/>
      <c r="X18" s="138"/>
      <c r="Y18" s="138"/>
      <c r="Z18" s="138"/>
      <c r="AA18" s="138"/>
      <c r="AB18" s="138"/>
    </row>
    <row r="19" spans="1:28" ht="12.75" customHeight="1">
      <c r="A19" s="34"/>
      <c r="B19" s="475"/>
      <c r="C19" s="591"/>
      <c r="D19" s="591"/>
      <c r="E19" s="228"/>
      <c r="F19" s="476"/>
      <c r="G19" s="477"/>
      <c r="H19" s="478"/>
      <c r="I19" s="477"/>
      <c r="J19" s="138"/>
      <c r="K19" s="138"/>
      <c r="L19" s="138"/>
      <c r="M19" s="138"/>
      <c r="N19" s="138"/>
      <c r="O19" s="138"/>
      <c r="P19" s="138"/>
      <c r="Q19" s="138"/>
      <c r="R19" s="138"/>
      <c r="S19" s="138"/>
      <c r="T19" s="138"/>
      <c r="U19" s="138"/>
      <c r="V19" s="138"/>
      <c r="W19" s="138"/>
      <c r="X19" s="138"/>
      <c r="Y19" s="138"/>
      <c r="Z19" s="138"/>
      <c r="AA19" s="138"/>
      <c r="AB19" s="138"/>
    </row>
    <row r="20" spans="1:28" ht="12.75" customHeight="1">
      <c r="A20" s="34"/>
      <c r="B20" s="475"/>
      <c r="C20" s="591"/>
      <c r="D20" s="591"/>
      <c r="E20" s="228"/>
      <c r="F20" s="138"/>
      <c r="G20" s="477"/>
      <c r="H20" s="138"/>
      <c r="I20" s="477"/>
      <c r="J20" s="138"/>
      <c r="K20" s="138"/>
      <c r="L20" s="138"/>
      <c r="M20" s="138"/>
      <c r="N20" s="138"/>
      <c r="O20" s="138"/>
      <c r="P20" s="138"/>
      <c r="Q20" s="138"/>
      <c r="R20" s="138"/>
      <c r="S20" s="138"/>
      <c r="T20" s="138"/>
      <c r="U20" s="138"/>
      <c r="V20" s="138"/>
      <c r="W20" s="138"/>
      <c r="X20" s="138"/>
      <c r="Y20" s="138"/>
      <c r="Z20" s="138"/>
      <c r="AA20" s="138"/>
      <c r="AB20" s="138"/>
    </row>
    <row r="21" spans="1:28" ht="12.75" customHeight="1">
      <c r="A21" s="34"/>
      <c r="B21" s="479" t="s">
        <v>812</v>
      </c>
      <c r="C21" s="591"/>
      <c r="D21" s="591"/>
      <c r="E21" s="228"/>
      <c r="G21" s="480"/>
      <c r="H21" s="138"/>
      <c r="I21" s="480"/>
      <c r="J21" s="138"/>
      <c r="K21" s="138"/>
      <c r="L21" s="138"/>
      <c r="M21" s="138"/>
      <c r="N21" s="138"/>
      <c r="O21" s="138"/>
      <c r="P21" s="138"/>
      <c r="Q21" s="138"/>
      <c r="R21" s="138"/>
      <c r="S21" s="138"/>
      <c r="T21" s="138"/>
      <c r="U21" s="138"/>
      <c r="V21" s="138"/>
      <c r="W21" s="138"/>
      <c r="X21" s="138"/>
      <c r="Y21" s="138"/>
      <c r="Z21" s="138"/>
      <c r="AA21" s="138"/>
      <c r="AB21" s="138"/>
    </row>
    <row r="22" spans="1:28" ht="12.75" customHeight="1">
      <c r="A22" s="34"/>
      <c r="B22" s="481"/>
      <c r="C22" s="592"/>
      <c r="D22" s="592"/>
      <c r="E22" s="228"/>
      <c r="F22" s="478"/>
      <c r="G22" s="477"/>
      <c r="H22" s="478"/>
      <c r="I22" s="477"/>
      <c r="J22" s="138"/>
      <c r="K22" s="138"/>
      <c r="L22" s="138"/>
      <c r="M22" s="138"/>
      <c r="N22" s="138"/>
      <c r="O22" s="138"/>
      <c r="P22" s="138"/>
      <c r="Q22" s="138"/>
      <c r="R22" s="138"/>
      <c r="S22" s="138"/>
      <c r="T22" s="138"/>
      <c r="U22" s="138"/>
      <c r="V22" s="138"/>
      <c r="W22" s="138"/>
      <c r="X22" s="138"/>
      <c r="Y22" s="138"/>
      <c r="Z22" s="138"/>
      <c r="AA22" s="138"/>
      <c r="AB22" s="138"/>
    </row>
    <row r="23" spans="1:28" ht="12.75" customHeight="1">
      <c r="A23" s="34"/>
      <c r="B23" s="475"/>
      <c r="C23" s="482" t="str">
        <f>IF(C14="UL94 V-0","Thickness for UL94-V0 rating in data sheet","")</f>
        <v>Thickness for UL94-V0 rating in data sheet</v>
      </c>
      <c r="D23" s="483" t="s">
        <v>113</v>
      </c>
      <c r="E23" s="484" t="str">
        <f>IF(C14&lt;&gt;"UL94 V-0","",IF(OR(D23=0,ISBLANK(D23)),"FAIL","PASS"))</f>
        <v>PASS</v>
      </c>
      <c r="F23" s="478"/>
      <c r="G23" s="477"/>
      <c r="H23" s="478"/>
      <c r="I23" s="477"/>
      <c r="J23" s="138"/>
      <c r="K23" s="138"/>
      <c r="L23" s="138"/>
      <c r="M23" s="138"/>
      <c r="N23" s="138"/>
      <c r="O23" s="138"/>
      <c r="P23" s="138"/>
      <c r="Q23" s="138"/>
      <c r="R23" s="138"/>
      <c r="S23" s="138"/>
      <c r="T23" s="138"/>
      <c r="U23" s="138"/>
      <c r="V23" s="138"/>
      <c r="W23" s="138"/>
      <c r="X23" s="138"/>
      <c r="Y23" s="138"/>
      <c r="Z23" s="138"/>
      <c r="AA23" s="138"/>
      <c r="AB23" s="138"/>
    </row>
    <row r="24" spans="1:28" ht="12.75" customHeight="1">
      <c r="A24" s="34"/>
      <c r="B24" s="485"/>
      <c r="C24" s="243" t="s">
        <v>813</v>
      </c>
      <c r="D24" s="486" t="s">
        <v>113</v>
      </c>
      <c r="E24" s="393" t="str">
        <f>IF(C14="FAR 25.853(a)(1)(i)",IF(ISBLANK(D24),"FAIL","PASS"),IF(AND(D24&gt;=D23,E23="PASS"),"PASS","FAIL"))</f>
        <v>PASS</v>
      </c>
      <c r="F24" s="478"/>
      <c r="G24" s="477"/>
      <c r="J24" s="138"/>
      <c r="K24" s="138"/>
      <c r="L24" s="138"/>
      <c r="M24" s="138"/>
      <c r="N24" s="138"/>
      <c r="O24" s="138"/>
      <c r="P24" s="138"/>
      <c r="Q24" s="138"/>
      <c r="R24" s="138"/>
      <c r="S24" s="138"/>
      <c r="T24" s="138"/>
      <c r="U24" s="138"/>
      <c r="V24" s="138"/>
      <c r="W24" s="138"/>
      <c r="X24" s="138"/>
      <c r="Y24" s="138"/>
      <c r="Z24" s="138"/>
      <c r="AA24" s="138"/>
      <c r="AB24" s="138"/>
    </row>
    <row r="25" spans="1:28" ht="12.75" customHeight="1">
      <c r="A25" s="34"/>
      <c r="B25" s="487"/>
      <c r="C25" s="488"/>
      <c r="D25" s="489"/>
      <c r="E25" s="490"/>
      <c r="F25" s="478"/>
      <c r="G25" s="477"/>
      <c r="H25" s="478"/>
      <c r="I25" s="477"/>
      <c r="J25" s="138"/>
      <c r="K25" s="138"/>
      <c r="L25" s="138"/>
      <c r="M25" s="138"/>
      <c r="N25" s="138"/>
      <c r="O25" s="138"/>
      <c r="P25" s="138"/>
      <c r="Q25" s="138"/>
      <c r="R25" s="138"/>
      <c r="S25" s="138"/>
      <c r="T25" s="138"/>
      <c r="U25" s="138"/>
      <c r="V25" s="138"/>
      <c r="W25" s="138"/>
      <c r="X25" s="138"/>
      <c r="Y25" s="138"/>
      <c r="Z25" s="138"/>
      <c r="AA25" s="138"/>
      <c r="AB25" s="138"/>
    </row>
    <row r="26" spans="1:28" ht="12.75" customHeight="1">
      <c r="A26" s="34"/>
      <c r="B26" s="80"/>
      <c r="C26" s="76" t="s">
        <v>810</v>
      </c>
      <c r="D26" s="491" t="s">
        <v>811</v>
      </c>
      <c r="E26" s="465"/>
      <c r="F26" s="478"/>
      <c r="G26" s="34"/>
      <c r="H26" s="478"/>
      <c r="I26" s="477"/>
      <c r="J26" s="138"/>
      <c r="K26" s="138"/>
      <c r="L26" s="138"/>
      <c r="M26" s="138"/>
      <c r="N26" s="138"/>
      <c r="O26" s="138"/>
      <c r="P26" s="138"/>
      <c r="Q26" s="138"/>
      <c r="R26" s="138"/>
      <c r="S26" s="138"/>
      <c r="T26" s="138"/>
      <c r="U26" s="138"/>
      <c r="V26" s="138"/>
      <c r="W26" s="138"/>
      <c r="X26" s="138"/>
      <c r="Y26" s="138"/>
      <c r="Z26" s="138"/>
      <c r="AA26" s="138"/>
      <c r="AB26" s="138"/>
    </row>
    <row r="27" spans="1:28" ht="12.75" customHeight="1">
      <c r="A27" s="34"/>
      <c r="B27" s="492"/>
      <c r="C27" s="493" t="s">
        <v>814</v>
      </c>
      <c r="D27" s="750"/>
      <c r="E27" s="749"/>
      <c r="F27" s="478"/>
      <c r="G27" s="477"/>
      <c r="H27" s="478"/>
      <c r="I27" s="477"/>
      <c r="J27" s="138"/>
      <c r="K27" s="138"/>
      <c r="L27" s="138"/>
      <c r="M27" s="138"/>
      <c r="N27" s="138"/>
      <c r="O27" s="138"/>
      <c r="P27" s="138"/>
      <c r="Q27" s="138"/>
      <c r="R27" s="138"/>
      <c r="S27" s="138"/>
      <c r="T27" s="138"/>
      <c r="U27" s="138"/>
      <c r="V27" s="138"/>
      <c r="W27" s="138"/>
      <c r="X27" s="138"/>
      <c r="Y27" s="138"/>
      <c r="Z27" s="138"/>
      <c r="AA27" s="138"/>
      <c r="AB27" s="138"/>
    </row>
    <row r="28" spans="1:28" ht="12.75" customHeight="1">
      <c r="A28" s="34"/>
      <c r="B28" s="494"/>
      <c r="C28" s="747" t="s">
        <v>138</v>
      </c>
      <c r="D28" s="599"/>
      <c r="E28" s="591"/>
      <c r="F28" s="138"/>
      <c r="G28" s="34"/>
      <c r="H28" s="138"/>
      <c r="I28" s="477"/>
      <c r="J28" s="138"/>
      <c r="K28" s="138"/>
      <c r="L28" s="138"/>
      <c r="M28" s="138"/>
      <c r="N28" s="138"/>
      <c r="O28" s="138"/>
      <c r="P28" s="138"/>
      <c r="Q28" s="138"/>
      <c r="R28" s="138"/>
      <c r="S28" s="138"/>
      <c r="T28" s="138"/>
      <c r="U28" s="138"/>
      <c r="V28" s="138"/>
      <c r="W28" s="138"/>
      <c r="X28" s="138"/>
      <c r="Y28" s="138"/>
      <c r="Z28" s="138"/>
      <c r="AA28" s="138"/>
      <c r="AB28" s="138"/>
    </row>
    <row r="29" spans="1:28" ht="12.75" customHeight="1">
      <c r="A29" s="34"/>
      <c r="B29" s="494"/>
      <c r="C29" s="591"/>
      <c r="D29" s="599"/>
      <c r="E29" s="591"/>
      <c r="F29" s="138"/>
      <c r="G29" s="477"/>
      <c r="H29" s="138"/>
      <c r="I29" s="477"/>
      <c r="J29" s="138"/>
      <c r="K29" s="138"/>
      <c r="L29" s="138"/>
      <c r="M29" s="138"/>
      <c r="N29" s="138"/>
      <c r="O29" s="138"/>
      <c r="P29" s="138"/>
      <c r="Q29" s="138"/>
      <c r="R29" s="138"/>
      <c r="S29" s="138"/>
      <c r="T29" s="138"/>
      <c r="U29" s="138"/>
      <c r="V29" s="138"/>
      <c r="W29" s="138"/>
      <c r="X29" s="138"/>
      <c r="Y29" s="138"/>
      <c r="Z29" s="138"/>
      <c r="AA29" s="138"/>
      <c r="AB29" s="138"/>
    </row>
    <row r="30" spans="1:28" ht="12.75" customHeight="1">
      <c r="A30" s="34"/>
      <c r="B30" s="494"/>
      <c r="C30" s="591"/>
      <c r="D30" s="599"/>
      <c r="E30" s="591"/>
      <c r="F30" s="138"/>
      <c r="G30" s="480"/>
      <c r="H30" s="138"/>
      <c r="I30" s="480"/>
      <c r="J30" s="138"/>
      <c r="K30" s="138"/>
      <c r="L30" s="138"/>
      <c r="M30" s="138"/>
      <c r="N30" s="138"/>
      <c r="O30" s="138"/>
      <c r="P30" s="138"/>
      <c r="Q30" s="138"/>
      <c r="R30" s="138"/>
      <c r="S30" s="138"/>
      <c r="T30" s="138"/>
      <c r="U30" s="138"/>
      <c r="V30" s="138"/>
      <c r="W30" s="138"/>
      <c r="X30" s="138"/>
      <c r="Y30" s="138"/>
      <c r="Z30" s="138"/>
      <c r="AA30" s="138"/>
      <c r="AB30" s="138"/>
    </row>
    <row r="31" spans="1:28" ht="12.75" customHeight="1">
      <c r="A31" s="34"/>
      <c r="B31" s="494"/>
      <c r="C31" s="592"/>
      <c r="D31" s="602"/>
      <c r="E31" s="592"/>
      <c r="F31" s="478"/>
      <c r="G31" s="477"/>
      <c r="H31" s="478"/>
      <c r="I31" s="477"/>
      <c r="J31" s="478"/>
      <c r="K31" s="477"/>
      <c r="L31" s="138"/>
      <c r="M31" s="138"/>
      <c r="N31" s="138"/>
      <c r="O31" s="138"/>
      <c r="P31" s="138"/>
      <c r="Q31" s="138"/>
      <c r="R31" s="138"/>
      <c r="S31" s="138"/>
      <c r="T31" s="138"/>
      <c r="U31" s="138"/>
      <c r="V31" s="138"/>
      <c r="W31" s="138"/>
      <c r="X31" s="138"/>
      <c r="Y31" s="138"/>
      <c r="Z31" s="138"/>
      <c r="AA31" s="138"/>
      <c r="AB31" s="138"/>
    </row>
    <row r="32" spans="1:28" ht="12.75" customHeight="1">
      <c r="A32" s="34"/>
      <c r="B32" s="494"/>
      <c r="C32" s="34" t="s">
        <v>815</v>
      </c>
      <c r="D32" s="379">
        <v>3</v>
      </c>
      <c r="E32" s="437" t="str">
        <f>IF(D32&gt;=0.5,"PASS","FAIL")</f>
        <v>PASS</v>
      </c>
      <c r="F32" s="478"/>
      <c r="G32" s="477"/>
      <c r="H32" s="478"/>
      <c r="I32" s="477"/>
      <c r="J32" s="138"/>
      <c r="K32" s="138"/>
      <c r="L32" s="138"/>
      <c r="M32" s="138"/>
      <c r="N32" s="138"/>
      <c r="O32" s="138"/>
      <c r="P32" s="138"/>
      <c r="Q32" s="138"/>
      <c r="R32" s="138"/>
      <c r="S32" s="138"/>
      <c r="T32" s="138"/>
      <c r="U32" s="138"/>
      <c r="V32" s="138"/>
      <c r="W32" s="138"/>
      <c r="X32" s="138"/>
      <c r="Y32" s="138"/>
      <c r="Z32" s="138"/>
      <c r="AA32" s="138"/>
      <c r="AB32" s="138"/>
    </row>
    <row r="33" spans="1:28" ht="12.75" customHeight="1">
      <c r="A33" s="34"/>
      <c r="B33" s="479" t="s">
        <v>816</v>
      </c>
      <c r="C33" s="493" t="s">
        <v>817</v>
      </c>
      <c r="D33" s="751"/>
      <c r="E33" s="228"/>
      <c r="F33" s="478"/>
      <c r="G33" s="477"/>
      <c r="H33" s="478"/>
      <c r="I33" s="477"/>
      <c r="J33" s="138"/>
      <c r="K33" s="138"/>
      <c r="L33" s="138"/>
      <c r="M33" s="138"/>
      <c r="N33" s="138"/>
      <c r="O33" s="138"/>
      <c r="P33" s="138"/>
      <c r="Q33" s="138"/>
      <c r="R33" s="138"/>
      <c r="S33" s="138"/>
      <c r="T33" s="138"/>
      <c r="U33" s="138"/>
      <c r="V33" s="138"/>
      <c r="W33" s="138"/>
      <c r="X33" s="138"/>
      <c r="Y33" s="138"/>
      <c r="Z33" s="138"/>
      <c r="AA33" s="138"/>
      <c r="AB33" s="138"/>
    </row>
    <row r="34" spans="1:28" ht="12.75" customHeight="1">
      <c r="A34" s="34"/>
      <c r="B34" s="481"/>
      <c r="C34" s="747" t="s">
        <v>818</v>
      </c>
      <c r="D34" s="591"/>
      <c r="E34" s="228"/>
      <c r="F34" s="478"/>
      <c r="G34" s="477"/>
      <c r="H34" s="478"/>
      <c r="I34" s="477"/>
      <c r="J34" s="138"/>
      <c r="K34" s="138"/>
      <c r="L34" s="138"/>
      <c r="M34" s="138"/>
      <c r="N34" s="138"/>
      <c r="O34" s="138"/>
      <c r="P34" s="138"/>
      <c r="Q34" s="138"/>
      <c r="R34" s="138"/>
      <c r="S34" s="138"/>
      <c r="T34" s="138"/>
      <c r="U34" s="138"/>
      <c r="V34" s="138"/>
      <c r="W34" s="138"/>
      <c r="X34" s="138"/>
      <c r="Y34" s="138"/>
      <c r="Z34" s="138"/>
      <c r="AA34" s="138"/>
      <c r="AB34" s="138"/>
    </row>
    <row r="35" spans="1:28" ht="12.75" customHeight="1">
      <c r="A35" s="34"/>
      <c r="B35" s="494"/>
      <c r="C35" s="591"/>
      <c r="D35" s="591"/>
      <c r="E35" s="228"/>
      <c r="F35" s="478"/>
      <c r="G35" s="477"/>
      <c r="H35" s="478"/>
      <c r="I35" s="477"/>
      <c r="J35" s="138"/>
      <c r="K35" s="138"/>
      <c r="L35" s="138"/>
      <c r="M35" s="138"/>
      <c r="N35" s="138"/>
      <c r="O35" s="138"/>
      <c r="P35" s="138"/>
      <c r="Q35" s="138"/>
      <c r="R35" s="138"/>
      <c r="S35" s="138"/>
      <c r="T35" s="138"/>
      <c r="U35" s="138"/>
      <c r="V35" s="138"/>
      <c r="W35" s="138"/>
      <c r="X35" s="138"/>
      <c r="Y35" s="138"/>
      <c r="Z35" s="138"/>
      <c r="AA35" s="138"/>
      <c r="AB35" s="138"/>
    </row>
    <row r="36" spans="1:28" ht="12.75" customHeight="1">
      <c r="A36" s="34"/>
      <c r="B36" s="494"/>
      <c r="C36" s="591"/>
      <c r="D36" s="591"/>
      <c r="E36" s="228"/>
      <c r="F36" s="478"/>
      <c r="G36" s="477"/>
      <c r="H36" s="478"/>
      <c r="I36" s="477"/>
      <c r="J36" s="138"/>
      <c r="K36" s="138"/>
      <c r="L36" s="138"/>
      <c r="M36" s="138"/>
      <c r="N36" s="138"/>
      <c r="O36" s="138"/>
      <c r="P36" s="138"/>
      <c r="Q36" s="138"/>
      <c r="R36" s="138"/>
      <c r="S36" s="138"/>
      <c r="T36" s="138"/>
      <c r="U36" s="138"/>
      <c r="V36" s="138"/>
      <c r="W36" s="138"/>
      <c r="X36" s="138"/>
      <c r="Y36" s="138"/>
      <c r="Z36" s="138"/>
      <c r="AA36" s="138"/>
      <c r="AB36" s="138"/>
    </row>
    <row r="37" spans="1:28" ht="12.75" customHeight="1">
      <c r="A37" s="34"/>
      <c r="B37" s="494"/>
      <c r="C37" s="592"/>
      <c r="D37" s="592"/>
      <c r="E37" s="228"/>
      <c r="F37" s="478"/>
      <c r="G37" s="477"/>
      <c r="H37" s="478"/>
      <c r="I37" s="477"/>
      <c r="J37" s="138"/>
      <c r="K37" s="138"/>
      <c r="L37" s="138"/>
      <c r="M37" s="138"/>
      <c r="N37" s="138"/>
      <c r="O37" s="138"/>
      <c r="P37" s="138"/>
      <c r="Q37" s="138"/>
      <c r="R37" s="138"/>
      <c r="S37" s="138"/>
      <c r="T37" s="138"/>
      <c r="U37" s="138"/>
      <c r="V37" s="138"/>
      <c r="W37" s="138"/>
      <c r="X37" s="138"/>
      <c r="Y37" s="138"/>
      <c r="Z37" s="138"/>
      <c r="AA37" s="138"/>
      <c r="AB37" s="138"/>
    </row>
    <row r="38" spans="1:28" ht="12.75" customHeight="1">
      <c r="A38" s="34"/>
      <c r="B38" s="494"/>
      <c r="C38" s="243" t="str">
        <f>IF(C14="UL94 V-0","Thickness for UL94-V0 rating in data sheet","")</f>
        <v>Thickness for UL94-V0 rating in data sheet</v>
      </c>
      <c r="D38" s="486">
        <v>0.3</v>
      </c>
      <c r="E38" s="393" t="str">
        <f>IF(C14&lt;&gt;"UL94 V-0","",IF(OR(D38=0,ISBLANK(D38)),"FAIL","PASS"))</f>
        <v>PASS</v>
      </c>
      <c r="F38" s="478"/>
      <c r="G38" s="477"/>
      <c r="H38" s="478"/>
      <c r="I38" s="477"/>
      <c r="J38" s="138"/>
      <c r="K38" s="138"/>
      <c r="L38" s="138"/>
      <c r="M38" s="138"/>
      <c r="N38" s="138"/>
      <c r="O38" s="138"/>
      <c r="P38" s="138"/>
      <c r="Q38" s="138"/>
      <c r="R38" s="138"/>
      <c r="S38" s="138"/>
      <c r="T38" s="138"/>
      <c r="U38" s="138"/>
      <c r="V38" s="138"/>
      <c r="W38" s="138"/>
      <c r="X38" s="138"/>
      <c r="Y38" s="138"/>
      <c r="Z38" s="138"/>
      <c r="AA38" s="138"/>
      <c r="AB38" s="138"/>
    </row>
    <row r="39" spans="1:28" ht="12.75" customHeight="1">
      <c r="A39" s="34"/>
      <c r="B39" s="495"/>
      <c r="C39" s="243" t="s">
        <v>813</v>
      </c>
      <c r="D39" s="379">
        <v>1</v>
      </c>
      <c r="E39" s="393" t="str">
        <f>IF(C14="FAR 25.853(a)(1)(i)",IF(ISBLANK(D39),"FAIL","PASS"),IF(AND(D39&gt;=D38,E38="PASS"),"PASS","FAIL"))</f>
        <v>PASS</v>
      </c>
      <c r="F39" s="478"/>
      <c r="G39" s="477"/>
      <c r="H39" s="478"/>
      <c r="I39" s="477"/>
      <c r="J39" s="138"/>
      <c r="K39" s="138"/>
      <c r="L39" s="138"/>
      <c r="M39" s="138"/>
      <c r="N39" s="138"/>
      <c r="O39" s="138"/>
      <c r="P39" s="138"/>
      <c r="Q39" s="138"/>
      <c r="R39" s="138"/>
      <c r="S39" s="138"/>
      <c r="T39" s="138"/>
      <c r="U39" s="138"/>
      <c r="V39" s="138"/>
      <c r="W39" s="138"/>
      <c r="X39" s="138"/>
      <c r="Y39" s="138"/>
      <c r="Z39" s="138"/>
      <c r="AA39" s="138"/>
      <c r="AB39" s="138"/>
    </row>
    <row r="40" spans="1:28" ht="12.75" customHeight="1">
      <c r="A40" s="34"/>
      <c r="B40" s="752"/>
      <c r="C40" s="587"/>
      <c r="D40" s="587"/>
      <c r="E40" s="588"/>
      <c r="F40" s="478"/>
      <c r="G40" s="477"/>
      <c r="H40" s="478"/>
      <c r="I40" s="477"/>
      <c r="J40" s="478"/>
      <c r="K40" s="477"/>
      <c r="L40" s="138"/>
      <c r="M40" s="138"/>
      <c r="N40" s="138"/>
      <c r="O40" s="138"/>
      <c r="P40" s="138"/>
      <c r="Q40" s="138"/>
      <c r="R40" s="138"/>
      <c r="S40" s="138"/>
      <c r="T40" s="138"/>
      <c r="U40" s="138"/>
      <c r="V40" s="138"/>
      <c r="W40" s="138"/>
      <c r="X40" s="138"/>
      <c r="Y40" s="138"/>
      <c r="Z40" s="138"/>
      <c r="AA40" s="138"/>
      <c r="AB40" s="138"/>
    </row>
    <row r="41" spans="1:28" ht="12.75" customHeight="1">
      <c r="A41" s="34"/>
      <c r="B41" s="720" t="s">
        <v>819</v>
      </c>
      <c r="C41" s="595"/>
      <c r="D41" s="595"/>
      <c r="E41" s="596"/>
      <c r="F41" s="138"/>
      <c r="G41" s="138"/>
      <c r="H41" s="138"/>
      <c r="I41" s="138"/>
      <c r="J41" s="138"/>
      <c r="K41" s="138"/>
      <c r="L41" s="138"/>
      <c r="M41" s="138"/>
      <c r="N41" s="138"/>
      <c r="O41" s="138"/>
      <c r="P41" s="138"/>
      <c r="Q41" s="138"/>
      <c r="R41" s="138"/>
      <c r="S41" s="138"/>
      <c r="T41" s="138"/>
      <c r="U41" s="138"/>
      <c r="V41" s="138"/>
      <c r="W41" s="138"/>
      <c r="X41" s="138"/>
      <c r="Y41" s="138"/>
      <c r="Z41" s="138"/>
      <c r="AA41" s="138"/>
      <c r="AB41" s="138"/>
    </row>
    <row r="42" spans="1:28" ht="12.75" customHeight="1">
      <c r="A42" s="34"/>
      <c r="B42" s="600"/>
      <c r="C42" s="601"/>
      <c r="D42" s="601"/>
      <c r="E42" s="602"/>
      <c r="F42" s="138"/>
      <c r="G42" s="138"/>
      <c r="H42" s="138"/>
      <c r="I42" s="138"/>
      <c r="J42" s="138"/>
      <c r="K42" s="138"/>
      <c r="L42" s="138"/>
      <c r="M42" s="138"/>
      <c r="N42" s="138"/>
      <c r="O42" s="138"/>
      <c r="P42" s="138"/>
      <c r="Q42" s="138"/>
      <c r="R42" s="138"/>
      <c r="S42" s="138"/>
      <c r="T42" s="138"/>
      <c r="U42" s="138"/>
      <c r="V42" s="138"/>
      <c r="W42" s="138"/>
      <c r="X42" s="138"/>
      <c r="Y42" s="138"/>
      <c r="Z42" s="138"/>
      <c r="AA42" s="138"/>
      <c r="AB42" s="138"/>
    </row>
    <row r="43" spans="1:28" ht="12.75" customHeight="1">
      <c r="A43" s="34"/>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row>
    <row r="44" spans="1:28" ht="12.75" customHeight="1">
      <c r="A44" s="34"/>
      <c r="B44" s="496" t="s">
        <v>820</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row>
    <row r="45" spans="1:28" ht="12.75" customHeight="1">
      <c r="A45" s="34"/>
      <c r="B45" s="142"/>
      <c r="C45" s="143"/>
      <c r="D45" s="143"/>
      <c r="E45" s="143"/>
      <c r="F45" s="143"/>
      <c r="G45" s="143"/>
      <c r="H45" s="143"/>
      <c r="I45" s="143"/>
      <c r="J45" s="143"/>
      <c r="K45" s="143"/>
      <c r="L45" s="143"/>
      <c r="M45" s="143"/>
      <c r="N45" s="143"/>
      <c r="O45" s="144"/>
      <c r="P45" s="138"/>
      <c r="Q45" s="138"/>
      <c r="R45" s="138"/>
      <c r="S45" s="138"/>
      <c r="T45" s="138"/>
      <c r="U45" s="138"/>
      <c r="V45" s="138"/>
      <c r="W45" s="138"/>
      <c r="X45" s="138"/>
      <c r="Y45" s="138"/>
      <c r="Z45" s="138"/>
      <c r="AA45" s="138"/>
      <c r="AB45" s="138"/>
    </row>
    <row r="46" spans="1:28" ht="12.75" customHeight="1">
      <c r="A46" s="34"/>
      <c r="B46" s="95"/>
      <c r="C46" s="64"/>
      <c r="D46" s="64"/>
      <c r="E46" s="64"/>
      <c r="F46" s="64"/>
      <c r="G46" s="64"/>
      <c r="H46" s="64"/>
      <c r="I46" s="64"/>
      <c r="J46" s="64"/>
      <c r="K46" s="64"/>
      <c r="L46" s="64"/>
      <c r="M46" s="64"/>
      <c r="N46" s="64"/>
      <c r="O46" s="96"/>
      <c r="P46" s="138"/>
      <c r="Q46" s="138"/>
      <c r="R46" s="138"/>
      <c r="S46" s="138"/>
      <c r="T46" s="138"/>
      <c r="U46" s="138"/>
      <c r="V46" s="138"/>
      <c r="W46" s="138"/>
      <c r="X46" s="138"/>
      <c r="Y46" s="138"/>
      <c r="Z46" s="138"/>
      <c r="AA46" s="138"/>
      <c r="AB46" s="138"/>
    </row>
    <row r="47" spans="1:28" ht="12.75" customHeight="1">
      <c r="A47" s="34"/>
      <c r="B47" s="95"/>
      <c r="C47" s="64"/>
      <c r="D47" s="64"/>
      <c r="E47" s="64"/>
      <c r="F47" s="64"/>
      <c r="G47" s="64"/>
      <c r="H47" s="64"/>
      <c r="I47" s="64"/>
      <c r="J47" s="64"/>
      <c r="K47" s="64"/>
      <c r="L47" s="64"/>
      <c r="M47" s="64"/>
      <c r="N47" s="64"/>
      <c r="O47" s="96"/>
      <c r="P47" s="138"/>
      <c r="Q47" s="138"/>
      <c r="R47" s="138"/>
      <c r="S47" s="138"/>
      <c r="T47" s="138"/>
      <c r="U47" s="138"/>
      <c r="V47" s="138"/>
      <c r="W47" s="138"/>
      <c r="X47" s="138"/>
      <c r="Y47" s="138"/>
      <c r="Z47" s="138"/>
      <c r="AA47" s="138"/>
      <c r="AB47" s="138"/>
    </row>
    <row r="48" spans="1:28" ht="12.75" customHeight="1">
      <c r="A48" s="34"/>
      <c r="B48" s="95"/>
      <c r="C48" s="64"/>
      <c r="D48" s="64"/>
      <c r="E48" s="64"/>
      <c r="F48" s="64"/>
      <c r="G48" s="64"/>
      <c r="H48" s="64"/>
      <c r="I48" s="64"/>
      <c r="J48" s="64"/>
      <c r="K48" s="64"/>
      <c r="L48" s="64"/>
      <c r="M48" s="64"/>
      <c r="N48" s="64"/>
      <c r="O48" s="96"/>
      <c r="P48" s="138"/>
      <c r="Q48" s="138"/>
      <c r="R48" s="138"/>
      <c r="S48" s="138"/>
      <c r="T48" s="138"/>
      <c r="U48" s="138"/>
      <c r="V48" s="138"/>
      <c r="W48" s="138"/>
      <c r="X48" s="138"/>
      <c r="Y48" s="138"/>
      <c r="Z48" s="138"/>
      <c r="AA48" s="138"/>
      <c r="AB48" s="138"/>
    </row>
    <row r="49" spans="1:28" ht="12.75" customHeight="1">
      <c r="A49" s="34"/>
      <c r="B49" s="95"/>
      <c r="C49" s="64"/>
      <c r="D49" s="64"/>
      <c r="E49" s="64"/>
      <c r="F49" s="64"/>
      <c r="G49" s="64"/>
      <c r="H49" s="64"/>
      <c r="I49" s="64"/>
      <c r="J49" s="64"/>
      <c r="K49" s="64"/>
      <c r="L49" s="64"/>
      <c r="M49" s="64"/>
      <c r="N49" s="64"/>
      <c r="O49" s="96"/>
      <c r="P49" s="138"/>
      <c r="Q49" s="138"/>
      <c r="R49" s="138"/>
      <c r="S49" s="138"/>
      <c r="T49" s="138"/>
      <c r="U49" s="138"/>
      <c r="V49" s="138"/>
      <c r="W49" s="138"/>
      <c r="X49" s="138"/>
      <c r="Y49" s="138"/>
      <c r="Z49" s="138"/>
      <c r="AA49" s="138"/>
      <c r="AB49" s="138"/>
    </row>
    <row r="50" spans="1:28" ht="12.75" customHeight="1">
      <c r="A50" s="34"/>
      <c r="B50" s="95"/>
      <c r="C50" s="64"/>
      <c r="D50" s="64"/>
      <c r="E50" s="64"/>
      <c r="F50" s="64"/>
      <c r="G50" s="64"/>
      <c r="H50" s="64"/>
      <c r="I50" s="64"/>
      <c r="J50" s="64"/>
      <c r="K50" s="64"/>
      <c r="L50" s="64"/>
      <c r="M50" s="64"/>
      <c r="N50" s="64"/>
      <c r="O50" s="96"/>
      <c r="P50" s="138"/>
      <c r="Q50" s="138"/>
      <c r="R50" s="138"/>
      <c r="S50" s="138"/>
      <c r="T50" s="138"/>
      <c r="U50" s="138"/>
      <c r="V50" s="138"/>
      <c r="W50" s="138"/>
      <c r="X50" s="138"/>
      <c r="Y50" s="138"/>
      <c r="Z50" s="138"/>
      <c r="AA50" s="138"/>
      <c r="AB50" s="138"/>
    </row>
    <row r="51" spans="1:28" ht="12.75" customHeight="1">
      <c r="A51" s="34"/>
      <c r="B51" s="95"/>
      <c r="C51" s="64"/>
      <c r="D51" s="64"/>
      <c r="E51" s="64"/>
      <c r="F51" s="64"/>
      <c r="G51" s="64"/>
      <c r="H51" s="64"/>
      <c r="I51" s="64"/>
      <c r="J51" s="64"/>
      <c r="K51" s="64"/>
      <c r="L51" s="64"/>
      <c r="M51" s="64"/>
      <c r="N51" s="64"/>
      <c r="O51" s="96"/>
      <c r="P51" s="138"/>
      <c r="Q51" s="138"/>
      <c r="R51" s="138"/>
      <c r="S51" s="138"/>
      <c r="T51" s="138"/>
      <c r="U51" s="138"/>
      <c r="V51" s="138"/>
      <c r="W51" s="138"/>
      <c r="X51" s="138"/>
      <c r="Y51" s="138"/>
      <c r="Z51" s="138"/>
      <c r="AA51" s="138"/>
      <c r="AB51" s="138"/>
    </row>
    <row r="52" spans="1:28" ht="12.75" customHeight="1">
      <c r="A52" s="34"/>
      <c r="B52" s="95"/>
      <c r="C52" s="64"/>
      <c r="D52" s="64"/>
      <c r="E52" s="64"/>
      <c r="F52" s="64"/>
      <c r="G52" s="64"/>
      <c r="H52" s="64"/>
      <c r="I52" s="64"/>
      <c r="J52" s="64"/>
      <c r="K52" s="64"/>
      <c r="L52" s="64"/>
      <c r="M52" s="64"/>
      <c r="N52" s="64"/>
      <c r="O52" s="96"/>
      <c r="P52" s="138"/>
      <c r="Q52" s="138"/>
      <c r="R52" s="138"/>
      <c r="S52" s="138"/>
      <c r="T52" s="138"/>
      <c r="U52" s="138"/>
      <c r="V52" s="138"/>
      <c r="W52" s="138"/>
      <c r="X52" s="138"/>
      <c r="Y52" s="138"/>
      <c r="Z52" s="138"/>
      <c r="AA52" s="138"/>
      <c r="AB52" s="138"/>
    </row>
    <row r="53" spans="1:28" ht="12.75" customHeight="1">
      <c r="A53" s="34"/>
      <c r="B53" s="95"/>
      <c r="C53" s="64"/>
      <c r="D53" s="64"/>
      <c r="E53" s="64"/>
      <c r="F53" s="64"/>
      <c r="G53" s="64"/>
      <c r="H53" s="64"/>
      <c r="I53" s="64"/>
      <c r="J53" s="64"/>
      <c r="K53" s="64"/>
      <c r="L53" s="64"/>
      <c r="M53" s="64"/>
      <c r="N53" s="64"/>
      <c r="O53" s="96"/>
      <c r="P53" s="138"/>
      <c r="Q53" s="138"/>
      <c r="R53" s="138"/>
      <c r="S53" s="138"/>
      <c r="T53" s="138"/>
      <c r="U53" s="138"/>
      <c r="V53" s="138"/>
      <c r="W53" s="138"/>
      <c r="X53" s="138"/>
      <c r="Y53" s="138"/>
      <c r="Z53" s="138"/>
      <c r="AA53" s="138"/>
      <c r="AB53" s="138"/>
    </row>
    <row r="54" spans="1:28" ht="12.75" customHeight="1">
      <c r="A54" s="34"/>
      <c r="B54" s="95"/>
      <c r="C54" s="64"/>
      <c r="D54" s="64"/>
      <c r="E54" s="64"/>
      <c r="F54" s="64"/>
      <c r="G54" s="64"/>
      <c r="H54" s="64"/>
      <c r="I54" s="64"/>
      <c r="J54" s="64"/>
      <c r="K54" s="64"/>
      <c r="L54" s="64"/>
      <c r="M54" s="64"/>
      <c r="N54" s="64"/>
      <c r="O54" s="96"/>
      <c r="P54" s="138"/>
      <c r="Q54" s="138"/>
      <c r="R54" s="138"/>
      <c r="S54" s="138"/>
      <c r="T54" s="138"/>
      <c r="U54" s="138"/>
      <c r="V54" s="138"/>
      <c r="W54" s="138"/>
      <c r="X54" s="138"/>
      <c r="Y54" s="138"/>
      <c r="Z54" s="138"/>
      <c r="AA54" s="138"/>
      <c r="AB54" s="138"/>
    </row>
    <row r="55" spans="1:28" ht="12.75" customHeight="1">
      <c r="A55" s="34"/>
      <c r="B55" s="95"/>
      <c r="C55" s="64"/>
      <c r="D55" s="64"/>
      <c r="E55" s="64"/>
      <c r="F55" s="64"/>
      <c r="G55" s="64"/>
      <c r="H55" s="64"/>
      <c r="I55" s="64"/>
      <c r="J55" s="64"/>
      <c r="K55" s="64"/>
      <c r="L55" s="64"/>
      <c r="M55" s="64"/>
      <c r="N55" s="64"/>
      <c r="O55" s="96"/>
      <c r="P55" s="138"/>
      <c r="Q55" s="138"/>
      <c r="R55" s="138"/>
      <c r="S55" s="138"/>
      <c r="T55" s="138"/>
      <c r="U55" s="138"/>
      <c r="V55" s="138"/>
      <c r="W55" s="138"/>
      <c r="X55" s="138"/>
      <c r="Y55" s="138"/>
      <c r="Z55" s="138"/>
      <c r="AA55" s="138"/>
      <c r="AB55" s="138"/>
    </row>
    <row r="56" spans="1:28" ht="12.75" customHeight="1">
      <c r="A56" s="34"/>
      <c r="B56" s="95"/>
      <c r="C56" s="64"/>
      <c r="D56" s="64"/>
      <c r="E56" s="64"/>
      <c r="F56" s="64"/>
      <c r="G56" s="64"/>
      <c r="H56" s="64"/>
      <c r="I56" s="64"/>
      <c r="J56" s="64"/>
      <c r="K56" s="64"/>
      <c r="L56" s="64"/>
      <c r="M56" s="64"/>
      <c r="N56" s="64"/>
      <c r="O56" s="96"/>
      <c r="P56" s="138"/>
      <c r="Q56" s="138"/>
      <c r="R56" s="138"/>
      <c r="S56" s="138"/>
      <c r="T56" s="138"/>
      <c r="U56" s="138"/>
      <c r="V56" s="138"/>
      <c r="W56" s="138"/>
      <c r="X56" s="138"/>
      <c r="Y56" s="138"/>
      <c r="Z56" s="138"/>
      <c r="AA56" s="138"/>
      <c r="AB56" s="138"/>
    </row>
    <row r="57" spans="1:28" ht="12.75" customHeight="1">
      <c r="A57" s="34"/>
      <c r="B57" s="95"/>
      <c r="C57" s="64"/>
      <c r="D57" s="64"/>
      <c r="E57" s="64"/>
      <c r="F57" s="64"/>
      <c r="G57" s="64"/>
      <c r="H57" s="64"/>
      <c r="I57" s="64"/>
      <c r="J57" s="64"/>
      <c r="K57" s="64"/>
      <c r="L57" s="64"/>
      <c r="M57" s="64"/>
      <c r="N57" s="64"/>
      <c r="O57" s="96"/>
      <c r="P57" s="138"/>
      <c r="Q57" s="138"/>
      <c r="R57" s="138"/>
      <c r="S57" s="138"/>
      <c r="T57" s="138"/>
      <c r="U57" s="138"/>
      <c r="V57" s="138"/>
      <c r="W57" s="138"/>
      <c r="X57" s="138"/>
      <c r="Y57" s="138"/>
      <c r="Z57" s="138"/>
      <c r="AA57" s="138"/>
      <c r="AB57" s="138"/>
    </row>
    <row r="58" spans="1:28" ht="12.75" customHeight="1">
      <c r="A58" s="34"/>
      <c r="B58" s="95"/>
      <c r="C58" s="64"/>
      <c r="D58" s="64"/>
      <c r="E58" s="64"/>
      <c r="F58" s="64"/>
      <c r="G58" s="64"/>
      <c r="H58" s="64"/>
      <c r="I58" s="64"/>
      <c r="J58" s="64"/>
      <c r="K58" s="64"/>
      <c r="L58" s="64"/>
      <c r="M58" s="64"/>
      <c r="N58" s="64"/>
      <c r="O58" s="96"/>
      <c r="P58" s="138"/>
      <c r="Q58" s="138"/>
      <c r="R58" s="138"/>
      <c r="S58" s="138"/>
      <c r="T58" s="138"/>
      <c r="U58" s="138"/>
      <c r="V58" s="138"/>
      <c r="W58" s="138"/>
      <c r="X58" s="138"/>
      <c r="Y58" s="138"/>
      <c r="Z58" s="138"/>
      <c r="AA58" s="138"/>
      <c r="AB58" s="138"/>
    </row>
    <row r="59" spans="1:28" ht="12.75" customHeight="1">
      <c r="A59" s="34"/>
      <c r="B59" s="95"/>
      <c r="C59" s="64"/>
      <c r="D59" s="64"/>
      <c r="E59" s="64"/>
      <c r="F59" s="64"/>
      <c r="G59" s="64"/>
      <c r="H59" s="64"/>
      <c r="I59" s="64"/>
      <c r="J59" s="64"/>
      <c r="K59" s="64"/>
      <c r="L59" s="64"/>
      <c r="M59" s="64"/>
      <c r="N59" s="64"/>
      <c r="O59" s="96"/>
      <c r="P59" s="138"/>
      <c r="Q59" s="138"/>
      <c r="R59" s="138"/>
      <c r="S59" s="138"/>
      <c r="T59" s="138"/>
      <c r="U59" s="138"/>
      <c r="V59" s="138"/>
      <c r="W59" s="138"/>
      <c r="X59" s="138"/>
      <c r="Y59" s="138"/>
      <c r="Z59" s="138"/>
      <c r="AA59" s="138"/>
      <c r="AB59" s="138"/>
    </row>
    <row r="60" spans="1:28" ht="12.75" customHeight="1">
      <c r="A60" s="34"/>
      <c r="B60" s="95"/>
      <c r="C60" s="64"/>
      <c r="D60" s="64"/>
      <c r="E60" s="64"/>
      <c r="F60" s="64"/>
      <c r="G60" s="64"/>
      <c r="H60" s="64"/>
      <c r="I60" s="64"/>
      <c r="J60" s="64"/>
      <c r="K60" s="64"/>
      <c r="L60" s="64"/>
      <c r="M60" s="64"/>
      <c r="N60" s="64"/>
      <c r="O60" s="96"/>
      <c r="P60" s="138"/>
      <c r="Q60" s="138"/>
      <c r="R60" s="138"/>
      <c r="S60" s="138"/>
      <c r="T60" s="138"/>
      <c r="U60" s="138"/>
      <c r="V60" s="138"/>
      <c r="W60" s="138"/>
      <c r="X60" s="138"/>
      <c r="Y60" s="138"/>
      <c r="Z60" s="138"/>
      <c r="AA60" s="138"/>
      <c r="AB60" s="138"/>
    </row>
    <row r="61" spans="1:28" ht="12.75" customHeight="1">
      <c r="A61" s="34"/>
      <c r="B61" s="95"/>
      <c r="C61" s="64"/>
      <c r="D61" s="64"/>
      <c r="E61" s="64"/>
      <c r="F61" s="64"/>
      <c r="G61" s="64"/>
      <c r="H61" s="64"/>
      <c r="I61" s="64"/>
      <c r="J61" s="64"/>
      <c r="K61" s="64"/>
      <c r="L61" s="64"/>
      <c r="M61" s="64"/>
      <c r="N61" s="64"/>
      <c r="O61" s="96"/>
      <c r="P61" s="138"/>
      <c r="Q61" s="138"/>
      <c r="R61" s="138"/>
      <c r="S61" s="138"/>
      <c r="T61" s="138"/>
      <c r="U61" s="138"/>
      <c r="V61" s="138"/>
      <c r="W61" s="138"/>
      <c r="X61" s="138"/>
      <c r="Y61" s="138"/>
      <c r="Z61" s="138"/>
      <c r="AA61" s="138"/>
      <c r="AB61" s="138"/>
    </row>
    <row r="62" spans="1:28" ht="12.75" customHeight="1">
      <c r="A62" s="34"/>
      <c r="B62" s="95"/>
      <c r="C62" s="64"/>
      <c r="D62" s="64"/>
      <c r="E62" s="64"/>
      <c r="F62" s="64"/>
      <c r="G62" s="64"/>
      <c r="H62" s="64"/>
      <c r="I62" s="64"/>
      <c r="J62" s="64"/>
      <c r="K62" s="64"/>
      <c r="L62" s="64"/>
      <c r="M62" s="64"/>
      <c r="N62" s="64"/>
      <c r="O62" s="96"/>
      <c r="P62" s="138"/>
      <c r="Q62" s="138"/>
      <c r="R62" s="138"/>
      <c r="S62" s="138"/>
      <c r="T62" s="138"/>
      <c r="U62" s="138"/>
      <c r="V62" s="138"/>
      <c r="W62" s="138"/>
      <c r="X62" s="138"/>
      <c r="Y62" s="138"/>
      <c r="Z62" s="138"/>
      <c r="AA62" s="138"/>
      <c r="AB62" s="138"/>
    </row>
    <row r="63" spans="1:28" ht="12.75" customHeight="1">
      <c r="A63" s="34"/>
      <c r="B63" s="95"/>
      <c r="C63" s="64"/>
      <c r="D63" s="64"/>
      <c r="E63" s="64"/>
      <c r="F63" s="64"/>
      <c r="G63" s="64"/>
      <c r="H63" s="64"/>
      <c r="I63" s="64"/>
      <c r="J63" s="64"/>
      <c r="K63" s="64"/>
      <c r="L63" s="64"/>
      <c r="M63" s="64"/>
      <c r="N63" s="64"/>
      <c r="O63" s="96"/>
      <c r="P63" s="138"/>
      <c r="Q63" s="138"/>
      <c r="R63" s="138"/>
      <c r="S63" s="138"/>
      <c r="T63" s="138"/>
      <c r="U63" s="138"/>
      <c r="V63" s="138"/>
      <c r="W63" s="138"/>
      <c r="X63" s="138"/>
      <c r="Y63" s="138"/>
      <c r="Z63" s="138"/>
      <c r="AA63" s="138"/>
      <c r="AB63" s="138"/>
    </row>
    <row r="64" spans="1:28" ht="12.75" customHeight="1">
      <c r="A64" s="34"/>
      <c r="B64" s="95"/>
      <c r="C64" s="64"/>
      <c r="D64" s="64"/>
      <c r="E64" s="64"/>
      <c r="F64" s="64"/>
      <c r="G64" s="64"/>
      <c r="H64" s="64"/>
      <c r="I64" s="64"/>
      <c r="J64" s="64"/>
      <c r="K64" s="64"/>
      <c r="L64" s="64"/>
      <c r="M64" s="64"/>
      <c r="N64" s="64"/>
      <c r="O64" s="96"/>
      <c r="P64" s="138"/>
      <c r="Q64" s="138"/>
      <c r="R64" s="138"/>
      <c r="S64" s="138"/>
      <c r="T64" s="138"/>
      <c r="U64" s="138"/>
      <c r="V64" s="138"/>
      <c r="W64" s="138"/>
      <c r="X64" s="138"/>
      <c r="Y64" s="138"/>
      <c r="Z64" s="138"/>
      <c r="AA64" s="138"/>
      <c r="AB64" s="138"/>
    </row>
    <row r="65" spans="1:28" ht="12.75" customHeight="1">
      <c r="A65" s="34"/>
      <c r="B65" s="95"/>
      <c r="C65" s="64"/>
      <c r="D65" s="64"/>
      <c r="E65" s="64"/>
      <c r="F65" s="64"/>
      <c r="G65" s="64"/>
      <c r="H65" s="64"/>
      <c r="I65" s="64"/>
      <c r="J65" s="64"/>
      <c r="K65" s="64"/>
      <c r="L65" s="64"/>
      <c r="M65" s="64"/>
      <c r="N65" s="64"/>
      <c r="O65" s="96"/>
      <c r="P65" s="138"/>
      <c r="Q65" s="138"/>
      <c r="R65" s="138"/>
      <c r="S65" s="138"/>
      <c r="T65" s="138"/>
      <c r="U65" s="138"/>
      <c r="V65" s="138"/>
      <c r="W65" s="138"/>
      <c r="X65" s="138"/>
      <c r="Y65" s="138"/>
      <c r="Z65" s="138"/>
      <c r="AA65" s="138"/>
      <c r="AB65" s="138"/>
    </row>
    <row r="66" spans="1:28" ht="12.75" customHeight="1">
      <c r="A66" s="34"/>
      <c r="B66" s="95"/>
      <c r="C66" s="64"/>
      <c r="D66" s="64"/>
      <c r="E66" s="64"/>
      <c r="F66" s="64"/>
      <c r="G66" s="64"/>
      <c r="H66" s="64"/>
      <c r="I66" s="64"/>
      <c r="J66" s="64"/>
      <c r="K66" s="64"/>
      <c r="L66" s="64"/>
      <c r="M66" s="64"/>
      <c r="N66" s="64"/>
      <c r="O66" s="96"/>
      <c r="P66" s="138"/>
      <c r="Q66" s="138"/>
      <c r="R66" s="138"/>
      <c r="S66" s="138"/>
      <c r="T66" s="138"/>
      <c r="U66" s="138"/>
      <c r="V66" s="138"/>
      <c r="W66" s="138"/>
      <c r="X66" s="138"/>
      <c r="Y66" s="138"/>
      <c r="Z66" s="138"/>
      <c r="AA66" s="138"/>
      <c r="AB66" s="138"/>
    </row>
    <row r="67" spans="1:28" ht="12.75" customHeight="1">
      <c r="A67" s="34"/>
      <c r="B67" s="95"/>
      <c r="C67" s="64"/>
      <c r="D67" s="64"/>
      <c r="E67" s="64"/>
      <c r="F67" s="64"/>
      <c r="G67" s="64"/>
      <c r="H67" s="64"/>
      <c r="I67" s="64"/>
      <c r="J67" s="64"/>
      <c r="K67" s="64"/>
      <c r="L67" s="64"/>
      <c r="M67" s="64"/>
      <c r="N67" s="64"/>
      <c r="O67" s="96"/>
      <c r="P67" s="138"/>
      <c r="Q67" s="138"/>
      <c r="R67" s="138"/>
      <c r="S67" s="138"/>
      <c r="T67" s="138"/>
      <c r="U67" s="138"/>
      <c r="V67" s="138"/>
      <c r="W67" s="138"/>
      <c r="X67" s="138"/>
      <c r="Y67" s="138"/>
      <c r="Z67" s="138"/>
      <c r="AA67" s="138"/>
      <c r="AB67" s="138"/>
    </row>
    <row r="68" spans="1:28" ht="12.75" customHeight="1">
      <c r="A68" s="34"/>
      <c r="B68" s="95"/>
      <c r="C68" s="64"/>
      <c r="D68" s="64"/>
      <c r="E68" s="64"/>
      <c r="F68" s="64"/>
      <c r="G68" s="64"/>
      <c r="H68" s="64"/>
      <c r="I68" s="64"/>
      <c r="J68" s="64"/>
      <c r="K68" s="64"/>
      <c r="L68" s="64"/>
      <c r="M68" s="64"/>
      <c r="N68" s="64"/>
      <c r="O68" s="96"/>
      <c r="P68" s="138"/>
      <c r="Q68" s="138"/>
      <c r="R68" s="138"/>
      <c r="S68" s="138"/>
      <c r="T68" s="138"/>
      <c r="U68" s="138"/>
      <c r="V68" s="138"/>
      <c r="W68" s="138"/>
      <c r="X68" s="138"/>
      <c r="Y68" s="138"/>
      <c r="Z68" s="138"/>
      <c r="AA68" s="138"/>
      <c r="AB68" s="138"/>
    </row>
    <row r="69" spans="1:28" ht="12.75" customHeight="1">
      <c r="A69" s="34"/>
      <c r="B69" s="95"/>
      <c r="C69" s="64"/>
      <c r="D69" s="64"/>
      <c r="E69" s="64"/>
      <c r="F69" s="64"/>
      <c r="G69" s="64"/>
      <c r="H69" s="64"/>
      <c r="I69" s="64"/>
      <c r="J69" s="64"/>
      <c r="K69" s="64"/>
      <c r="L69" s="64"/>
      <c r="M69" s="64"/>
      <c r="N69" s="64"/>
      <c r="O69" s="96"/>
      <c r="P69" s="138"/>
      <c r="Q69" s="138"/>
      <c r="R69" s="138"/>
      <c r="S69" s="138"/>
      <c r="T69" s="138"/>
      <c r="U69" s="138"/>
      <c r="V69" s="138"/>
      <c r="W69" s="138"/>
      <c r="X69" s="138"/>
      <c r="Y69" s="138"/>
      <c r="Z69" s="138"/>
      <c r="AA69" s="138"/>
      <c r="AB69" s="138"/>
    </row>
    <row r="70" spans="1:28" ht="12.75" customHeight="1">
      <c r="A70" s="34"/>
      <c r="B70" s="95"/>
      <c r="C70" s="642" t="s">
        <v>821</v>
      </c>
      <c r="D70" s="582"/>
      <c r="E70" s="583"/>
      <c r="F70" s="64"/>
      <c r="G70" s="64"/>
      <c r="H70" s="64"/>
      <c r="I70" s="64"/>
      <c r="J70" s="64"/>
      <c r="K70" s="64"/>
      <c r="L70" s="64"/>
      <c r="M70" s="64"/>
      <c r="N70" s="64"/>
      <c r="O70" s="96"/>
      <c r="P70" s="138"/>
      <c r="Q70" s="138"/>
      <c r="R70" s="138"/>
      <c r="S70" s="138"/>
      <c r="T70" s="138"/>
      <c r="U70" s="138"/>
      <c r="V70" s="138"/>
      <c r="W70" s="138"/>
      <c r="X70" s="138"/>
      <c r="Y70" s="138"/>
      <c r="Z70" s="138"/>
      <c r="AA70" s="138"/>
      <c r="AB70" s="138"/>
    </row>
    <row r="71" spans="1:28" ht="12.75" customHeight="1">
      <c r="A71" s="34"/>
      <c r="B71" s="95"/>
      <c r="C71" s="64"/>
      <c r="D71" s="64"/>
      <c r="E71" s="64"/>
      <c r="F71" s="64"/>
      <c r="G71" s="64"/>
      <c r="H71" s="64"/>
      <c r="I71" s="64"/>
      <c r="J71" s="64"/>
      <c r="K71" s="64"/>
      <c r="L71" s="64"/>
      <c r="M71" s="64"/>
      <c r="N71" s="64"/>
      <c r="O71" s="96"/>
      <c r="P71" s="138"/>
      <c r="Q71" s="138"/>
      <c r="R71" s="138"/>
      <c r="S71" s="138"/>
      <c r="T71" s="138"/>
      <c r="U71" s="138"/>
      <c r="V71" s="138"/>
      <c r="W71" s="138"/>
      <c r="X71" s="138"/>
      <c r="Y71" s="138"/>
      <c r="Z71" s="138"/>
      <c r="AA71" s="138"/>
      <c r="AB71" s="138"/>
    </row>
    <row r="72" spans="1:28" ht="12.75" customHeight="1">
      <c r="A72" s="34"/>
      <c r="B72" s="95"/>
      <c r="C72" s="64"/>
      <c r="D72" s="64"/>
      <c r="E72" s="64"/>
      <c r="F72" s="64"/>
      <c r="G72" s="64"/>
      <c r="H72" s="64"/>
      <c r="I72" s="64"/>
      <c r="J72" s="64"/>
      <c r="K72" s="64"/>
      <c r="L72" s="64"/>
      <c r="M72" s="64"/>
      <c r="N72" s="64"/>
      <c r="O72" s="96"/>
      <c r="P72" s="138"/>
      <c r="Q72" s="138"/>
      <c r="R72" s="138"/>
      <c r="S72" s="138"/>
      <c r="T72" s="138"/>
      <c r="U72" s="138"/>
      <c r="V72" s="138"/>
      <c r="W72" s="138"/>
      <c r="X72" s="138"/>
      <c r="Y72" s="138"/>
      <c r="Z72" s="138"/>
      <c r="AA72" s="138"/>
      <c r="AB72" s="138"/>
    </row>
    <row r="73" spans="1:28" ht="12.75" customHeight="1">
      <c r="A73" s="34"/>
      <c r="B73" s="95"/>
      <c r="C73" s="64"/>
      <c r="D73" s="64"/>
      <c r="E73" s="64"/>
      <c r="F73" s="64"/>
      <c r="G73" s="64"/>
      <c r="H73" s="64"/>
      <c r="I73" s="64"/>
      <c r="J73" s="64"/>
      <c r="K73" s="64"/>
      <c r="L73" s="64"/>
      <c r="M73" s="64"/>
      <c r="N73" s="64"/>
      <c r="O73" s="96"/>
      <c r="P73" s="138"/>
      <c r="Q73" s="138"/>
      <c r="R73" s="138"/>
      <c r="S73" s="138"/>
      <c r="T73" s="138"/>
      <c r="U73" s="138"/>
      <c r="V73" s="138"/>
      <c r="W73" s="138"/>
      <c r="X73" s="138"/>
      <c r="Y73" s="138"/>
      <c r="Z73" s="138"/>
      <c r="AA73" s="138"/>
      <c r="AB73" s="138"/>
    </row>
    <row r="74" spans="1:28" ht="12.75" customHeight="1">
      <c r="A74" s="34"/>
      <c r="B74" s="95"/>
      <c r="C74" s="64"/>
      <c r="D74" s="64"/>
      <c r="E74" s="64"/>
      <c r="F74" s="64"/>
      <c r="G74" s="64"/>
      <c r="H74" s="64"/>
      <c r="I74" s="64"/>
      <c r="J74" s="64"/>
      <c r="K74" s="64"/>
      <c r="L74" s="64"/>
      <c r="M74" s="64"/>
      <c r="N74" s="64"/>
      <c r="O74" s="96"/>
      <c r="P74" s="138"/>
      <c r="Q74" s="138"/>
      <c r="R74" s="138"/>
      <c r="S74" s="138"/>
      <c r="T74" s="138"/>
      <c r="U74" s="138"/>
      <c r="V74" s="138"/>
      <c r="W74" s="138"/>
      <c r="X74" s="138"/>
      <c r="Y74" s="138"/>
      <c r="Z74" s="138"/>
      <c r="AA74" s="138"/>
      <c r="AB74" s="138"/>
    </row>
    <row r="75" spans="1:28" ht="12.75" customHeight="1">
      <c r="A75" s="34"/>
      <c r="B75" s="95"/>
      <c r="C75" s="64"/>
      <c r="D75" s="64"/>
      <c r="E75" s="64"/>
      <c r="F75" s="64"/>
      <c r="G75" s="64"/>
      <c r="H75" s="64"/>
      <c r="I75" s="64"/>
      <c r="J75" s="419"/>
      <c r="K75" s="64"/>
      <c r="L75" s="64"/>
      <c r="M75" s="64"/>
      <c r="N75" s="64"/>
      <c r="O75" s="96"/>
      <c r="P75" s="138"/>
      <c r="Q75" s="138"/>
      <c r="R75" s="138"/>
      <c r="S75" s="138"/>
      <c r="T75" s="138"/>
      <c r="U75" s="138"/>
      <c r="V75" s="138"/>
      <c r="W75" s="138"/>
      <c r="X75" s="138"/>
      <c r="Y75" s="138"/>
      <c r="Z75" s="138"/>
      <c r="AA75" s="138"/>
      <c r="AB75" s="138"/>
    </row>
    <row r="76" spans="1:28" ht="12.75" customHeight="1">
      <c r="A76" s="34"/>
      <c r="B76" s="95"/>
      <c r="C76" s="64"/>
      <c r="D76" s="64"/>
      <c r="E76" s="64"/>
      <c r="F76" s="64"/>
      <c r="G76" s="64"/>
      <c r="H76" s="64"/>
      <c r="I76" s="64"/>
      <c r="J76" s="64"/>
      <c r="K76" s="64"/>
      <c r="L76" s="64"/>
      <c r="M76" s="64"/>
      <c r="N76" s="64"/>
      <c r="O76" s="96"/>
      <c r="P76" s="138"/>
      <c r="Q76" s="138"/>
      <c r="R76" s="138"/>
      <c r="S76" s="138"/>
      <c r="T76" s="138"/>
      <c r="U76" s="138"/>
      <c r="V76" s="138"/>
      <c r="W76" s="138"/>
      <c r="X76" s="138"/>
      <c r="Y76" s="138"/>
      <c r="Z76" s="138"/>
      <c r="AA76" s="138"/>
      <c r="AB76" s="138"/>
    </row>
    <row r="77" spans="1:28" ht="12.75" customHeight="1">
      <c r="A77" s="34"/>
      <c r="B77" s="95"/>
      <c r="C77" s="497"/>
      <c r="D77" s="497"/>
      <c r="E77" s="497"/>
      <c r="F77" s="64"/>
      <c r="G77" s="64"/>
      <c r="H77" s="64"/>
      <c r="I77" s="64"/>
      <c r="J77" s="64"/>
      <c r="K77" s="642" t="s">
        <v>822</v>
      </c>
      <c r="L77" s="583"/>
      <c r="M77" s="64"/>
      <c r="N77" s="64"/>
      <c r="O77" s="96"/>
      <c r="P77" s="138"/>
      <c r="Q77" s="138"/>
      <c r="R77" s="138"/>
      <c r="S77" s="138"/>
      <c r="T77" s="138"/>
      <c r="U77" s="138"/>
      <c r="V77" s="138"/>
      <c r="W77" s="138"/>
      <c r="X77" s="138"/>
      <c r="Y77" s="138"/>
      <c r="Z77" s="138"/>
      <c r="AA77" s="138"/>
      <c r="AB77" s="138"/>
    </row>
    <row r="78" spans="1:28" ht="12.75" customHeight="1">
      <c r="A78" s="34"/>
      <c r="B78" s="95"/>
      <c r="C78" s="64"/>
      <c r="D78" s="64"/>
      <c r="E78" s="64"/>
      <c r="F78" s="64"/>
      <c r="G78" s="64"/>
      <c r="H78" s="64"/>
      <c r="I78" s="64"/>
      <c r="J78" s="64"/>
      <c r="K78" s="64"/>
      <c r="L78" s="64"/>
      <c r="M78" s="64"/>
      <c r="N78" s="64"/>
      <c r="O78" s="96"/>
      <c r="P78" s="138"/>
      <c r="Q78" s="138"/>
      <c r="R78" s="138"/>
      <c r="S78" s="138"/>
      <c r="T78" s="138"/>
      <c r="U78" s="138"/>
      <c r="V78" s="138"/>
      <c r="W78" s="138"/>
      <c r="X78" s="138"/>
      <c r="Y78" s="138"/>
      <c r="Z78" s="138"/>
      <c r="AA78" s="138"/>
      <c r="AB78" s="138"/>
    </row>
    <row r="79" spans="1:28" ht="12.75" customHeight="1">
      <c r="A79" s="34"/>
      <c r="B79" s="95"/>
      <c r="C79" s="64"/>
      <c r="D79" s="64"/>
      <c r="E79" s="64"/>
      <c r="F79" s="64"/>
      <c r="G79" s="64"/>
      <c r="H79" s="64"/>
      <c r="I79" s="64"/>
      <c r="J79" s="64"/>
      <c r="K79" s="64"/>
      <c r="L79" s="64"/>
      <c r="M79" s="64"/>
      <c r="N79" s="64"/>
      <c r="O79" s="96"/>
      <c r="P79" s="138"/>
      <c r="Q79" s="138"/>
      <c r="R79" s="138"/>
      <c r="S79" s="138"/>
      <c r="T79" s="138"/>
      <c r="U79" s="138"/>
      <c r="V79" s="138"/>
      <c r="W79" s="138"/>
      <c r="X79" s="138"/>
      <c r="Y79" s="138"/>
      <c r="Z79" s="138"/>
      <c r="AA79" s="138"/>
      <c r="AB79" s="138"/>
    </row>
    <row r="80" spans="1:28" ht="12.75" customHeight="1">
      <c r="A80" s="34"/>
      <c r="B80" s="95"/>
      <c r="C80" s="64"/>
      <c r="D80" s="64"/>
      <c r="E80" s="64"/>
      <c r="F80" s="64"/>
      <c r="G80" s="64"/>
      <c r="H80" s="64"/>
      <c r="I80" s="64"/>
      <c r="J80" s="64"/>
      <c r="K80" s="64"/>
      <c r="L80" s="64"/>
      <c r="M80" s="64"/>
      <c r="N80" s="64"/>
      <c r="O80" s="96"/>
      <c r="P80" s="138"/>
      <c r="Q80" s="138"/>
      <c r="R80" s="138"/>
      <c r="S80" s="138"/>
      <c r="T80" s="138"/>
      <c r="U80" s="138"/>
      <c r="V80" s="138"/>
      <c r="W80" s="138"/>
      <c r="X80" s="138"/>
      <c r="Y80" s="138"/>
      <c r="Z80" s="138"/>
      <c r="AA80" s="138"/>
      <c r="AB80" s="138"/>
    </row>
    <row r="81" spans="1:28" ht="12.75" customHeight="1">
      <c r="A81" s="34"/>
      <c r="B81" s="95"/>
      <c r="C81" s="64"/>
      <c r="D81" s="64"/>
      <c r="E81" s="64"/>
      <c r="F81" s="64"/>
      <c r="G81" s="64"/>
      <c r="H81" s="64"/>
      <c r="I81" s="64"/>
      <c r="J81" s="64"/>
      <c r="K81" s="64"/>
      <c r="L81" s="64"/>
      <c r="M81" s="64"/>
      <c r="N81" s="64"/>
      <c r="O81" s="96"/>
      <c r="P81" s="138"/>
      <c r="Q81" s="138"/>
      <c r="R81" s="138"/>
      <c r="S81" s="138"/>
      <c r="T81" s="138"/>
      <c r="U81" s="138"/>
      <c r="V81" s="138"/>
      <c r="W81" s="138"/>
      <c r="X81" s="138"/>
      <c r="Y81" s="138"/>
      <c r="Z81" s="138"/>
      <c r="AA81" s="138"/>
      <c r="AB81" s="138"/>
    </row>
    <row r="82" spans="1:28" ht="12.75" customHeight="1">
      <c r="A82" s="34"/>
      <c r="B82" s="95"/>
      <c r="C82" s="64"/>
      <c r="D82" s="64"/>
      <c r="E82" s="64"/>
      <c r="F82" s="64"/>
      <c r="G82" s="64"/>
      <c r="H82" s="64"/>
      <c r="I82" s="64"/>
      <c r="J82" s="64"/>
      <c r="K82" s="64"/>
      <c r="L82" s="64"/>
      <c r="M82" s="64"/>
      <c r="N82" s="64"/>
      <c r="O82" s="96"/>
      <c r="P82" s="138"/>
      <c r="Q82" s="138"/>
      <c r="R82" s="138"/>
      <c r="S82" s="138"/>
      <c r="T82" s="138"/>
      <c r="U82" s="138"/>
      <c r="V82" s="138"/>
      <c r="W82" s="138"/>
      <c r="X82" s="138"/>
      <c r="Y82" s="138"/>
      <c r="Z82" s="138"/>
      <c r="AA82" s="138"/>
      <c r="AB82" s="138"/>
    </row>
    <row r="83" spans="1:28" ht="12.75" customHeight="1">
      <c r="A83" s="34"/>
      <c r="B83" s="95"/>
      <c r="C83" s="64"/>
      <c r="D83" s="64"/>
      <c r="E83" s="64"/>
      <c r="F83" s="64"/>
      <c r="G83" s="64"/>
      <c r="H83" s="64"/>
      <c r="I83" s="64"/>
      <c r="J83" s="64"/>
      <c r="K83" s="64"/>
      <c r="L83" s="64"/>
      <c r="M83" s="64"/>
      <c r="N83" s="64"/>
      <c r="O83" s="96"/>
      <c r="P83" s="138"/>
      <c r="Q83" s="138"/>
      <c r="R83" s="138"/>
      <c r="S83" s="138"/>
      <c r="T83" s="138"/>
      <c r="U83" s="138"/>
      <c r="V83" s="138"/>
      <c r="W83" s="138"/>
      <c r="X83" s="138"/>
      <c r="Y83" s="138"/>
      <c r="Z83" s="138"/>
      <c r="AA83" s="138"/>
      <c r="AB83" s="138"/>
    </row>
    <row r="84" spans="1:28" ht="12.75" customHeight="1">
      <c r="A84" s="34"/>
      <c r="B84" s="95"/>
      <c r="C84" s="64"/>
      <c r="D84" s="64"/>
      <c r="E84" s="64"/>
      <c r="F84" s="64"/>
      <c r="G84" s="64"/>
      <c r="H84" s="64"/>
      <c r="I84" s="64"/>
      <c r="J84" s="64"/>
      <c r="K84" s="64"/>
      <c r="L84" s="64"/>
      <c r="M84" s="64"/>
      <c r="N84" s="64"/>
      <c r="O84" s="96"/>
      <c r="P84" s="138"/>
      <c r="Q84" s="138"/>
      <c r="R84" s="138"/>
      <c r="S84" s="138"/>
      <c r="T84" s="138"/>
      <c r="U84" s="138"/>
      <c r="V84" s="138"/>
      <c r="W84" s="138"/>
      <c r="X84" s="138"/>
      <c r="Y84" s="138"/>
      <c r="Z84" s="138"/>
      <c r="AA84" s="138"/>
      <c r="AB84" s="138"/>
    </row>
    <row r="85" spans="1:28" ht="12.75" customHeight="1">
      <c r="A85" s="34"/>
      <c r="B85" s="95"/>
      <c r="C85" s="64"/>
      <c r="D85" s="64"/>
      <c r="E85" s="64"/>
      <c r="F85" s="64"/>
      <c r="G85" s="64"/>
      <c r="H85" s="64"/>
      <c r="I85" s="64"/>
      <c r="J85" s="64"/>
      <c r="K85" s="64"/>
      <c r="L85" s="64"/>
      <c r="M85" s="64"/>
      <c r="N85" s="64"/>
      <c r="O85" s="96"/>
      <c r="P85" s="138"/>
      <c r="Q85" s="138"/>
      <c r="R85" s="138"/>
      <c r="S85" s="138"/>
      <c r="T85" s="138"/>
      <c r="U85" s="138"/>
      <c r="V85" s="138"/>
      <c r="W85" s="138"/>
      <c r="X85" s="138"/>
      <c r="Y85" s="138"/>
      <c r="Z85" s="138"/>
      <c r="AA85" s="138"/>
      <c r="AB85" s="138"/>
    </row>
    <row r="86" spans="1:28" ht="12.75" customHeight="1">
      <c r="A86" s="34"/>
      <c r="B86" s="95"/>
      <c r="C86" s="64"/>
      <c r="D86" s="64"/>
      <c r="E86" s="64"/>
      <c r="F86" s="64"/>
      <c r="G86" s="64"/>
      <c r="H86" s="64"/>
      <c r="I86" s="64"/>
      <c r="J86" s="64"/>
      <c r="K86" s="64"/>
      <c r="L86" s="64"/>
      <c r="M86" s="64"/>
      <c r="N86" s="64"/>
      <c r="O86" s="96"/>
      <c r="P86" s="138"/>
      <c r="Q86" s="138"/>
      <c r="R86" s="138"/>
      <c r="S86" s="138"/>
      <c r="T86" s="138"/>
      <c r="U86" s="138"/>
      <c r="V86" s="138"/>
      <c r="W86" s="138"/>
      <c r="X86" s="138"/>
      <c r="Y86" s="138"/>
      <c r="Z86" s="138"/>
      <c r="AA86" s="138"/>
      <c r="AB86" s="138"/>
    </row>
    <row r="87" spans="1:28" ht="12.75" customHeight="1">
      <c r="A87" s="34"/>
      <c r="B87" s="95"/>
      <c r="C87" s="64"/>
      <c r="D87" s="64"/>
      <c r="E87" s="64"/>
      <c r="F87" s="64"/>
      <c r="G87" s="64"/>
      <c r="H87" s="64"/>
      <c r="I87" s="64"/>
      <c r="J87" s="64"/>
      <c r="K87" s="64"/>
      <c r="L87" s="64"/>
      <c r="M87" s="64"/>
      <c r="N87" s="64"/>
      <c r="O87" s="96"/>
      <c r="P87" s="138"/>
      <c r="Q87" s="138"/>
      <c r="R87" s="138"/>
      <c r="S87" s="138"/>
      <c r="T87" s="138"/>
      <c r="U87" s="138"/>
      <c r="V87" s="138"/>
      <c r="W87" s="138"/>
      <c r="X87" s="138"/>
      <c r="Y87" s="138"/>
      <c r="Z87" s="138"/>
      <c r="AA87" s="138"/>
      <c r="AB87" s="138"/>
    </row>
    <row r="88" spans="1:28" ht="12.75" customHeight="1">
      <c r="A88" s="34"/>
      <c r="B88" s="95"/>
      <c r="C88" s="64"/>
      <c r="D88" s="64"/>
      <c r="E88" s="64"/>
      <c r="F88" s="64"/>
      <c r="G88" s="64"/>
      <c r="H88" s="64"/>
      <c r="I88" s="64"/>
      <c r="J88" s="64"/>
      <c r="K88" s="64"/>
      <c r="L88" s="64"/>
      <c r="M88" s="64"/>
      <c r="N88" s="64"/>
      <c r="O88" s="96"/>
      <c r="P88" s="138"/>
      <c r="Q88" s="138"/>
      <c r="R88" s="138"/>
      <c r="S88" s="138"/>
      <c r="T88" s="138"/>
      <c r="U88" s="138"/>
      <c r="V88" s="138"/>
      <c r="W88" s="138"/>
      <c r="X88" s="138"/>
      <c r="Y88" s="138"/>
      <c r="Z88" s="138"/>
      <c r="AA88" s="138"/>
      <c r="AB88" s="138"/>
    </row>
    <row r="89" spans="1:28" ht="12.75" customHeight="1">
      <c r="A89" s="34"/>
      <c r="B89" s="95"/>
      <c r="C89" s="64"/>
      <c r="D89" s="64"/>
      <c r="E89" s="64"/>
      <c r="F89" s="64"/>
      <c r="G89" s="64"/>
      <c r="H89" s="64"/>
      <c r="I89" s="64"/>
      <c r="J89" s="64"/>
      <c r="K89" s="64"/>
      <c r="L89" s="64"/>
      <c r="M89" s="64"/>
      <c r="N89" s="64"/>
      <c r="O89" s="96"/>
      <c r="P89" s="138"/>
      <c r="Q89" s="138"/>
      <c r="R89" s="138"/>
      <c r="S89" s="138"/>
      <c r="T89" s="138"/>
      <c r="U89" s="138"/>
      <c r="V89" s="138"/>
      <c r="W89" s="138"/>
      <c r="X89" s="138"/>
      <c r="Y89" s="138"/>
      <c r="Z89" s="138"/>
      <c r="AA89" s="138"/>
      <c r="AB89" s="138"/>
    </row>
    <row r="90" spans="1:28" ht="12.75" customHeight="1">
      <c r="A90" s="34"/>
      <c r="B90" s="95"/>
      <c r="C90" s="64"/>
      <c r="D90" s="64"/>
      <c r="E90" s="64"/>
      <c r="F90" s="64"/>
      <c r="G90" s="64"/>
      <c r="H90" s="64"/>
      <c r="I90" s="64"/>
      <c r="J90" s="64"/>
      <c r="K90" s="64"/>
      <c r="L90" s="64"/>
      <c r="M90" s="64"/>
      <c r="N90" s="64"/>
      <c r="O90" s="96"/>
      <c r="P90" s="138"/>
      <c r="Q90" s="138"/>
      <c r="R90" s="138"/>
      <c r="S90" s="138"/>
      <c r="T90" s="138"/>
      <c r="U90" s="138"/>
      <c r="V90" s="138"/>
      <c r="W90" s="138"/>
      <c r="X90" s="138"/>
      <c r="Y90" s="138"/>
      <c r="Z90" s="138"/>
      <c r="AA90" s="138"/>
      <c r="AB90" s="138"/>
    </row>
    <row r="91" spans="1:28" ht="12.75" customHeight="1">
      <c r="A91" s="34"/>
      <c r="B91" s="95"/>
      <c r="C91" s="64"/>
      <c r="D91" s="64"/>
      <c r="E91" s="64"/>
      <c r="F91" s="64"/>
      <c r="G91" s="64"/>
      <c r="H91" s="64"/>
      <c r="I91" s="64"/>
      <c r="J91" s="64"/>
      <c r="K91" s="64"/>
      <c r="L91" s="64"/>
      <c r="M91" s="64"/>
      <c r="N91" s="64"/>
      <c r="O91" s="96"/>
      <c r="P91" s="138"/>
      <c r="Q91" s="138"/>
      <c r="R91" s="138"/>
      <c r="S91" s="138"/>
      <c r="T91" s="138"/>
      <c r="U91" s="138"/>
      <c r="V91" s="138"/>
      <c r="W91" s="138"/>
      <c r="X91" s="138"/>
      <c r="Y91" s="138"/>
      <c r="Z91" s="138"/>
      <c r="AA91" s="138"/>
      <c r="AB91" s="138"/>
    </row>
    <row r="92" spans="1:28" ht="12.75" customHeight="1">
      <c r="A92" s="34"/>
      <c r="B92" s="95"/>
      <c r="C92" s="64"/>
      <c r="D92" s="64"/>
      <c r="E92" s="64"/>
      <c r="F92" s="64"/>
      <c r="G92" s="64"/>
      <c r="H92" s="64"/>
      <c r="I92" s="64"/>
      <c r="J92" s="64"/>
      <c r="K92" s="64"/>
      <c r="L92" s="64"/>
      <c r="M92" s="64"/>
      <c r="N92" s="64"/>
      <c r="O92" s="96"/>
      <c r="P92" s="138"/>
      <c r="Q92" s="138"/>
      <c r="R92" s="138"/>
      <c r="S92" s="138"/>
      <c r="T92" s="138"/>
      <c r="U92" s="138"/>
      <c r="V92" s="138"/>
      <c r="W92" s="138"/>
      <c r="X92" s="138"/>
      <c r="Y92" s="138"/>
      <c r="Z92" s="138"/>
      <c r="AA92" s="138"/>
      <c r="AB92" s="138"/>
    </row>
    <row r="93" spans="1:28" ht="12.75" customHeight="1">
      <c r="A93" s="34"/>
      <c r="B93" s="95"/>
      <c r="C93" s="64"/>
      <c r="D93" s="64"/>
      <c r="E93" s="64"/>
      <c r="F93" s="64"/>
      <c r="G93" s="64"/>
      <c r="H93" s="64"/>
      <c r="I93" s="64"/>
      <c r="J93" s="64"/>
      <c r="K93" s="64"/>
      <c r="L93" s="64"/>
      <c r="M93" s="64"/>
      <c r="N93" s="64"/>
      <c r="O93" s="96"/>
      <c r="P93" s="138"/>
      <c r="Q93" s="138"/>
      <c r="R93" s="138"/>
      <c r="S93" s="138"/>
      <c r="T93" s="138"/>
      <c r="U93" s="138"/>
      <c r="V93" s="138"/>
      <c r="W93" s="138"/>
      <c r="X93" s="138"/>
      <c r="Y93" s="138"/>
      <c r="Z93" s="138"/>
      <c r="AA93" s="138"/>
      <c r="AB93" s="138"/>
    </row>
    <row r="94" spans="1:28" ht="12.75" customHeight="1">
      <c r="A94" s="34"/>
      <c r="B94" s="95"/>
      <c r="C94" s="64"/>
      <c r="D94" s="64"/>
      <c r="E94" s="64"/>
      <c r="F94" s="64"/>
      <c r="G94" s="64"/>
      <c r="H94" s="64"/>
      <c r="I94" s="64"/>
      <c r="J94" s="64"/>
      <c r="K94" s="64"/>
      <c r="L94" s="64"/>
      <c r="M94" s="64"/>
      <c r="N94" s="64"/>
      <c r="O94" s="96"/>
      <c r="P94" s="138"/>
      <c r="Q94" s="138"/>
      <c r="R94" s="138"/>
      <c r="S94" s="138"/>
      <c r="T94" s="138"/>
      <c r="U94" s="138"/>
      <c r="V94" s="138"/>
      <c r="W94" s="138"/>
      <c r="X94" s="138"/>
      <c r="Y94" s="138"/>
      <c r="Z94" s="138"/>
      <c r="AA94" s="138"/>
      <c r="AB94" s="138"/>
    </row>
    <row r="95" spans="1:28" ht="12.75" customHeight="1">
      <c r="A95" s="34"/>
      <c r="B95" s="95"/>
      <c r="C95" s="64"/>
      <c r="D95" s="64"/>
      <c r="E95" s="64"/>
      <c r="F95" s="64"/>
      <c r="G95" s="64"/>
      <c r="H95" s="64"/>
      <c r="I95" s="64"/>
      <c r="J95" s="64"/>
      <c r="K95" s="64"/>
      <c r="L95" s="64"/>
      <c r="M95" s="64"/>
      <c r="N95" s="64"/>
      <c r="O95" s="96"/>
      <c r="P95" s="138"/>
      <c r="Q95" s="138"/>
      <c r="R95" s="138"/>
      <c r="S95" s="138"/>
      <c r="T95" s="138"/>
      <c r="U95" s="138"/>
      <c r="V95" s="138"/>
      <c r="W95" s="138"/>
      <c r="X95" s="138"/>
      <c r="Y95" s="138"/>
      <c r="Z95" s="138"/>
      <c r="AA95" s="138"/>
      <c r="AB95" s="138"/>
    </row>
    <row r="96" spans="1:28" ht="12.75" customHeight="1">
      <c r="A96" s="34"/>
      <c r="B96" s="95"/>
      <c r="C96" s="64"/>
      <c r="D96" s="64"/>
      <c r="E96" s="64"/>
      <c r="F96" s="64"/>
      <c r="G96" s="64"/>
      <c r="H96" s="64"/>
      <c r="I96" s="64"/>
      <c r="J96" s="64"/>
      <c r="K96" s="64"/>
      <c r="L96" s="64"/>
      <c r="M96" s="64"/>
      <c r="N96" s="64"/>
      <c r="O96" s="96"/>
      <c r="P96" s="138"/>
      <c r="Q96" s="138"/>
      <c r="R96" s="138"/>
      <c r="S96" s="138"/>
      <c r="T96" s="138"/>
      <c r="U96" s="138"/>
      <c r="V96" s="138"/>
      <c r="W96" s="138"/>
      <c r="X96" s="138"/>
      <c r="Y96" s="138"/>
      <c r="Z96" s="138"/>
      <c r="AA96" s="138"/>
      <c r="AB96" s="138"/>
    </row>
    <row r="97" spans="1:28" ht="12.75" customHeight="1">
      <c r="A97" s="34"/>
      <c r="B97" s="95"/>
      <c r="C97" s="64"/>
      <c r="D97" s="64"/>
      <c r="E97" s="64"/>
      <c r="F97" s="64"/>
      <c r="G97" s="64"/>
      <c r="H97" s="64"/>
      <c r="I97" s="64"/>
      <c r="J97" s="64"/>
      <c r="K97" s="64"/>
      <c r="L97" s="64"/>
      <c r="M97" s="64"/>
      <c r="N97" s="64"/>
      <c r="O97" s="96"/>
      <c r="P97" s="138"/>
      <c r="Q97" s="138"/>
      <c r="R97" s="138"/>
      <c r="S97" s="138"/>
      <c r="T97" s="138"/>
      <c r="U97" s="138"/>
      <c r="V97" s="138"/>
      <c r="W97" s="138"/>
      <c r="X97" s="138"/>
      <c r="Y97" s="138"/>
      <c r="Z97" s="138"/>
      <c r="AA97" s="138"/>
      <c r="AB97" s="138"/>
    </row>
    <row r="98" spans="1:28" ht="12.75" customHeight="1">
      <c r="A98" s="34"/>
      <c r="B98" s="95"/>
      <c r="C98" s="64"/>
      <c r="D98" s="64"/>
      <c r="E98" s="64"/>
      <c r="F98" s="64"/>
      <c r="G98" s="64"/>
      <c r="H98" s="64"/>
      <c r="I98" s="64"/>
      <c r="J98" s="64"/>
      <c r="K98" s="64"/>
      <c r="L98" s="64"/>
      <c r="M98" s="64"/>
      <c r="N98" s="64"/>
      <c r="O98" s="96"/>
      <c r="P98" s="138"/>
      <c r="Q98" s="138"/>
      <c r="R98" s="138"/>
      <c r="S98" s="138"/>
      <c r="T98" s="138"/>
      <c r="U98" s="138"/>
      <c r="V98" s="138"/>
      <c r="W98" s="138"/>
      <c r="X98" s="138"/>
      <c r="Y98" s="138"/>
      <c r="Z98" s="138"/>
      <c r="AA98" s="138"/>
      <c r="AB98" s="138"/>
    </row>
    <row r="99" spans="1:28" ht="12.75" customHeight="1">
      <c r="A99" s="34"/>
      <c r="B99" s="100"/>
      <c r="C99" s="101"/>
      <c r="D99" s="101"/>
      <c r="E99" s="101"/>
      <c r="F99" s="101"/>
      <c r="G99" s="101"/>
      <c r="H99" s="101"/>
      <c r="I99" s="101"/>
      <c r="J99" s="101"/>
      <c r="K99" s="101"/>
      <c r="L99" s="101"/>
      <c r="M99" s="101"/>
      <c r="N99" s="101"/>
      <c r="O99" s="150"/>
      <c r="P99" s="138"/>
      <c r="Q99" s="138"/>
      <c r="R99" s="138"/>
      <c r="S99" s="138"/>
      <c r="T99" s="138"/>
      <c r="U99" s="138"/>
      <c r="V99" s="138"/>
      <c r="W99" s="138"/>
      <c r="X99" s="138"/>
      <c r="Y99" s="138"/>
      <c r="Z99" s="138"/>
      <c r="AA99" s="138"/>
      <c r="AB99" s="138"/>
    </row>
    <row r="100" spans="1:28" ht="12.75" customHeight="1">
      <c r="A100" s="34"/>
      <c r="B100" s="34"/>
      <c r="C100" s="34"/>
      <c r="D100" s="34"/>
      <c r="E100" s="34"/>
      <c r="F100" s="34"/>
      <c r="G100" s="34"/>
      <c r="H100" s="34"/>
      <c r="I100" s="34"/>
      <c r="J100" s="34"/>
      <c r="K100" s="34"/>
      <c r="L100" s="34"/>
      <c r="M100" s="34"/>
      <c r="N100" s="34"/>
      <c r="O100" s="34"/>
      <c r="P100" s="138"/>
      <c r="Q100" s="138"/>
      <c r="R100" s="138"/>
      <c r="S100" s="138"/>
      <c r="T100" s="138"/>
      <c r="U100" s="138"/>
      <c r="V100" s="138"/>
      <c r="W100" s="138"/>
      <c r="X100" s="138"/>
      <c r="Y100" s="138"/>
      <c r="Z100" s="138"/>
      <c r="AA100" s="138"/>
      <c r="AB100" s="138"/>
    </row>
    <row r="101" spans="1:28" ht="12.75" customHeight="1">
      <c r="A101" s="34"/>
      <c r="B101" s="34"/>
      <c r="C101" s="34"/>
      <c r="D101" s="34"/>
      <c r="E101" s="34"/>
      <c r="F101" s="34"/>
      <c r="G101" s="34"/>
      <c r="H101" s="34"/>
      <c r="I101" s="34"/>
      <c r="J101" s="34"/>
      <c r="K101" s="34"/>
      <c r="L101" s="34"/>
      <c r="M101" s="34"/>
      <c r="N101" s="34"/>
      <c r="O101" s="34"/>
      <c r="P101" s="138"/>
      <c r="Q101" s="138"/>
      <c r="R101" s="138"/>
      <c r="S101" s="138"/>
      <c r="T101" s="138"/>
      <c r="U101" s="138"/>
      <c r="V101" s="138"/>
      <c r="W101" s="138"/>
      <c r="X101" s="138"/>
      <c r="Y101" s="138"/>
      <c r="Z101" s="138"/>
      <c r="AA101" s="138"/>
      <c r="AB101" s="138"/>
    </row>
    <row r="102" spans="1:28" ht="12.75" customHeight="1">
      <c r="A102" s="34"/>
      <c r="B102" s="34"/>
      <c r="C102" s="34"/>
      <c r="D102" s="34"/>
      <c r="E102" s="34"/>
      <c r="F102" s="34"/>
      <c r="G102" s="34"/>
      <c r="H102" s="34"/>
      <c r="I102" s="34"/>
      <c r="J102" s="34"/>
      <c r="K102" s="34"/>
      <c r="L102" s="34"/>
      <c r="M102" s="34"/>
      <c r="N102" s="34"/>
      <c r="O102" s="34"/>
      <c r="P102" s="138"/>
      <c r="Q102" s="138"/>
      <c r="R102" s="138"/>
      <c r="S102" s="138"/>
      <c r="T102" s="138"/>
      <c r="U102" s="138"/>
      <c r="V102" s="138"/>
      <c r="W102" s="138"/>
      <c r="X102" s="138"/>
      <c r="Y102" s="138"/>
      <c r="Z102" s="138"/>
      <c r="AA102" s="138"/>
      <c r="AB102" s="138"/>
    </row>
    <row r="103" spans="1:28" ht="12.75" customHeight="1">
      <c r="A103" s="34"/>
      <c r="B103" s="34"/>
      <c r="C103" s="34"/>
      <c r="D103" s="34"/>
      <c r="E103" s="34"/>
      <c r="F103" s="34"/>
      <c r="G103" s="34"/>
      <c r="H103" s="34"/>
      <c r="I103" s="34"/>
      <c r="J103" s="34"/>
      <c r="K103" s="34"/>
      <c r="L103" s="34"/>
      <c r="M103" s="34"/>
      <c r="N103" s="34"/>
      <c r="O103" s="34"/>
      <c r="P103" s="138"/>
      <c r="Q103" s="138"/>
      <c r="R103" s="138"/>
      <c r="S103" s="138"/>
      <c r="T103" s="138"/>
      <c r="U103" s="138"/>
      <c r="V103" s="138"/>
      <c r="W103" s="138"/>
      <c r="X103" s="138"/>
      <c r="Y103" s="138"/>
      <c r="Z103" s="138"/>
      <c r="AA103" s="138"/>
      <c r="AB103" s="138"/>
    </row>
    <row r="104" spans="1:28" ht="12.75" customHeight="1">
      <c r="A104" s="34"/>
      <c r="B104" s="34"/>
      <c r="C104" s="34"/>
      <c r="D104" s="34"/>
      <c r="E104" s="34"/>
      <c r="F104" s="34"/>
      <c r="G104" s="34"/>
      <c r="H104" s="34"/>
      <c r="I104" s="34"/>
      <c r="J104" s="34"/>
      <c r="K104" s="34"/>
      <c r="L104" s="34"/>
      <c r="M104" s="34"/>
      <c r="N104" s="34"/>
      <c r="O104" s="34"/>
      <c r="P104" s="138"/>
      <c r="Q104" s="138"/>
      <c r="R104" s="138"/>
      <c r="S104" s="138"/>
      <c r="T104" s="138"/>
      <c r="U104" s="138"/>
      <c r="V104" s="138"/>
      <c r="W104" s="138"/>
      <c r="X104" s="138"/>
      <c r="Y104" s="138"/>
      <c r="Z104" s="138"/>
      <c r="AA104" s="138"/>
      <c r="AB104" s="138"/>
    </row>
    <row r="105" spans="1:28" ht="12.75" customHeight="1">
      <c r="A105" s="34"/>
      <c r="B105" s="34"/>
      <c r="C105" s="34"/>
      <c r="D105" s="34"/>
      <c r="E105" s="34"/>
      <c r="F105" s="34"/>
      <c r="G105" s="34"/>
      <c r="H105" s="34"/>
      <c r="I105" s="34"/>
      <c r="J105" s="34"/>
      <c r="K105" s="34"/>
      <c r="L105" s="34"/>
      <c r="M105" s="34"/>
      <c r="N105" s="34"/>
      <c r="O105" s="34"/>
      <c r="P105" s="138"/>
      <c r="Q105" s="138"/>
      <c r="R105" s="138"/>
      <c r="S105" s="138"/>
      <c r="T105" s="138"/>
      <c r="U105" s="138"/>
      <c r="V105" s="138"/>
      <c r="W105" s="138"/>
      <c r="X105" s="138"/>
      <c r="Y105" s="138"/>
      <c r="Z105" s="138"/>
      <c r="AA105" s="138"/>
      <c r="AB105" s="138"/>
    </row>
    <row r="106" spans="1:28" ht="12.75" customHeight="1">
      <c r="A106" s="34"/>
      <c r="B106" s="34"/>
      <c r="C106" s="34"/>
      <c r="D106" s="34"/>
      <c r="E106" s="34"/>
      <c r="F106" s="34"/>
      <c r="G106" s="34"/>
      <c r="H106" s="34"/>
      <c r="I106" s="34"/>
      <c r="J106" s="34"/>
      <c r="K106" s="34"/>
      <c r="L106" s="34"/>
      <c r="M106" s="34"/>
      <c r="N106" s="34"/>
      <c r="O106" s="34"/>
      <c r="P106" s="138"/>
      <c r="Q106" s="138"/>
      <c r="R106" s="138"/>
      <c r="S106" s="138"/>
      <c r="T106" s="138"/>
      <c r="U106" s="138"/>
      <c r="V106" s="138"/>
      <c r="W106" s="138"/>
      <c r="X106" s="138"/>
      <c r="Y106" s="138"/>
      <c r="Z106" s="138"/>
      <c r="AA106" s="138"/>
      <c r="AB106" s="138"/>
    </row>
    <row r="107" spans="1:28" ht="12.75" customHeight="1">
      <c r="A107" s="34"/>
      <c r="B107" s="34"/>
      <c r="C107" s="34"/>
      <c r="D107" s="34"/>
      <c r="E107" s="34"/>
      <c r="F107" s="34"/>
      <c r="G107" s="34"/>
      <c r="H107" s="34"/>
      <c r="I107" s="34"/>
      <c r="J107" s="34"/>
      <c r="K107" s="34"/>
      <c r="L107" s="34"/>
      <c r="M107" s="34"/>
      <c r="N107" s="34"/>
      <c r="O107" s="34"/>
      <c r="P107" s="138"/>
      <c r="Q107" s="138"/>
      <c r="R107" s="138"/>
      <c r="S107" s="138"/>
      <c r="T107" s="138"/>
      <c r="U107" s="138"/>
      <c r="V107" s="138"/>
      <c r="W107" s="138"/>
      <c r="X107" s="138"/>
      <c r="Y107" s="138"/>
      <c r="Z107" s="138"/>
      <c r="AA107" s="138"/>
      <c r="AB107" s="138"/>
    </row>
    <row r="108" spans="1:28" ht="12.75" customHeight="1">
      <c r="A108" s="34"/>
      <c r="B108" s="34"/>
      <c r="C108" s="34"/>
      <c r="D108" s="34"/>
      <c r="E108" s="34"/>
      <c r="F108" s="34"/>
      <c r="G108" s="34"/>
      <c r="H108" s="34"/>
      <c r="I108" s="34"/>
      <c r="J108" s="34"/>
      <c r="K108" s="34"/>
      <c r="L108" s="34"/>
      <c r="M108" s="34"/>
      <c r="N108" s="34"/>
      <c r="O108" s="34"/>
      <c r="P108" s="138"/>
      <c r="Q108" s="138"/>
      <c r="R108" s="138"/>
      <c r="S108" s="138"/>
      <c r="T108" s="138"/>
      <c r="U108" s="138"/>
      <c r="V108" s="138"/>
      <c r="W108" s="138"/>
      <c r="X108" s="138"/>
      <c r="Y108" s="138"/>
      <c r="Z108" s="138"/>
      <c r="AA108" s="138"/>
      <c r="AB108" s="138"/>
    </row>
    <row r="109" spans="1:28" ht="12.75" customHeight="1">
      <c r="A109" s="34"/>
      <c r="B109" s="34"/>
      <c r="C109" s="34"/>
      <c r="D109" s="34"/>
      <c r="E109" s="34"/>
      <c r="F109" s="34"/>
      <c r="G109" s="34"/>
      <c r="H109" s="34"/>
      <c r="I109" s="34"/>
      <c r="J109" s="34"/>
      <c r="K109" s="34"/>
      <c r="L109" s="34"/>
      <c r="M109" s="34"/>
      <c r="N109" s="34"/>
      <c r="O109" s="34"/>
      <c r="P109" s="138"/>
      <c r="Q109" s="138"/>
      <c r="R109" s="138"/>
      <c r="S109" s="138"/>
      <c r="T109" s="138"/>
      <c r="U109" s="138"/>
      <c r="V109" s="138"/>
      <c r="W109" s="138"/>
      <c r="X109" s="138"/>
      <c r="Y109" s="138"/>
      <c r="Z109" s="138"/>
      <c r="AA109" s="138"/>
      <c r="AB109" s="138"/>
    </row>
    <row r="110" spans="1:28" ht="12.75" customHeight="1">
      <c r="A110" s="34"/>
      <c r="B110" s="34"/>
      <c r="C110" s="34"/>
      <c r="D110" s="34"/>
      <c r="E110" s="34"/>
      <c r="F110" s="34"/>
      <c r="G110" s="34"/>
      <c r="H110" s="34"/>
      <c r="I110" s="34"/>
      <c r="J110" s="34"/>
      <c r="K110" s="34"/>
      <c r="L110" s="34"/>
      <c r="M110" s="34"/>
      <c r="N110" s="34"/>
      <c r="O110" s="34"/>
      <c r="P110" s="138"/>
      <c r="Q110" s="138"/>
      <c r="R110" s="138"/>
      <c r="S110" s="138"/>
      <c r="T110" s="138"/>
      <c r="U110" s="138"/>
      <c r="V110" s="138"/>
      <c r="W110" s="138"/>
      <c r="X110" s="138"/>
      <c r="Y110" s="138"/>
      <c r="Z110" s="138"/>
      <c r="AA110" s="138"/>
      <c r="AB110" s="138"/>
    </row>
    <row r="111" spans="1:28" ht="12.75" customHeight="1">
      <c r="A111" s="34"/>
      <c r="B111" s="34"/>
      <c r="C111" s="34"/>
      <c r="D111" s="34"/>
      <c r="E111" s="34"/>
      <c r="F111" s="34"/>
      <c r="G111" s="34"/>
      <c r="H111" s="34"/>
      <c r="I111" s="34"/>
      <c r="J111" s="34"/>
      <c r="K111" s="34"/>
      <c r="L111" s="34"/>
      <c r="M111" s="34"/>
      <c r="N111" s="34"/>
      <c r="O111" s="34"/>
      <c r="P111" s="138"/>
      <c r="Q111" s="138"/>
      <c r="R111" s="138"/>
      <c r="S111" s="138"/>
      <c r="T111" s="138"/>
      <c r="U111" s="138"/>
      <c r="V111" s="138"/>
      <c r="W111" s="138"/>
      <c r="X111" s="138"/>
      <c r="Y111" s="138"/>
      <c r="Z111" s="138"/>
      <c r="AA111" s="138"/>
      <c r="AB111" s="138"/>
    </row>
    <row r="112" spans="1:28" ht="12.75" customHeight="1">
      <c r="A112" s="34"/>
      <c r="B112" s="34"/>
      <c r="C112" s="34"/>
      <c r="D112" s="34"/>
      <c r="E112" s="34"/>
      <c r="F112" s="34"/>
      <c r="G112" s="34"/>
      <c r="H112" s="34"/>
      <c r="I112" s="34"/>
      <c r="J112" s="34"/>
      <c r="K112" s="34"/>
      <c r="L112" s="34"/>
      <c r="M112" s="34"/>
      <c r="N112" s="34"/>
      <c r="O112" s="34"/>
      <c r="P112" s="138"/>
      <c r="Q112" s="138"/>
      <c r="R112" s="138"/>
      <c r="S112" s="138"/>
      <c r="T112" s="138"/>
      <c r="U112" s="138"/>
      <c r="V112" s="138"/>
      <c r="W112" s="138"/>
      <c r="X112" s="138"/>
      <c r="Y112" s="138"/>
      <c r="Z112" s="138"/>
      <c r="AA112" s="138"/>
      <c r="AB112" s="138"/>
    </row>
    <row r="113" spans="1:28" ht="12.75" customHeight="1">
      <c r="A113" s="34"/>
      <c r="B113" s="34"/>
      <c r="C113" s="34"/>
      <c r="D113" s="34"/>
      <c r="E113" s="34"/>
      <c r="F113" s="34"/>
      <c r="G113" s="34"/>
      <c r="H113" s="34"/>
      <c r="I113" s="34"/>
      <c r="J113" s="34"/>
      <c r="K113" s="34"/>
      <c r="L113" s="34"/>
      <c r="M113" s="34"/>
      <c r="N113" s="34"/>
      <c r="O113" s="34"/>
      <c r="P113" s="138"/>
      <c r="Q113" s="138"/>
      <c r="R113" s="138"/>
      <c r="S113" s="138"/>
      <c r="T113" s="138"/>
      <c r="U113" s="138"/>
      <c r="V113" s="138"/>
      <c r="W113" s="138"/>
      <c r="X113" s="138"/>
      <c r="Y113" s="138"/>
      <c r="Z113" s="138"/>
      <c r="AA113" s="138"/>
      <c r="AB113" s="138"/>
    </row>
    <row r="114" spans="1:28" ht="12.75" customHeight="1">
      <c r="A114" s="34"/>
      <c r="B114" s="34"/>
      <c r="C114" s="34"/>
      <c r="D114" s="34"/>
      <c r="E114" s="34"/>
      <c r="F114" s="34"/>
      <c r="G114" s="34"/>
      <c r="H114" s="34"/>
      <c r="I114" s="34"/>
      <c r="J114" s="34"/>
      <c r="K114" s="34"/>
      <c r="L114" s="34"/>
      <c r="M114" s="34"/>
      <c r="N114" s="34"/>
      <c r="O114" s="34"/>
      <c r="P114" s="138"/>
      <c r="Q114" s="138"/>
      <c r="R114" s="138"/>
      <c r="S114" s="138"/>
      <c r="T114" s="138"/>
      <c r="U114" s="138"/>
      <c r="V114" s="138"/>
      <c r="W114" s="138"/>
      <c r="X114" s="138"/>
      <c r="Y114" s="138"/>
      <c r="Z114" s="138"/>
      <c r="AA114" s="138"/>
      <c r="AB114" s="138"/>
    </row>
    <row r="115" spans="1:28" ht="12.75" customHeight="1">
      <c r="A115" s="34"/>
      <c r="B115" s="34"/>
      <c r="C115" s="34"/>
      <c r="D115" s="34"/>
      <c r="E115" s="34"/>
      <c r="F115" s="34"/>
      <c r="G115" s="34"/>
      <c r="H115" s="34"/>
      <c r="I115" s="34"/>
      <c r="J115" s="34"/>
      <c r="K115" s="34"/>
      <c r="L115" s="34"/>
      <c r="M115" s="34"/>
      <c r="N115" s="34"/>
      <c r="O115" s="34"/>
      <c r="P115" s="138"/>
      <c r="Q115" s="138"/>
      <c r="R115" s="138"/>
      <c r="S115" s="138"/>
      <c r="T115" s="138"/>
      <c r="U115" s="138"/>
      <c r="V115" s="138"/>
      <c r="W115" s="138"/>
      <c r="X115" s="138"/>
      <c r="Y115" s="138"/>
      <c r="Z115" s="138"/>
      <c r="AA115" s="138"/>
      <c r="AB115" s="138"/>
    </row>
    <row r="116" spans="1:28" ht="12.75" customHeight="1">
      <c r="A116" s="34"/>
      <c r="B116" s="34"/>
      <c r="C116" s="34"/>
      <c r="D116" s="34"/>
      <c r="E116" s="34"/>
      <c r="F116" s="34"/>
      <c r="G116" s="34"/>
      <c r="H116" s="34"/>
      <c r="I116" s="34"/>
      <c r="J116" s="34"/>
      <c r="K116" s="34"/>
      <c r="L116" s="34"/>
      <c r="M116" s="34"/>
      <c r="N116" s="34"/>
      <c r="O116" s="34"/>
      <c r="P116" s="138"/>
      <c r="Q116" s="138"/>
      <c r="R116" s="138"/>
      <c r="S116" s="138"/>
      <c r="T116" s="138"/>
      <c r="U116" s="138"/>
      <c r="V116" s="138"/>
      <c r="W116" s="138"/>
      <c r="X116" s="138"/>
      <c r="Y116" s="138"/>
      <c r="Z116" s="138"/>
      <c r="AA116" s="138"/>
      <c r="AB116" s="138"/>
    </row>
    <row r="117" spans="1:28" ht="12.75" customHeight="1">
      <c r="A117" s="34"/>
      <c r="B117" s="34"/>
      <c r="C117" s="34"/>
      <c r="D117" s="34"/>
      <c r="E117" s="34"/>
      <c r="F117" s="34"/>
      <c r="G117" s="34"/>
      <c r="H117" s="34"/>
      <c r="I117" s="34"/>
      <c r="J117" s="34"/>
      <c r="K117" s="34"/>
      <c r="L117" s="34"/>
      <c r="M117" s="34"/>
      <c r="N117" s="34"/>
      <c r="O117" s="34"/>
      <c r="P117" s="138"/>
      <c r="Q117" s="138"/>
      <c r="R117" s="138"/>
      <c r="S117" s="138"/>
      <c r="T117" s="138"/>
      <c r="U117" s="138"/>
      <c r="V117" s="138"/>
      <c r="W117" s="138"/>
      <c r="X117" s="138"/>
      <c r="Y117" s="138"/>
      <c r="Z117" s="138"/>
      <c r="AA117" s="138"/>
      <c r="AB117" s="138"/>
    </row>
    <row r="118" spans="1:28" ht="12.75" customHeight="1">
      <c r="A118" s="34"/>
      <c r="B118" s="34"/>
      <c r="C118" s="34"/>
      <c r="D118" s="34"/>
      <c r="E118" s="34"/>
      <c r="F118" s="34"/>
      <c r="G118" s="34"/>
      <c r="H118" s="34"/>
      <c r="I118" s="34"/>
      <c r="J118" s="34"/>
      <c r="K118" s="34"/>
      <c r="L118" s="34"/>
      <c r="M118" s="34"/>
      <c r="N118" s="34"/>
      <c r="O118" s="34"/>
      <c r="P118" s="138"/>
      <c r="Q118" s="138"/>
      <c r="R118" s="138"/>
      <c r="S118" s="138"/>
      <c r="T118" s="138"/>
      <c r="U118" s="138"/>
      <c r="V118" s="138"/>
      <c r="W118" s="138"/>
      <c r="X118" s="138"/>
      <c r="Y118" s="138"/>
      <c r="Z118" s="138"/>
      <c r="AA118" s="138"/>
      <c r="AB118" s="138"/>
    </row>
    <row r="119" spans="1:28" ht="12.75" customHeight="1">
      <c r="A119" s="34"/>
      <c r="B119" s="34"/>
      <c r="C119" s="34"/>
      <c r="D119" s="34"/>
      <c r="E119" s="34"/>
      <c r="F119" s="34"/>
      <c r="G119" s="34"/>
      <c r="H119" s="34"/>
      <c r="I119" s="34"/>
      <c r="J119" s="34"/>
      <c r="K119" s="34"/>
      <c r="L119" s="34"/>
      <c r="M119" s="34"/>
      <c r="N119" s="34"/>
      <c r="O119" s="34"/>
      <c r="P119" s="138"/>
      <c r="Q119" s="138"/>
      <c r="R119" s="138"/>
      <c r="S119" s="138"/>
      <c r="T119" s="138"/>
      <c r="U119" s="138"/>
      <c r="V119" s="138"/>
      <c r="W119" s="138"/>
      <c r="X119" s="138"/>
      <c r="Y119" s="138"/>
      <c r="Z119" s="138"/>
      <c r="AA119" s="138"/>
      <c r="AB119" s="138"/>
    </row>
    <row r="120" spans="1:28" ht="12.75" customHeight="1">
      <c r="A120" s="34"/>
      <c r="B120" s="34"/>
      <c r="C120" s="34"/>
      <c r="D120" s="34"/>
      <c r="E120" s="34"/>
      <c r="F120" s="34"/>
      <c r="G120" s="34"/>
      <c r="H120" s="34"/>
      <c r="I120" s="34"/>
      <c r="J120" s="34"/>
      <c r="K120" s="34"/>
      <c r="L120" s="34"/>
      <c r="M120" s="34"/>
      <c r="N120" s="34"/>
      <c r="O120" s="34"/>
      <c r="P120" s="138"/>
      <c r="Q120" s="138"/>
      <c r="R120" s="138"/>
      <c r="S120" s="138"/>
      <c r="T120" s="138"/>
      <c r="U120" s="138"/>
      <c r="V120" s="138"/>
      <c r="W120" s="138"/>
      <c r="X120" s="138"/>
      <c r="Y120" s="138"/>
      <c r="Z120" s="138"/>
      <c r="AA120" s="138"/>
      <c r="AB120" s="138"/>
    </row>
    <row r="121" spans="1:28" ht="12.75" customHeight="1">
      <c r="A121" s="34"/>
      <c r="B121" s="34"/>
      <c r="C121" s="34"/>
      <c r="D121" s="34"/>
      <c r="E121" s="34"/>
      <c r="F121" s="34"/>
      <c r="G121" s="34"/>
      <c r="H121" s="34"/>
      <c r="I121" s="34"/>
      <c r="J121" s="34"/>
      <c r="K121" s="34"/>
      <c r="L121" s="34"/>
      <c r="M121" s="34"/>
      <c r="N121" s="34"/>
      <c r="O121" s="34"/>
      <c r="P121" s="138"/>
      <c r="Q121" s="138"/>
      <c r="R121" s="138"/>
      <c r="S121" s="138"/>
      <c r="T121" s="138"/>
      <c r="U121" s="138"/>
      <c r="V121" s="138"/>
      <c r="W121" s="138"/>
      <c r="X121" s="138"/>
      <c r="Y121" s="138"/>
      <c r="Z121" s="138"/>
      <c r="AA121" s="138"/>
      <c r="AB121" s="138"/>
    </row>
    <row r="122" spans="1:28" ht="12.75" customHeight="1">
      <c r="A122" s="34"/>
      <c r="B122" s="34"/>
      <c r="C122" s="34"/>
      <c r="D122" s="34"/>
      <c r="E122" s="34"/>
      <c r="F122" s="34"/>
      <c r="G122" s="34"/>
      <c r="H122" s="34"/>
      <c r="I122" s="34"/>
      <c r="J122" s="34"/>
      <c r="K122" s="34"/>
      <c r="L122" s="34"/>
      <c r="M122" s="34"/>
      <c r="N122" s="34"/>
      <c r="O122" s="34"/>
      <c r="P122" s="138"/>
      <c r="Q122" s="138"/>
      <c r="R122" s="138"/>
      <c r="S122" s="138"/>
      <c r="T122" s="138"/>
      <c r="U122" s="138"/>
      <c r="V122" s="138"/>
      <c r="W122" s="138"/>
      <c r="X122" s="138"/>
      <c r="Y122" s="138"/>
      <c r="Z122" s="138"/>
      <c r="AA122" s="138"/>
      <c r="AB122" s="138"/>
    </row>
    <row r="123" spans="1:28" ht="12.75" customHeight="1">
      <c r="A123" s="34"/>
      <c r="B123" s="34"/>
      <c r="C123" s="34"/>
      <c r="D123" s="34"/>
      <c r="E123" s="34"/>
      <c r="F123" s="34"/>
      <c r="G123" s="34"/>
      <c r="H123" s="34"/>
      <c r="I123" s="34"/>
      <c r="J123" s="34"/>
      <c r="K123" s="34"/>
      <c r="L123" s="34"/>
      <c r="M123" s="34"/>
      <c r="N123" s="34"/>
      <c r="O123" s="34"/>
      <c r="P123" s="138"/>
      <c r="Q123" s="138"/>
      <c r="R123" s="138"/>
      <c r="S123" s="138"/>
      <c r="T123" s="138"/>
      <c r="U123" s="138"/>
      <c r="V123" s="138"/>
      <c r="W123" s="138"/>
      <c r="X123" s="138"/>
      <c r="Y123" s="138"/>
      <c r="Z123" s="138"/>
      <c r="AA123" s="138"/>
      <c r="AB123" s="138"/>
    </row>
    <row r="124" spans="1:28" ht="12.75" customHeight="1">
      <c r="A124" s="34"/>
      <c r="B124" s="34"/>
      <c r="C124" s="34"/>
      <c r="D124" s="34"/>
      <c r="E124" s="34"/>
      <c r="F124" s="34"/>
      <c r="G124" s="34"/>
      <c r="H124" s="34"/>
      <c r="I124" s="34"/>
      <c r="J124" s="34"/>
      <c r="K124" s="34"/>
      <c r="L124" s="34"/>
      <c r="M124" s="34"/>
      <c r="N124" s="34"/>
      <c r="O124" s="34"/>
      <c r="P124" s="138"/>
      <c r="Q124" s="138"/>
      <c r="R124" s="138"/>
      <c r="S124" s="138"/>
      <c r="T124" s="138"/>
      <c r="U124" s="138"/>
      <c r="V124" s="138"/>
      <c r="W124" s="138"/>
      <c r="X124" s="138"/>
      <c r="Y124" s="138"/>
      <c r="Z124" s="138"/>
      <c r="AA124" s="138"/>
      <c r="AB124" s="138"/>
    </row>
    <row r="125" spans="1:28" ht="12.75" customHeight="1">
      <c r="A125" s="34"/>
      <c r="B125" s="34"/>
      <c r="C125" s="34"/>
      <c r="D125" s="34"/>
      <c r="E125" s="34"/>
      <c r="F125" s="34"/>
      <c r="G125" s="34"/>
      <c r="H125" s="34"/>
      <c r="I125" s="34"/>
      <c r="J125" s="34"/>
      <c r="K125" s="34"/>
      <c r="L125" s="34"/>
      <c r="M125" s="34"/>
      <c r="N125" s="34"/>
      <c r="O125" s="34"/>
      <c r="P125" s="138"/>
      <c r="Q125" s="138"/>
      <c r="R125" s="138"/>
      <c r="S125" s="138"/>
      <c r="T125" s="138"/>
      <c r="U125" s="138"/>
      <c r="V125" s="138"/>
      <c r="W125" s="138"/>
      <c r="X125" s="138"/>
      <c r="Y125" s="138"/>
      <c r="Z125" s="138"/>
      <c r="AA125" s="138"/>
      <c r="AB125" s="138"/>
    </row>
    <row r="126" spans="1:28" ht="12.75" customHeight="1">
      <c r="A126" s="34"/>
      <c r="B126" s="34"/>
      <c r="C126" s="34"/>
      <c r="D126" s="34"/>
      <c r="E126" s="34"/>
      <c r="F126" s="34"/>
      <c r="G126" s="34"/>
      <c r="H126" s="34"/>
      <c r="I126" s="34"/>
      <c r="J126" s="34"/>
      <c r="K126" s="34"/>
      <c r="L126" s="34"/>
      <c r="M126" s="34"/>
      <c r="N126" s="34"/>
      <c r="O126" s="34"/>
      <c r="P126" s="138"/>
      <c r="Q126" s="138"/>
      <c r="R126" s="138"/>
      <c r="S126" s="138"/>
      <c r="T126" s="138"/>
      <c r="U126" s="138"/>
      <c r="V126" s="138"/>
      <c r="W126" s="138"/>
      <c r="X126" s="138"/>
      <c r="Y126" s="138"/>
      <c r="Z126" s="138"/>
      <c r="AA126" s="138"/>
      <c r="AB126" s="138"/>
    </row>
    <row r="127" spans="1:28" ht="12.75" customHeight="1">
      <c r="A127" s="34"/>
      <c r="B127" s="34"/>
      <c r="C127" s="34"/>
      <c r="D127" s="34"/>
      <c r="E127" s="34"/>
      <c r="F127" s="34"/>
      <c r="G127" s="34"/>
      <c r="H127" s="34"/>
      <c r="I127" s="34"/>
      <c r="J127" s="34"/>
      <c r="K127" s="34"/>
      <c r="L127" s="34"/>
      <c r="M127" s="34"/>
      <c r="N127" s="34"/>
      <c r="O127" s="34"/>
      <c r="P127" s="138"/>
      <c r="Q127" s="138"/>
      <c r="R127" s="138"/>
      <c r="S127" s="138"/>
      <c r="T127" s="138"/>
      <c r="U127" s="138"/>
      <c r="V127" s="138"/>
      <c r="W127" s="138"/>
      <c r="X127" s="138"/>
      <c r="Y127" s="138"/>
      <c r="Z127" s="138"/>
      <c r="AA127" s="138"/>
      <c r="AB127" s="138"/>
    </row>
    <row r="128" spans="1:28" ht="12.75" customHeight="1">
      <c r="A128" s="34"/>
      <c r="B128" s="34"/>
      <c r="C128" s="34"/>
      <c r="D128" s="34"/>
      <c r="E128" s="34"/>
      <c r="F128" s="34"/>
      <c r="G128" s="34"/>
      <c r="H128" s="34"/>
      <c r="I128" s="34"/>
      <c r="J128" s="34"/>
      <c r="K128" s="34"/>
      <c r="L128" s="34"/>
      <c r="M128" s="34"/>
      <c r="N128" s="34"/>
      <c r="O128" s="34"/>
      <c r="P128" s="138"/>
      <c r="Q128" s="138"/>
      <c r="R128" s="138"/>
      <c r="S128" s="138"/>
      <c r="T128" s="138"/>
      <c r="U128" s="138"/>
      <c r="V128" s="138"/>
      <c r="W128" s="138"/>
      <c r="X128" s="138"/>
      <c r="Y128" s="138"/>
      <c r="Z128" s="138"/>
      <c r="AA128" s="138"/>
      <c r="AB128" s="138"/>
    </row>
    <row r="129" spans="1:28" ht="12.75" customHeight="1">
      <c r="A129" s="34"/>
      <c r="B129" s="34"/>
      <c r="C129" s="34"/>
      <c r="D129" s="34"/>
      <c r="E129" s="34"/>
      <c r="F129" s="34"/>
      <c r="G129" s="34"/>
      <c r="H129" s="34"/>
      <c r="I129" s="34"/>
      <c r="J129" s="34"/>
      <c r="K129" s="34"/>
      <c r="L129" s="34"/>
      <c r="M129" s="34"/>
      <c r="N129" s="34"/>
      <c r="O129" s="34"/>
      <c r="P129" s="138"/>
      <c r="Q129" s="138"/>
      <c r="R129" s="138"/>
      <c r="S129" s="138"/>
      <c r="T129" s="138"/>
      <c r="U129" s="138"/>
      <c r="V129" s="138"/>
      <c r="W129" s="138"/>
      <c r="X129" s="138"/>
      <c r="Y129" s="138"/>
      <c r="Z129" s="138"/>
      <c r="AA129" s="138"/>
      <c r="AB129" s="138"/>
    </row>
    <row r="130" spans="1:28" ht="12.75" customHeight="1">
      <c r="A130" s="34"/>
      <c r="B130" s="34"/>
      <c r="C130" s="34"/>
      <c r="D130" s="34"/>
      <c r="E130" s="34"/>
      <c r="F130" s="34"/>
      <c r="G130" s="34"/>
      <c r="H130" s="34"/>
      <c r="I130" s="34"/>
      <c r="J130" s="34"/>
      <c r="K130" s="34"/>
      <c r="L130" s="34"/>
      <c r="M130" s="34"/>
      <c r="N130" s="34"/>
      <c r="O130" s="34"/>
      <c r="P130" s="138"/>
      <c r="Q130" s="138"/>
      <c r="R130" s="138"/>
      <c r="S130" s="138"/>
      <c r="T130" s="138"/>
      <c r="U130" s="138"/>
      <c r="V130" s="138"/>
      <c r="W130" s="138"/>
      <c r="X130" s="138"/>
      <c r="Y130" s="138"/>
      <c r="Z130" s="138"/>
      <c r="AA130" s="138"/>
      <c r="AB130" s="138"/>
    </row>
    <row r="131" spans="1:28" ht="12.75" customHeight="1">
      <c r="A131" s="34"/>
      <c r="B131" s="34"/>
      <c r="C131" s="34"/>
      <c r="D131" s="34"/>
      <c r="E131" s="34"/>
      <c r="F131" s="34"/>
      <c r="G131" s="34"/>
      <c r="H131" s="34"/>
      <c r="I131" s="34"/>
      <c r="J131" s="34"/>
      <c r="K131" s="34"/>
      <c r="L131" s="34"/>
      <c r="M131" s="34"/>
      <c r="N131" s="34"/>
      <c r="O131" s="34"/>
      <c r="P131" s="138"/>
      <c r="Q131" s="138"/>
      <c r="R131" s="138"/>
      <c r="S131" s="138"/>
      <c r="T131" s="138"/>
      <c r="U131" s="138"/>
      <c r="V131" s="138"/>
      <c r="W131" s="138"/>
      <c r="X131" s="138"/>
      <c r="Y131" s="138"/>
      <c r="Z131" s="138"/>
      <c r="AA131" s="138"/>
      <c r="AB131" s="138"/>
    </row>
    <row r="132" spans="1:28" ht="12.75" customHeight="1">
      <c r="A132" s="34"/>
      <c r="B132" s="34"/>
      <c r="C132" s="34"/>
      <c r="D132" s="34"/>
      <c r="E132" s="34"/>
      <c r="F132" s="34"/>
      <c r="G132" s="34"/>
      <c r="H132" s="34"/>
      <c r="I132" s="34"/>
      <c r="J132" s="34"/>
      <c r="K132" s="34"/>
      <c r="L132" s="34"/>
      <c r="M132" s="34"/>
      <c r="N132" s="34"/>
      <c r="O132" s="34"/>
      <c r="P132" s="138"/>
      <c r="Q132" s="138"/>
      <c r="R132" s="138"/>
      <c r="S132" s="138"/>
      <c r="T132" s="138"/>
      <c r="U132" s="138"/>
      <c r="V132" s="138"/>
      <c r="W132" s="138"/>
      <c r="X132" s="138"/>
      <c r="Y132" s="138"/>
      <c r="Z132" s="138"/>
      <c r="AA132" s="138"/>
      <c r="AB132" s="138"/>
    </row>
    <row r="133" spans="1:28" ht="12.75" customHeight="1">
      <c r="A133" s="34"/>
      <c r="B133" s="34"/>
      <c r="C133" s="34"/>
      <c r="D133" s="34"/>
      <c r="E133" s="34"/>
      <c r="F133" s="34"/>
      <c r="G133" s="34"/>
      <c r="H133" s="34"/>
      <c r="I133" s="34"/>
      <c r="J133" s="34"/>
      <c r="K133" s="34"/>
      <c r="L133" s="34"/>
      <c r="M133" s="34"/>
      <c r="N133" s="34"/>
      <c r="O133" s="34"/>
      <c r="P133" s="138"/>
      <c r="Q133" s="138"/>
      <c r="R133" s="138"/>
      <c r="S133" s="138"/>
      <c r="T133" s="138"/>
      <c r="U133" s="138"/>
      <c r="V133" s="138"/>
      <c r="W133" s="138"/>
      <c r="X133" s="138"/>
      <c r="Y133" s="138"/>
      <c r="Z133" s="138"/>
      <c r="AA133" s="138"/>
      <c r="AB133" s="138"/>
    </row>
    <row r="134" spans="1:28" ht="12.75" customHeight="1">
      <c r="A134" s="34"/>
      <c r="B134" s="34"/>
      <c r="C134" s="34"/>
      <c r="D134" s="34"/>
      <c r="E134" s="34"/>
      <c r="F134" s="34"/>
      <c r="G134" s="34"/>
      <c r="H134" s="34"/>
      <c r="I134" s="34"/>
      <c r="J134" s="34"/>
      <c r="K134" s="34"/>
      <c r="L134" s="34"/>
      <c r="M134" s="34"/>
      <c r="N134" s="34"/>
      <c r="O134" s="34"/>
      <c r="P134" s="138"/>
      <c r="Q134" s="138"/>
      <c r="R134" s="138"/>
      <c r="S134" s="138"/>
      <c r="T134" s="138"/>
      <c r="U134" s="138"/>
      <c r="V134" s="138"/>
      <c r="W134" s="138"/>
      <c r="X134" s="138"/>
      <c r="Y134" s="138"/>
      <c r="Z134" s="138"/>
      <c r="AA134" s="138"/>
      <c r="AB134" s="138"/>
    </row>
    <row r="135" spans="1:28" ht="12.75" customHeight="1">
      <c r="A135" s="34"/>
      <c r="B135" s="34"/>
      <c r="C135" s="34"/>
      <c r="D135" s="34"/>
      <c r="E135" s="34"/>
      <c r="F135" s="34"/>
      <c r="G135" s="34"/>
      <c r="H135" s="34"/>
      <c r="I135" s="34"/>
      <c r="J135" s="34"/>
      <c r="K135" s="34"/>
      <c r="L135" s="34"/>
      <c r="M135" s="34"/>
      <c r="N135" s="34"/>
      <c r="O135" s="34"/>
      <c r="P135" s="138"/>
      <c r="Q135" s="138"/>
      <c r="R135" s="138"/>
      <c r="S135" s="138"/>
      <c r="T135" s="138"/>
      <c r="U135" s="138"/>
      <c r="V135" s="138"/>
      <c r="W135" s="138"/>
      <c r="X135" s="138"/>
      <c r="Y135" s="138"/>
      <c r="Z135" s="138"/>
      <c r="AA135" s="138"/>
      <c r="AB135" s="138"/>
    </row>
    <row r="136" spans="1:28" ht="12.75" customHeight="1">
      <c r="A136" s="34"/>
      <c r="B136" s="34"/>
      <c r="C136" s="34"/>
      <c r="D136" s="34"/>
      <c r="E136" s="34"/>
      <c r="F136" s="34"/>
      <c r="G136" s="34"/>
      <c r="H136" s="34"/>
      <c r="I136" s="34"/>
      <c r="J136" s="34"/>
      <c r="K136" s="34"/>
      <c r="L136" s="34"/>
      <c r="M136" s="34"/>
      <c r="N136" s="34"/>
      <c r="O136" s="34"/>
      <c r="P136" s="138"/>
      <c r="Q136" s="138"/>
      <c r="R136" s="138"/>
      <c r="S136" s="138"/>
      <c r="T136" s="138"/>
      <c r="U136" s="138"/>
      <c r="V136" s="138"/>
      <c r="W136" s="138"/>
      <c r="X136" s="138"/>
      <c r="Y136" s="138"/>
      <c r="Z136" s="138"/>
      <c r="AA136" s="138"/>
      <c r="AB136" s="138"/>
    </row>
    <row r="137" spans="1:28" ht="12.75" customHeight="1">
      <c r="A137" s="34"/>
      <c r="B137" s="34"/>
      <c r="C137" s="34"/>
      <c r="D137" s="34"/>
      <c r="E137" s="34"/>
      <c r="F137" s="34"/>
      <c r="G137" s="34"/>
      <c r="H137" s="34"/>
      <c r="I137" s="34"/>
      <c r="J137" s="34"/>
      <c r="K137" s="34"/>
      <c r="L137" s="34"/>
      <c r="M137" s="34"/>
      <c r="N137" s="34"/>
      <c r="O137" s="34"/>
      <c r="P137" s="138"/>
      <c r="Q137" s="138"/>
      <c r="R137" s="138"/>
      <c r="S137" s="138"/>
      <c r="T137" s="138"/>
      <c r="U137" s="138"/>
      <c r="V137" s="138"/>
      <c r="W137" s="138"/>
      <c r="X137" s="138"/>
      <c r="Y137" s="138"/>
      <c r="Z137" s="138"/>
      <c r="AA137" s="138"/>
      <c r="AB137" s="138"/>
    </row>
    <row r="138" spans="1:28" ht="12.75" customHeight="1">
      <c r="A138" s="34"/>
      <c r="B138" s="34"/>
      <c r="C138" s="34"/>
      <c r="D138" s="34"/>
      <c r="E138" s="34"/>
      <c r="F138" s="34"/>
      <c r="G138" s="34"/>
      <c r="H138" s="34"/>
      <c r="I138" s="34"/>
      <c r="J138" s="34"/>
      <c r="K138" s="34"/>
      <c r="L138" s="34"/>
      <c r="M138" s="34"/>
      <c r="N138" s="34"/>
      <c r="O138" s="34"/>
      <c r="P138" s="138"/>
      <c r="Q138" s="138"/>
      <c r="R138" s="138"/>
      <c r="S138" s="138"/>
      <c r="T138" s="138"/>
      <c r="U138" s="138"/>
      <c r="V138" s="138"/>
      <c r="W138" s="138"/>
      <c r="X138" s="138"/>
      <c r="Y138" s="138"/>
      <c r="Z138" s="138"/>
      <c r="AA138" s="138"/>
      <c r="AB138" s="138"/>
    </row>
    <row r="139" spans="1:28" ht="12.75" customHeight="1">
      <c r="A139" s="34"/>
      <c r="B139" s="34"/>
      <c r="C139" s="34"/>
      <c r="D139" s="34"/>
      <c r="E139" s="34"/>
      <c r="F139" s="34"/>
      <c r="G139" s="34"/>
      <c r="H139" s="34"/>
      <c r="I139" s="34"/>
      <c r="J139" s="34"/>
      <c r="K139" s="34"/>
      <c r="L139" s="34"/>
      <c r="M139" s="34"/>
      <c r="N139" s="34"/>
      <c r="O139" s="34"/>
      <c r="P139" s="138"/>
      <c r="Q139" s="138"/>
      <c r="R139" s="138"/>
      <c r="S139" s="138"/>
      <c r="T139" s="138"/>
      <c r="U139" s="138"/>
      <c r="V139" s="138"/>
      <c r="W139" s="138"/>
      <c r="X139" s="138"/>
      <c r="Y139" s="138"/>
      <c r="Z139" s="138"/>
      <c r="AA139" s="138"/>
      <c r="AB139" s="138"/>
    </row>
    <row r="140" spans="1:28" ht="12.75" customHeight="1">
      <c r="A140" s="34"/>
      <c r="B140" s="34"/>
      <c r="C140" s="34"/>
      <c r="D140" s="34"/>
      <c r="E140" s="34"/>
      <c r="F140" s="34"/>
      <c r="G140" s="34"/>
      <c r="H140" s="34"/>
      <c r="I140" s="34"/>
      <c r="J140" s="34"/>
      <c r="K140" s="34"/>
      <c r="L140" s="34"/>
      <c r="M140" s="34"/>
      <c r="N140" s="34"/>
      <c r="O140" s="34"/>
      <c r="P140" s="138"/>
      <c r="Q140" s="138"/>
      <c r="R140" s="138"/>
      <c r="S140" s="138"/>
      <c r="T140" s="138"/>
      <c r="U140" s="138"/>
      <c r="V140" s="138"/>
      <c r="W140" s="138"/>
      <c r="X140" s="138"/>
      <c r="Y140" s="138"/>
      <c r="Z140" s="138"/>
      <c r="AA140" s="138"/>
      <c r="AB140" s="138"/>
    </row>
    <row r="141" spans="1:28" ht="12.75" customHeight="1">
      <c r="A141" s="34"/>
      <c r="B141" s="34"/>
      <c r="C141" s="34"/>
      <c r="D141" s="34"/>
      <c r="E141" s="34"/>
      <c r="F141" s="34"/>
      <c r="G141" s="34"/>
      <c r="H141" s="34"/>
      <c r="I141" s="34"/>
      <c r="J141" s="34"/>
      <c r="K141" s="34"/>
      <c r="L141" s="34"/>
      <c r="M141" s="34"/>
      <c r="N141" s="34"/>
      <c r="O141" s="34"/>
      <c r="P141" s="138"/>
      <c r="Q141" s="138"/>
      <c r="R141" s="138"/>
      <c r="S141" s="138"/>
      <c r="T141" s="138"/>
      <c r="U141" s="138"/>
      <c r="V141" s="138"/>
      <c r="W141" s="138"/>
      <c r="X141" s="138"/>
      <c r="Y141" s="138"/>
      <c r="Z141" s="138"/>
      <c r="AA141" s="138"/>
      <c r="AB141" s="138"/>
    </row>
    <row r="142" spans="1:28" ht="12.75" customHeight="1">
      <c r="A142" s="34"/>
      <c r="B142" s="34"/>
      <c r="C142" s="34"/>
      <c r="D142" s="34"/>
      <c r="E142" s="34"/>
      <c r="F142" s="34"/>
      <c r="G142" s="34"/>
      <c r="H142" s="34"/>
      <c r="I142" s="34"/>
      <c r="J142" s="34"/>
      <c r="K142" s="34"/>
      <c r="L142" s="34"/>
      <c r="M142" s="34"/>
      <c r="N142" s="34"/>
      <c r="O142" s="34"/>
      <c r="P142" s="138"/>
      <c r="Q142" s="138"/>
      <c r="R142" s="138"/>
      <c r="S142" s="138"/>
      <c r="T142" s="138"/>
      <c r="U142" s="138"/>
      <c r="V142" s="138"/>
      <c r="W142" s="138"/>
      <c r="X142" s="138"/>
      <c r="Y142" s="138"/>
      <c r="Z142" s="138"/>
      <c r="AA142" s="138"/>
      <c r="AB142" s="138"/>
    </row>
    <row r="143" spans="1:28" ht="12.75" customHeight="1">
      <c r="A143" s="34"/>
      <c r="B143" s="34"/>
      <c r="C143" s="34"/>
      <c r="D143" s="34"/>
      <c r="E143" s="34"/>
      <c r="F143" s="34"/>
      <c r="G143" s="34"/>
      <c r="H143" s="34"/>
      <c r="I143" s="34"/>
      <c r="J143" s="34"/>
      <c r="K143" s="34"/>
      <c r="L143" s="34"/>
      <c r="M143" s="34"/>
      <c r="N143" s="34"/>
      <c r="O143" s="34"/>
      <c r="P143" s="138"/>
      <c r="Q143" s="138"/>
      <c r="R143" s="138"/>
      <c r="S143" s="138"/>
      <c r="T143" s="138"/>
      <c r="U143" s="138"/>
      <c r="V143" s="138"/>
      <c r="W143" s="138"/>
      <c r="X143" s="138"/>
      <c r="Y143" s="138"/>
      <c r="Z143" s="138"/>
      <c r="AA143" s="138"/>
      <c r="AB143" s="138"/>
    </row>
    <row r="144" spans="1:28" ht="12.75" customHeight="1">
      <c r="A144" s="34"/>
      <c r="B144" s="34"/>
      <c r="C144" s="34"/>
      <c r="D144" s="34"/>
      <c r="E144" s="34"/>
      <c r="F144" s="34"/>
      <c r="G144" s="34"/>
      <c r="H144" s="34"/>
      <c r="I144" s="34"/>
      <c r="J144" s="34"/>
      <c r="K144" s="34"/>
      <c r="L144" s="34"/>
      <c r="M144" s="34"/>
      <c r="N144" s="34"/>
      <c r="O144" s="34"/>
      <c r="P144" s="138"/>
      <c r="Q144" s="138"/>
      <c r="R144" s="138"/>
      <c r="S144" s="138"/>
      <c r="T144" s="138"/>
      <c r="U144" s="138"/>
      <c r="V144" s="138"/>
      <c r="W144" s="138"/>
      <c r="X144" s="138"/>
      <c r="Y144" s="138"/>
      <c r="Z144" s="138"/>
      <c r="AA144" s="138"/>
      <c r="AB144" s="138"/>
    </row>
    <row r="145" spans="1:28" ht="12.75" customHeight="1">
      <c r="A145" s="34"/>
      <c r="B145" s="34"/>
      <c r="C145" s="34"/>
      <c r="D145" s="34"/>
      <c r="E145" s="34"/>
      <c r="F145" s="34"/>
      <c r="G145" s="34"/>
      <c r="H145" s="34"/>
      <c r="I145" s="34"/>
      <c r="J145" s="34"/>
      <c r="K145" s="34"/>
      <c r="L145" s="34"/>
      <c r="M145" s="34"/>
      <c r="N145" s="34"/>
      <c r="O145" s="34"/>
      <c r="P145" s="138"/>
      <c r="Q145" s="138"/>
      <c r="R145" s="138"/>
      <c r="S145" s="138"/>
      <c r="T145" s="138"/>
      <c r="U145" s="138"/>
      <c r="V145" s="138"/>
      <c r="W145" s="138"/>
      <c r="X145" s="138"/>
      <c r="Y145" s="138"/>
      <c r="Z145" s="138"/>
      <c r="AA145" s="138"/>
      <c r="AB145" s="138"/>
    </row>
    <row r="146" spans="1:28" ht="12.75" customHeight="1">
      <c r="A146" s="34"/>
      <c r="B146" s="34"/>
      <c r="C146" s="34"/>
      <c r="D146" s="34"/>
      <c r="E146" s="34"/>
      <c r="F146" s="34"/>
      <c r="G146" s="34"/>
      <c r="H146" s="34"/>
      <c r="I146" s="34"/>
      <c r="J146" s="34"/>
      <c r="K146" s="34"/>
      <c r="L146" s="34"/>
      <c r="M146" s="34"/>
      <c r="N146" s="34"/>
      <c r="O146" s="34"/>
      <c r="P146" s="138"/>
      <c r="Q146" s="138"/>
      <c r="R146" s="138"/>
      <c r="S146" s="138"/>
      <c r="T146" s="138"/>
      <c r="U146" s="138"/>
      <c r="V146" s="138"/>
      <c r="W146" s="138"/>
      <c r="X146" s="138"/>
      <c r="Y146" s="138"/>
      <c r="Z146" s="138"/>
      <c r="AA146" s="138"/>
      <c r="AB146" s="138"/>
    </row>
    <row r="147" spans="1:28" ht="12.75" customHeight="1">
      <c r="A147" s="34"/>
      <c r="B147" s="34"/>
      <c r="C147" s="34"/>
      <c r="D147" s="34"/>
      <c r="E147" s="34"/>
      <c r="F147" s="34"/>
      <c r="G147" s="34"/>
      <c r="H147" s="34"/>
      <c r="I147" s="34"/>
      <c r="J147" s="34"/>
      <c r="K147" s="34"/>
      <c r="L147" s="34"/>
      <c r="M147" s="34"/>
      <c r="N147" s="34"/>
      <c r="O147" s="34"/>
      <c r="P147" s="138"/>
      <c r="Q147" s="138"/>
      <c r="R147" s="138"/>
      <c r="S147" s="138"/>
      <c r="T147" s="138"/>
      <c r="U147" s="138"/>
      <c r="V147" s="138"/>
      <c r="W147" s="138"/>
      <c r="X147" s="138"/>
      <c r="Y147" s="138"/>
      <c r="Z147" s="138"/>
      <c r="AA147" s="138"/>
      <c r="AB147" s="138"/>
    </row>
    <row r="148" spans="1:28" ht="12.75" customHeight="1">
      <c r="A148" s="34"/>
      <c r="B148" s="34"/>
      <c r="C148" s="34"/>
      <c r="D148" s="34"/>
      <c r="E148" s="34"/>
      <c r="F148" s="34"/>
      <c r="G148" s="34"/>
      <c r="H148" s="34"/>
      <c r="I148" s="34"/>
      <c r="J148" s="34"/>
      <c r="K148" s="34"/>
      <c r="L148" s="34"/>
      <c r="M148" s="34"/>
      <c r="N148" s="34"/>
      <c r="O148" s="34"/>
      <c r="P148" s="138"/>
      <c r="Q148" s="138"/>
      <c r="R148" s="138"/>
      <c r="S148" s="138"/>
      <c r="T148" s="138"/>
      <c r="U148" s="138"/>
      <c r="V148" s="138"/>
      <c r="W148" s="138"/>
      <c r="X148" s="138"/>
      <c r="Y148" s="138"/>
      <c r="Z148" s="138"/>
      <c r="AA148" s="138"/>
      <c r="AB148" s="138"/>
    </row>
    <row r="149" spans="1:28" ht="12.75" customHeight="1">
      <c r="A149" s="34"/>
      <c r="B149" s="34"/>
      <c r="C149" s="34"/>
      <c r="D149" s="34"/>
      <c r="E149" s="34"/>
      <c r="F149" s="34"/>
      <c r="G149" s="34"/>
      <c r="H149" s="34"/>
      <c r="I149" s="34"/>
      <c r="J149" s="34"/>
      <c r="K149" s="34"/>
      <c r="L149" s="34"/>
      <c r="M149" s="34"/>
      <c r="N149" s="34"/>
      <c r="O149" s="34"/>
      <c r="P149" s="138"/>
      <c r="Q149" s="138"/>
      <c r="R149" s="138"/>
      <c r="S149" s="138"/>
      <c r="T149" s="138"/>
      <c r="U149" s="138"/>
      <c r="V149" s="138"/>
      <c r="W149" s="138"/>
      <c r="X149" s="138"/>
      <c r="Y149" s="138"/>
      <c r="Z149" s="138"/>
      <c r="AA149" s="138"/>
      <c r="AB149" s="138"/>
    </row>
    <row r="150" spans="1:28" ht="12.75" customHeight="1">
      <c r="A150" s="34"/>
      <c r="B150" s="34"/>
      <c r="C150" s="34"/>
      <c r="D150" s="34"/>
      <c r="E150" s="34"/>
      <c r="F150" s="34"/>
      <c r="G150" s="34"/>
      <c r="H150" s="34"/>
      <c r="I150" s="34"/>
      <c r="J150" s="34"/>
      <c r="K150" s="34"/>
      <c r="L150" s="34"/>
      <c r="M150" s="34"/>
      <c r="N150" s="34"/>
      <c r="O150" s="34"/>
      <c r="P150" s="138"/>
      <c r="Q150" s="138"/>
      <c r="R150" s="138"/>
      <c r="S150" s="138"/>
      <c r="T150" s="138"/>
      <c r="U150" s="138"/>
      <c r="V150" s="138"/>
      <c r="W150" s="138"/>
      <c r="X150" s="138"/>
      <c r="Y150" s="138"/>
      <c r="Z150" s="138"/>
      <c r="AA150" s="138"/>
      <c r="AB150" s="138"/>
    </row>
    <row r="151" spans="1:28" ht="12.75" customHeight="1">
      <c r="A151" s="34"/>
      <c r="B151" s="34"/>
      <c r="C151" s="34"/>
      <c r="D151" s="34"/>
      <c r="E151" s="34"/>
      <c r="F151" s="34"/>
      <c r="G151" s="34"/>
      <c r="H151" s="34"/>
      <c r="I151" s="34"/>
      <c r="J151" s="34"/>
      <c r="K151" s="34"/>
      <c r="L151" s="34"/>
      <c r="M151" s="34"/>
      <c r="N151" s="34"/>
      <c r="O151" s="34"/>
      <c r="P151" s="138"/>
      <c r="Q151" s="138"/>
      <c r="R151" s="138"/>
      <c r="S151" s="138"/>
      <c r="T151" s="138"/>
      <c r="U151" s="138"/>
      <c r="V151" s="138"/>
      <c r="W151" s="138"/>
      <c r="X151" s="138"/>
      <c r="Y151" s="138"/>
      <c r="Z151" s="138"/>
      <c r="AA151" s="138"/>
      <c r="AB151" s="138"/>
    </row>
    <row r="152" spans="1:28" ht="12.75" customHeight="1">
      <c r="A152" s="34"/>
      <c r="B152" s="34"/>
      <c r="C152" s="34"/>
      <c r="D152" s="34"/>
      <c r="E152" s="34"/>
      <c r="F152" s="34"/>
      <c r="G152" s="34"/>
      <c r="H152" s="34"/>
      <c r="I152" s="34"/>
      <c r="J152" s="34"/>
      <c r="K152" s="34"/>
      <c r="L152" s="34"/>
      <c r="M152" s="34"/>
      <c r="N152" s="34"/>
      <c r="O152" s="34"/>
      <c r="P152" s="138"/>
      <c r="Q152" s="138"/>
      <c r="R152" s="138"/>
      <c r="S152" s="138"/>
      <c r="T152" s="138"/>
      <c r="U152" s="138"/>
      <c r="V152" s="138"/>
      <c r="W152" s="138"/>
      <c r="X152" s="138"/>
      <c r="Y152" s="138"/>
      <c r="Z152" s="138"/>
      <c r="AA152" s="138"/>
      <c r="AB152" s="138"/>
    </row>
    <row r="153" spans="1:28" ht="12.75" customHeight="1">
      <c r="A153" s="34"/>
      <c r="B153" s="34"/>
      <c r="C153" s="34"/>
      <c r="D153" s="34"/>
      <c r="E153" s="34"/>
      <c r="F153" s="34"/>
      <c r="G153" s="34"/>
      <c r="H153" s="34"/>
      <c r="I153" s="34"/>
      <c r="J153" s="34"/>
      <c r="K153" s="34"/>
      <c r="L153" s="34"/>
      <c r="M153" s="34"/>
      <c r="N153" s="34"/>
      <c r="O153" s="34"/>
      <c r="P153" s="138"/>
      <c r="Q153" s="138"/>
      <c r="R153" s="138"/>
      <c r="S153" s="138"/>
      <c r="T153" s="138"/>
      <c r="U153" s="138"/>
      <c r="V153" s="138"/>
      <c r="W153" s="138"/>
      <c r="X153" s="138"/>
      <c r="Y153" s="138"/>
      <c r="Z153" s="138"/>
      <c r="AA153" s="138"/>
      <c r="AB153" s="138"/>
    </row>
    <row r="154" spans="1:28" ht="12.75" customHeight="1">
      <c r="A154" s="34"/>
      <c r="B154" s="34"/>
      <c r="C154" s="34"/>
      <c r="D154" s="34"/>
      <c r="E154" s="34"/>
      <c r="F154" s="34"/>
      <c r="G154" s="34"/>
      <c r="H154" s="34"/>
      <c r="I154" s="34"/>
      <c r="J154" s="34"/>
      <c r="K154" s="34"/>
      <c r="L154" s="34"/>
      <c r="M154" s="34"/>
      <c r="N154" s="34"/>
      <c r="O154" s="34"/>
      <c r="P154" s="138"/>
      <c r="Q154" s="138"/>
      <c r="R154" s="138"/>
      <c r="S154" s="138"/>
      <c r="T154" s="138"/>
      <c r="U154" s="138"/>
      <c r="V154" s="138"/>
      <c r="W154" s="138"/>
      <c r="X154" s="138"/>
      <c r="Y154" s="138"/>
      <c r="Z154" s="138"/>
      <c r="AA154" s="138"/>
      <c r="AB154" s="138"/>
    </row>
    <row r="155" spans="1:28" ht="12.75" customHeight="1">
      <c r="A155" s="34"/>
      <c r="B155" s="34"/>
      <c r="C155" s="34"/>
      <c r="D155" s="34"/>
      <c r="E155" s="34"/>
      <c r="F155" s="34"/>
      <c r="G155" s="34"/>
      <c r="H155" s="34"/>
      <c r="I155" s="34"/>
      <c r="J155" s="34"/>
      <c r="K155" s="34"/>
      <c r="L155" s="34"/>
      <c r="M155" s="34"/>
      <c r="N155" s="34"/>
      <c r="O155" s="34"/>
      <c r="P155" s="138"/>
      <c r="Q155" s="138"/>
      <c r="R155" s="138"/>
      <c r="S155" s="138"/>
      <c r="T155" s="138"/>
      <c r="U155" s="138"/>
      <c r="V155" s="138"/>
      <c r="W155" s="138"/>
      <c r="X155" s="138"/>
      <c r="Y155" s="138"/>
      <c r="Z155" s="138"/>
      <c r="AA155" s="138"/>
      <c r="AB155" s="138"/>
    </row>
    <row r="156" spans="1:28" ht="12.75" customHeight="1">
      <c r="A156" s="34"/>
      <c r="B156" s="34"/>
      <c r="C156" s="34"/>
      <c r="D156" s="34"/>
      <c r="E156" s="34"/>
      <c r="F156" s="34"/>
      <c r="G156" s="34"/>
      <c r="H156" s="34"/>
      <c r="I156" s="34"/>
      <c r="J156" s="34"/>
      <c r="K156" s="34"/>
      <c r="L156" s="34"/>
      <c r="M156" s="34"/>
      <c r="N156" s="34"/>
      <c r="O156" s="34"/>
      <c r="P156" s="138"/>
      <c r="Q156" s="138"/>
      <c r="R156" s="138"/>
      <c r="S156" s="138"/>
      <c r="T156" s="138"/>
      <c r="U156" s="138"/>
      <c r="V156" s="138"/>
      <c r="W156" s="138"/>
      <c r="X156" s="138"/>
      <c r="Y156" s="138"/>
      <c r="Z156" s="138"/>
      <c r="AA156" s="138"/>
      <c r="AB156" s="138"/>
    </row>
    <row r="157" spans="1:28" ht="12.75" customHeight="1">
      <c r="A157" s="34"/>
      <c r="B157" s="34"/>
      <c r="C157" s="34"/>
      <c r="D157" s="34"/>
      <c r="E157" s="34"/>
      <c r="F157" s="34"/>
      <c r="G157" s="34"/>
      <c r="H157" s="34"/>
      <c r="I157" s="34"/>
      <c r="J157" s="34"/>
      <c r="K157" s="34"/>
      <c r="L157" s="34"/>
      <c r="M157" s="34"/>
      <c r="N157" s="34"/>
      <c r="O157" s="34"/>
      <c r="P157" s="138"/>
      <c r="Q157" s="138"/>
      <c r="R157" s="138"/>
      <c r="S157" s="138"/>
      <c r="T157" s="138"/>
      <c r="U157" s="138"/>
      <c r="V157" s="138"/>
      <c r="W157" s="138"/>
      <c r="X157" s="138"/>
      <c r="Y157" s="138"/>
      <c r="Z157" s="138"/>
      <c r="AA157" s="138"/>
      <c r="AB157" s="138"/>
    </row>
    <row r="158" spans="1:28" ht="12.75" customHeight="1">
      <c r="A158" s="34"/>
      <c r="B158" s="34"/>
      <c r="C158" s="34"/>
      <c r="D158" s="34"/>
      <c r="E158" s="34"/>
      <c r="F158" s="34"/>
      <c r="G158" s="34"/>
      <c r="H158" s="34"/>
      <c r="I158" s="34"/>
      <c r="J158" s="34"/>
      <c r="K158" s="34"/>
      <c r="L158" s="34"/>
      <c r="M158" s="34"/>
      <c r="N158" s="34"/>
      <c r="O158" s="34"/>
      <c r="P158" s="138"/>
      <c r="Q158" s="138"/>
      <c r="R158" s="138"/>
      <c r="S158" s="138"/>
      <c r="T158" s="138"/>
      <c r="U158" s="138"/>
      <c r="V158" s="138"/>
      <c r="W158" s="138"/>
      <c r="X158" s="138"/>
      <c r="Y158" s="138"/>
      <c r="Z158" s="138"/>
      <c r="AA158" s="138"/>
      <c r="AB158" s="138"/>
    </row>
    <row r="159" spans="1:28" ht="12.75" customHeight="1">
      <c r="A159" s="34"/>
      <c r="B159" s="34"/>
      <c r="C159" s="34"/>
      <c r="D159" s="34"/>
      <c r="E159" s="34"/>
      <c r="F159" s="34"/>
      <c r="G159" s="34"/>
      <c r="H159" s="34"/>
      <c r="I159" s="34"/>
      <c r="J159" s="34"/>
      <c r="K159" s="34"/>
      <c r="L159" s="34"/>
      <c r="M159" s="34"/>
      <c r="N159" s="34"/>
      <c r="O159" s="34"/>
      <c r="P159" s="138"/>
      <c r="Q159" s="138"/>
      <c r="R159" s="138"/>
      <c r="S159" s="138"/>
      <c r="T159" s="138"/>
      <c r="U159" s="138"/>
      <c r="V159" s="138"/>
      <c r="W159" s="138"/>
      <c r="X159" s="138"/>
      <c r="Y159" s="138"/>
      <c r="Z159" s="138"/>
      <c r="AA159" s="138"/>
      <c r="AB159" s="138"/>
    </row>
    <row r="160" spans="1:28" ht="12.75" customHeight="1">
      <c r="A160" s="34"/>
      <c r="B160" s="34"/>
      <c r="C160" s="34"/>
      <c r="D160" s="34"/>
      <c r="E160" s="34"/>
      <c r="F160" s="34"/>
      <c r="G160" s="34"/>
      <c r="H160" s="34"/>
      <c r="I160" s="34"/>
      <c r="J160" s="34"/>
      <c r="K160" s="34"/>
      <c r="L160" s="34"/>
      <c r="M160" s="34"/>
      <c r="N160" s="34"/>
      <c r="O160" s="34"/>
      <c r="P160" s="138"/>
      <c r="Q160" s="138"/>
      <c r="R160" s="138"/>
      <c r="S160" s="138"/>
      <c r="T160" s="138"/>
      <c r="U160" s="138"/>
      <c r="V160" s="138"/>
      <c r="W160" s="138"/>
      <c r="X160" s="138"/>
      <c r="Y160" s="138"/>
      <c r="Z160" s="138"/>
      <c r="AA160" s="138"/>
      <c r="AB160" s="138"/>
    </row>
    <row r="161" spans="1:28" ht="12.75" customHeight="1">
      <c r="A161" s="34"/>
      <c r="B161" s="34"/>
      <c r="C161" s="34"/>
      <c r="D161" s="34"/>
      <c r="E161" s="34"/>
      <c r="F161" s="34"/>
      <c r="G161" s="34"/>
      <c r="H161" s="34"/>
      <c r="I161" s="34"/>
      <c r="J161" s="34"/>
      <c r="K161" s="34"/>
      <c r="L161" s="34"/>
      <c r="M161" s="34"/>
      <c r="N161" s="34"/>
      <c r="O161" s="34"/>
      <c r="P161" s="138"/>
      <c r="Q161" s="138"/>
      <c r="R161" s="138"/>
      <c r="S161" s="138"/>
      <c r="T161" s="138"/>
      <c r="U161" s="138"/>
      <c r="V161" s="138"/>
      <c r="W161" s="138"/>
      <c r="X161" s="138"/>
      <c r="Y161" s="138"/>
      <c r="Z161" s="138"/>
      <c r="AA161" s="138"/>
      <c r="AB161" s="138"/>
    </row>
    <row r="162" spans="1:28" ht="12.75" customHeight="1">
      <c r="A162" s="34"/>
      <c r="B162" s="34"/>
      <c r="C162" s="34"/>
      <c r="D162" s="34"/>
      <c r="E162" s="34"/>
      <c r="F162" s="34"/>
      <c r="G162" s="34"/>
      <c r="H162" s="34"/>
      <c r="I162" s="34"/>
      <c r="J162" s="34"/>
      <c r="K162" s="34"/>
      <c r="L162" s="34"/>
      <c r="M162" s="34"/>
      <c r="N162" s="34"/>
      <c r="O162" s="34"/>
      <c r="P162" s="138"/>
      <c r="Q162" s="138"/>
      <c r="R162" s="138"/>
      <c r="S162" s="138"/>
      <c r="T162" s="138"/>
      <c r="U162" s="138"/>
      <c r="V162" s="138"/>
      <c r="W162" s="138"/>
      <c r="X162" s="138"/>
      <c r="Y162" s="138"/>
      <c r="Z162" s="138"/>
      <c r="AA162" s="138"/>
      <c r="AB162" s="138"/>
    </row>
    <row r="163" spans="1:28" ht="12.75" customHeight="1">
      <c r="A163" s="34"/>
      <c r="B163" s="34"/>
      <c r="C163" s="34"/>
      <c r="D163" s="34"/>
      <c r="E163" s="34"/>
      <c r="F163" s="34"/>
      <c r="G163" s="34"/>
      <c r="H163" s="34"/>
      <c r="I163" s="34"/>
      <c r="J163" s="34"/>
      <c r="K163" s="34"/>
      <c r="L163" s="34"/>
      <c r="M163" s="34"/>
      <c r="N163" s="34"/>
      <c r="O163" s="34"/>
      <c r="P163" s="138"/>
      <c r="Q163" s="138"/>
      <c r="R163" s="138"/>
      <c r="S163" s="138"/>
      <c r="T163" s="138"/>
      <c r="U163" s="138"/>
      <c r="V163" s="138"/>
      <c r="W163" s="138"/>
      <c r="X163" s="138"/>
      <c r="Y163" s="138"/>
      <c r="Z163" s="138"/>
      <c r="AA163" s="138"/>
      <c r="AB163" s="138"/>
    </row>
    <row r="164" spans="1:28" ht="12.75" customHeight="1">
      <c r="A164" s="34"/>
      <c r="B164" s="34"/>
      <c r="C164" s="34"/>
      <c r="D164" s="34"/>
      <c r="E164" s="34"/>
      <c r="F164" s="34"/>
      <c r="G164" s="34"/>
      <c r="H164" s="34"/>
      <c r="I164" s="34"/>
      <c r="J164" s="34"/>
      <c r="K164" s="34"/>
      <c r="L164" s="34"/>
      <c r="M164" s="34"/>
      <c r="N164" s="34"/>
      <c r="O164" s="34"/>
      <c r="P164" s="138"/>
      <c r="Q164" s="138"/>
      <c r="R164" s="138"/>
      <c r="S164" s="138"/>
      <c r="T164" s="138"/>
      <c r="U164" s="138"/>
      <c r="V164" s="138"/>
      <c r="W164" s="138"/>
      <c r="X164" s="138"/>
      <c r="Y164" s="138"/>
      <c r="Z164" s="138"/>
      <c r="AA164" s="138"/>
      <c r="AB164" s="138"/>
    </row>
    <row r="165" spans="1:28" ht="12.75" customHeight="1">
      <c r="A165" s="34"/>
      <c r="B165" s="34"/>
      <c r="C165" s="34"/>
      <c r="D165" s="34"/>
      <c r="E165" s="34"/>
      <c r="F165" s="34"/>
      <c r="G165" s="34"/>
      <c r="H165" s="34"/>
      <c r="I165" s="34"/>
      <c r="J165" s="34"/>
      <c r="K165" s="34"/>
      <c r="L165" s="34"/>
      <c r="M165" s="34"/>
      <c r="N165" s="34"/>
      <c r="O165" s="34"/>
      <c r="P165" s="138"/>
      <c r="Q165" s="138"/>
      <c r="R165" s="138"/>
      <c r="S165" s="138"/>
      <c r="T165" s="138"/>
      <c r="U165" s="138"/>
      <c r="V165" s="138"/>
      <c r="W165" s="138"/>
      <c r="X165" s="138"/>
      <c r="Y165" s="138"/>
      <c r="Z165" s="138"/>
      <c r="AA165" s="138"/>
      <c r="AB165" s="138"/>
    </row>
    <row r="166" spans="1:28" ht="12.75" customHeight="1">
      <c r="A166" s="34"/>
      <c r="B166" s="34"/>
      <c r="C166" s="34"/>
      <c r="D166" s="34"/>
      <c r="E166" s="34"/>
      <c r="F166" s="34"/>
      <c r="G166" s="34"/>
      <c r="H166" s="34"/>
      <c r="I166" s="34"/>
      <c r="J166" s="34"/>
      <c r="K166" s="34"/>
      <c r="L166" s="34"/>
      <c r="M166" s="34"/>
      <c r="N166" s="34"/>
      <c r="O166" s="34"/>
      <c r="P166" s="138"/>
      <c r="Q166" s="138"/>
      <c r="R166" s="138"/>
      <c r="S166" s="138"/>
      <c r="T166" s="138"/>
      <c r="U166" s="138"/>
      <c r="V166" s="138"/>
      <c r="W166" s="138"/>
      <c r="X166" s="138"/>
      <c r="Y166" s="138"/>
      <c r="Z166" s="138"/>
      <c r="AA166" s="138"/>
      <c r="AB166" s="138"/>
    </row>
    <row r="167" spans="1:28" ht="12.75" customHeight="1">
      <c r="A167" s="34"/>
      <c r="B167" s="34"/>
      <c r="C167" s="34"/>
      <c r="D167" s="34"/>
      <c r="E167" s="34"/>
      <c r="F167" s="34"/>
      <c r="G167" s="34"/>
      <c r="H167" s="34"/>
      <c r="I167" s="34"/>
      <c r="J167" s="34"/>
      <c r="K167" s="34"/>
      <c r="L167" s="34"/>
      <c r="M167" s="34"/>
      <c r="N167" s="34"/>
      <c r="O167" s="34"/>
      <c r="P167" s="138"/>
      <c r="Q167" s="138"/>
      <c r="R167" s="138"/>
      <c r="S167" s="138"/>
      <c r="T167" s="138"/>
      <c r="U167" s="138"/>
      <c r="V167" s="138"/>
      <c r="W167" s="138"/>
      <c r="X167" s="138"/>
      <c r="Y167" s="138"/>
      <c r="Z167" s="138"/>
      <c r="AA167" s="138"/>
      <c r="AB167" s="138"/>
    </row>
    <row r="168" spans="1:28" ht="12.75" customHeight="1">
      <c r="A168" s="34"/>
      <c r="B168" s="34"/>
      <c r="C168" s="34"/>
      <c r="D168" s="34"/>
      <c r="E168" s="34"/>
      <c r="F168" s="34"/>
      <c r="G168" s="34"/>
      <c r="H168" s="34"/>
      <c r="I168" s="34"/>
      <c r="J168" s="34"/>
      <c r="K168" s="34"/>
      <c r="L168" s="34"/>
      <c r="M168" s="34"/>
      <c r="N168" s="34"/>
      <c r="O168" s="34"/>
      <c r="P168" s="138"/>
      <c r="Q168" s="138"/>
      <c r="R168" s="138"/>
      <c r="S168" s="138"/>
      <c r="T168" s="138"/>
      <c r="U168" s="138"/>
      <c r="V168" s="138"/>
      <c r="W168" s="138"/>
      <c r="X168" s="138"/>
      <c r="Y168" s="138"/>
      <c r="Z168" s="138"/>
      <c r="AA168" s="138"/>
      <c r="AB168" s="138"/>
    </row>
    <row r="169" spans="1:2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row>
    <row r="170" spans="1:2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row>
    <row r="171" spans="1:2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row>
    <row r="172" spans="1:2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row>
    <row r="173" spans="1:2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row>
    <row r="174" spans="1:2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row>
    <row r="175" spans="1:2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row>
    <row r="176" spans="1:2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row>
    <row r="177" spans="1:2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row>
    <row r="178" spans="1:2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row>
    <row r="179" spans="1:2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row>
    <row r="180" spans="1:2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row>
    <row r="181" spans="1:2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row>
    <row r="182" spans="1:2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row>
    <row r="183" spans="1:2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row>
    <row r="184" spans="1:2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row>
    <row r="185" spans="1:2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row>
    <row r="186" spans="1:2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row>
    <row r="187" spans="1:2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row>
    <row r="188" spans="1:2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row>
    <row r="189" spans="1:2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row>
    <row r="190" spans="1:2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row>
    <row r="191" spans="1:2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row>
    <row r="192" spans="1:2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row>
    <row r="193" spans="1:2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row>
    <row r="194" spans="1:2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row>
    <row r="195" spans="1:2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row>
    <row r="196" spans="1:2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row>
    <row r="197" spans="1:2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row>
    <row r="198" spans="1:2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row>
    <row r="199" spans="1:2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row>
    <row r="200" spans="1:2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row>
    <row r="201" spans="1:2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row>
    <row r="202" spans="1:2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row>
    <row r="203" spans="1:2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row>
    <row r="204" spans="1:2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row>
    <row r="205" spans="1:2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row>
    <row r="206" spans="1:2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row>
    <row r="207" spans="1:2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row>
    <row r="208" spans="1:2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row>
    <row r="209" spans="1:2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row>
    <row r="210" spans="1:2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row>
    <row r="211" spans="1:2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row>
    <row r="212" spans="1:2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row>
    <row r="213" spans="1:2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row>
    <row r="214" spans="1:2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row>
    <row r="215" spans="1:2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row>
    <row r="216" spans="1:2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row>
    <row r="217" spans="1:2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row>
    <row r="218" spans="1:2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row>
    <row r="219" spans="1:2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row>
    <row r="220" spans="1:2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row>
    <row r="221" spans="1:2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row>
    <row r="222" spans="1:2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row>
    <row r="223" spans="1:2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row>
    <row r="224" spans="1:2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row>
    <row r="225" spans="1:2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row>
    <row r="226" spans="1:2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row>
    <row r="227" spans="1:2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row>
    <row r="228" spans="1:2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row>
    <row r="229" spans="1:2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row>
    <row r="230" spans="1:2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row>
    <row r="231" spans="1:2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row>
    <row r="232" spans="1:2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row>
    <row r="233" spans="1:2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row>
    <row r="234" spans="1:2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row>
    <row r="235" spans="1:2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row>
    <row r="236" spans="1:2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row>
    <row r="237" spans="1:2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row>
    <row r="238" spans="1:2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row>
    <row r="239" spans="1:2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row>
    <row r="240" spans="1:2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row>
    <row r="241" spans="1:2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row>
    <row r="242" spans="1:2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row>
    <row r="243" spans="1:2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row>
    <row r="244" spans="1:2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row>
    <row r="245" spans="1:2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row>
    <row r="246" spans="1:2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row>
    <row r="247" spans="1:2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row>
    <row r="248" spans="1:2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row>
    <row r="249" spans="1:2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row>
    <row r="250" spans="1:2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row>
    <row r="251" spans="1:2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row>
    <row r="252" spans="1:2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row>
    <row r="253" spans="1:2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row>
    <row r="254" spans="1:2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row>
    <row r="255" spans="1:2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row>
    <row r="256" spans="1:2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row>
    <row r="257" spans="1:2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row>
    <row r="258" spans="1:2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row>
    <row r="259" spans="1:2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row>
    <row r="260" spans="1:2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row>
    <row r="261" spans="1:2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row>
    <row r="262" spans="1:2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row>
    <row r="263" spans="1:2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row>
    <row r="264" spans="1:2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row>
    <row r="265" spans="1:2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row>
    <row r="266" spans="1:2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row>
    <row r="267" spans="1:2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row>
    <row r="268" spans="1:2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row>
    <row r="269" spans="1:2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row>
    <row r="270" spans="1:2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row>
    <row r="271" spans="1:2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row>
    <row r="272" spans="1:2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row>
    <row r="273" spans="1:2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row>
    <row r="274" spans="1:2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row>
    <row r="275" spans="1:2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row>
    <row r="276" spans="1:2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row>
    <row r="277" spans="1:2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row>
    <row r="278" spans="1:2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row>
    <row r="279" spans="1:2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row>
    <row r="280" spans="1:2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row>
    <row r="281" spans="1:2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row>
    <row r="282" spans="1:2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row>
    <row r="283" spans="1:2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row>
    <row r="284" spans="1:2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row>
    <row r="285" spans="1:2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row>
    <row r="286" spans="1:2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row>
    <row r="287" spans="1:2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row>
    <row r="288" spans="1:2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row>
    <row r="289" spans="1:2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row>
    <row r="290" spans="1:2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row>
    <row r="291" spans="1:2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row>
    <row r="292" spans="1:2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row>
    <row r="293" spans="1:2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row>
    <row r="294" spans="1:2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row>
    <row r="295" spans="1:2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row>
    <row r="296" spans="1:2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row>
    <row r="297" spans="1:2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row>
    <row r="298" spans="1:2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row>
    <row r="299" spans="1:2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row>
    <row r="300" spans="1:2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row>
    <row r="301" spans="1:2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row>
    <row r="302" spans="1:2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row>
    <row r="303" spans="1:2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row>
    <row r="304" spans="1:2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row>
    <row r="305" spans="1:2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row>
    <row r="306" spans="1:2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row>
    <row r="307" spans="1:2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row>
    <row r="308" spans="1:2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row>
    <row r="309" spans="1:2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row>
    <row r="310" spans="1:2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row>
    <row r="311" spans="1:2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row>
    <row r="312" spans="1:2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row>
    <row r="313" spans="1:2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row>
    <row r="314" spans="1:2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row>
    <row r="315" spans="1:2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row>
    <row r="316" spans="1:2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row>
    <row r="317" spans="1:2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row>
    <row r="318" spans="1:2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row>
    <row r="319" spans="1:2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row>
    <row r="320" spans="1:2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row>
    <row r="321" spans="1:2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row>
    <row r="322" spans="1:2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row>
    <row r="323" spans="1:2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row>
    <row r="324" spans="1:2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row>
    <row r="325" spans="1:2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row>
    <row r="326" spans="1:2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row>
    <row r="327" spans="1:2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row>
    <row r="328" spans="1:2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row>
    <row r="329" spans="1:2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row>
    <row r="330" spans="1:2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row>
    <row r="331" spans="1:2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row>
    <row r="332" spans="1:2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row>
    <row r="333" spans="1:2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row>
    <row r="334" spans="1:2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row>
    <row r="335" spans="1:2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row>
    <row r="336" spans="1:2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row>
    <row r="337" spans="1:2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row>
    <row r="338" spans="1:2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row>
    <row r="339" spans="1:2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row>
    <row r="340" spans="1:2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row>
    <row r="341" spans="1:2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row>
    <row r="342" spans="1:2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row>
    <row r="343" spans="1:2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row>
    <row r="344" spans="1:2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row>
    <row r="345" spans="1:2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row>
    <row r="346" spans="1:2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row>
    <row r="347" spans="1:2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row>
    <row r="348" spans="1:2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row>
    <row r="349" spans="1:2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row>
    <row r="350" spans="1:2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row>
    <row r="351" spans="1:2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row>
    <row r="352" spans="1:2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row>
    <row r="353" spans="1:2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row>
    <row r="354" spans="1:2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row>
    <row r="355" spans="1:2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row>
    <row r="356" spans="1:2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row>
    <row r="357" spans="1:2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row>
    <row r="358" spans="1:2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row>
    <row r="359" spans="1:2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row>
    <row r="360" spans="1:2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row>
    <row r="361" spans="1:2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row>
    <row r="362" spans="1:2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row>
    <row r="363" spans="1:2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row>
    <row r="364" spans="1:2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row>
    <row r="365" spans="1:2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row>
    <row r="366" spans="1:2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row>
    <row r="367" spans="1:2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row>
    <row r="368" spans="1:2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row>
    <row r="369" spans="1:2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row>
    <row r="370" spans="1:2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row>
    <row r="371" spans="1:2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row>
    <row r="372" spans="1:2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row>
    <row r="373" spans="1:2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row>
    <row r="374" spans="1:2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row>
    <row r="375" spans="1:2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row>
    <row r="376" spans="1:2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row>
    <row r="377" spans="1:2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row>
    <row r="378" spans="1:2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row>
    <row r="379" spans="1:2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row>
    <row r="380" spans="1:2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row>
    <row r="381" spans="1:2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row>
    <row r="382" spans="1:2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row>
    <row r="383" spans="1:2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row>
    <row r="384" spans="1:2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row>
    <row r="385" spans="1:2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row>
    <row r="386" spans="1:2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row>
    <row r="387" spans="1:2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row>
    <row r="388" spans="1:2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row>
    <row r="389" spans="1:2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row>
    <row r="390" spans="1:2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row>
    <row r="391" spans="1:2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row>
    <row r="392" spans="1:2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row>
    <row r="393" spans="1:2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row>
    <row r="394" spans="1:2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row>
    <row r="395" spans="1:2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row>
    <row r="396" spans="1:2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row>
    <row r="397" spans="1:2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row>
    <row r="398" spans="1:2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row>
    <row r="399" spans="1:2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row>
    <row r="400" spans="1:2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row>
    <row r="401" spans="1:2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row>
    <row r="402" spans="1:2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row>
    <row r="403" spans="1:2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row>
    <row r="404" spans="1:2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row>
    <row r="405" spans="1:2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row>
    <row r="406" spans="1:2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row>
    <row r="407" spans="1:2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row>
    <row r="408" spans="1:2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row>
    <row r="409" spans="1:2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row>
    <row r="410" spans="1:2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row>
    <row r="411" spans="1:2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row>
    <row r="412" spans="1:2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row>
    <row r="413" spans="1:2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row>
    <row r="414" spans="1:2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row>
    <row r="415" spans="1:2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row>
    <row r="416" spans="1:2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row>
    <row r="417" spans="1:2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row>
    <row r="418" spans="1:2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row>
    <row r="419" spans="1:2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row>
    <row r="420" spans="1:2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row>
    <row r="421" spans="1:2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row>
    <row r="422" spans="1:2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row>
    <row r="423" spans="1:2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row>
    <row r="424" spans="1:2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row>
    <row r="425" spans="1:2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row>
    <row r="426" spans="1:2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row>
    <row r="427" spans="1:2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row>
    <row r="428" spans="1:2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row>
    <row r="429" spans="1:2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row>
    <row r="430" spans="1:2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row>
    <row r="431" spans="1:2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row>
    <row r="432" spans="1:2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row>
    <row r="433" spans="1:2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row>
    <row r="434" spans="1:2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row>
    <row r="435" spans="1:2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row>
    <row r="436" spans="1:2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row>
    <row r="437" spans="1:2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row>
    <row r="438" spans="1:2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row>
    <row r="439" spans="1:2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row>
    <row r="440" spans="1:2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row>
    <row r="441" spans="1:2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row>
    <row r="442" spans="1:2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row>
    <row r="443" spans="1:2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row>
    <row r="444" spans="1:2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row>
    <row r="445" spans="1:2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row>
    <row r="446" spans="1:2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row>
    <row r="447" spans="1:2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row>
    <row r="448" spans="1:2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row>
    <row r="449" spans="1:2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row>
    <row r="450" spans="1:2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row>
    <row r="451" spans="1:2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row>
    <row r="452" spans="1:2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row>
    <row r="453" spans="1:2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row>
    <row r="454" spans="1:2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row>
    <row r="455" spans="1:2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row>
    <row r="456" spans="1:2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row>
    <row r="457" spans="1:2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row>
    <row r="458" spans="1:2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row>
    <row r="459" spans="1:2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row>
    <row r="460" spans="1:2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row>
    <row r="461" spans="1:2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row>
    <row r="462" spans="1:2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row>
    <row r="463" spans="1:2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row>
    <row r="464" spans="1:2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row>
    <row r="465" spans="1:2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row>
    <row r="466" spans="1:2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row>
    <row r="467" spans="1:2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row>
    <row r="468" spans="1:2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row>
    <row r="469" spans="1:2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row>
    <row r="470" spans="1:2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row>
    <row r="471" spans="1:2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row>
    <row r="472" spans="1:2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row>
    <row r="473" spans="1:2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row>
    <row r="474" spans="1:2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row>
    <row r="475" spans="1:2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row>
    <row r="476" spans="1:2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row>
    <row r="477" spans="1:2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row>
    <row r="478" spans="1:2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row>
    <row r="479" spans="1:2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row>
    <row r="480" spans="1:2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row>
    <row r="481" spans="1:2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row>
    <row r="482" spans="1:2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row>
    <row r="483" spans="1:2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row>
    <row r="484" spans="1:2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row>
    <row r="485" spans="1:2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row>
    <row r="486" spans="1:2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row>
    <row r="487" spans="1:2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row>
    <row r="488" spans="1:2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row>
    <row r="489" spans="1:2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row>
    <row r="490" spans="1:2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row>
    <row r="491" spans="1:2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row>
    <row r="492" spans="1:2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row>
    <row r="493" spans="1:2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row>
    <row r="494" spans="1:2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row>
    <row r="495" spans="1:2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row>
    <row r="496" spans="1:2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row>
    <row r="497" spans="1:2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row>
    <row r="498" spans="1:2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row>
    <row r="499" spans="1:2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row>
    <row r="500" spans="1:2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row>
    <row r="501" spans="1:2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row>
    <row r="502" spans="1:2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row>
    <row r="503" spans="1:2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row>
    <row r="504" spans="1:2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row>
    <row r="505" spans="1:2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row>
    <row r="506" spans="1:2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row>
    <row r="507" spans="1:2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row>
    <row r="508" spans="1:2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row>
    <row r="509" spans="1:2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row>
    <row r="510" spans="1:2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row>
    <row r="511" spans="1:2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row>
    <row r="512" spans="1:2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row>
    <row r="513" spans="1:2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row>
    <row r="514" spans="1:2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row>
    <row r="515" spans="1:2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row>
    <row r="516" spans="1:2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row>
    <row r="517" spans="1:2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row>
    <row r="518" spans="1:2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row>
    <row r="519" spans="1:2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row>
    <row r="520" spans="1:2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row>
    <row r="521" spans="1:2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row>
    <row r="522" spans="1:2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row>
    <row r="523" spans="1:2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row>
    <row r="524" spans="1:2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row>
    <row r="525" spans="1:2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row>
    <row r="526" spans="1:2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row>
    <row r="527" spans="1:2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row>
    <row r="528" spans="1:2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row>
    <row r="529" spans="1:2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row>
    <row r="530" spans="1:2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row>
    <row r="531" spans="1:2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row>
    <row r="532" spans="1:2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row>
    <row r="533" spans="1:2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row>
    <row r="534" spans="1:2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row>
    <row r="535" spans="1:2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row>
    <row r="536" spans="1:2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row>
    <row r="537" spans="1:2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row>
    <row r="538" spans="1:2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row>
    <row r="539" spans="1:2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row>
    <row r="540" spans="1:2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row>
    <row r="541" spans="1:2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row>
    <row r="542" spans="1:2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row>
    <row r="543" spans="1:2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row>
    <row r="544" spans="1:2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row>
    <row r="545" spans="1:2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row>
    <row r="546" spans="1:2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row>
    <row r="547" spans="1:2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row>
    <row r="548" spans="1:2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row>
    <row r="549" spans="1:2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row>
    <row r="550" spans="1:2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row>
    <row r="551" spans="1:2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row>
    <row r="552" spans="1:2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row>
    <row r="553" spans="1:2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row>
    <row r="554" spans="1:2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row>
    <row r="555" spans="1:2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row>
    <row r="556" spans="1:2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row>
    <row r="557" spans="1:2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row>
    <row r="558" spans="1:2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row>
    <row r="559" spans="1:2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row>
    <row r="560" spans="1:2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row>
    <row r="561" spans="1:2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row>
    <row r="562" spans="1:2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row>
    <row r="563" spans="1:2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row>
    <row r="564" spans="1:2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row>
    <row r="565" spans="1:2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row>
    <row r="566" spans="1:2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row>
    <row r="567" spans="1:2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row>
    <row r="568" spans="1:2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row>
    <row r="569" spans="1:2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row>
    <row r="570" spans="1:2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row>
    <row r="571" spans="1:2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row>
    <row r="572" spans="1:2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row>
    <row r="573" spans="1:2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row>
    <row r="574" spans="1:2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row>
    <row r="575" spans="1:2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row>
    <row r="576" spans="1:2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row>
    <row r="577" spans="1:2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row>
    <row r="578" spans="1:2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row>
    <row r="579" spans="1:2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row>
    <row r="580" spans="1:2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row>
    <row r="581" spans="1:2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row>
    <row r="582" spans="1:2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row>
    <row r="583" spans="1:2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row>
    <row r="584" spans="1:2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row>
    <row r="585" spans="1:2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row>
    <row r="586" spans="1:2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row>
    <row r="587" spans="1:2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row>
    <row r="588" spans="1:2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row>
    <row r="589" spans="1:2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row>
    <row r="590" spans="1:2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row>
    <row r="591" spans="1:2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row>
    <row r="592" spans="1:2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row>
    <row r="593" spans="1:2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row>
    <row r="594" spans="1:2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row>
    <row r="595" spans="1:2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row>
    <row r="596" spans="1:2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row>
    <row r="597" spans="1:2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row>
    <row r="598" spans="1:2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row>
    <row r="599" spans="1:2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row>
    <row r="600" spans="1:2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row>
    <row r="601" spans="1:2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row>
    <row r="602" spans="1:2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row>
    <row r="603" spans="1:2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row>
    <row r="604" spans="1:2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row>
    <row r="605" spans="1:2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row>
    <row r="606" spans="1:2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row>
    <row r="607" spans="1:2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row>
    <row r="608" spans="1:2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row>
    <row r="609" spans="1:2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row>
    <row r="610" spans="1:2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row>
    <row r="611" spans="1:2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row>
    <row r="612" spans="1:2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row>
    <row r="613" spans="1:2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row>
    <row r="614" spans="1:2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row>
    <row r="615" spans="1:2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row>
    <row r="616" spans="1:2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row>
    <row r="617" spans="1:2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row>
    <row r="618" spans="1:2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row>
    <row r="619" spans="1:2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row>
    <row r="620" spans="1:2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row>
    <row r="621" spans="1:2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row>
    <row r="622" spans="1:2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row>
    <row r="623" spans="1:2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row>
    <row r="624" spans="1:2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row>
    <row r="625" spans="1:2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row>
    <row r="626" spans="1:2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row>
    <row r="627" spans="1:2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row>
    <row r="628" spans="1:2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row>
    <row r="629" spans="1:2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row>
    <row r="630" spans="1:2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row>
    <row r="631" spans="1:2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row>
    <row r="632" spans="1:2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row>
    <row r="633" spans="1:2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row>
    <row r="634" spans="1:2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row>
    <row r="635" spans="1:2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row>
    <row r="636" spans="1:2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row>
    <row r="637" spans="1:2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row>
    <row r="638" spans="1:2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row>
    <row r="639" spans="1:2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row>
    <row r="640" spans="1:2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row>
    <row r="641" spans="1:2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row>
    <row r="642" spans="1:2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row>
    <row r="643" spans="1:2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row>
    <row r="644" spans="1:2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row>
    <row r="645" spans="1:2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row>
    <row r="646" spans="1:2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row>
    <row r="647" spans="1:2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row>
    <row r="648" spans="1:2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row>
    <row r="649" spans="1:2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row>
    <row r="650" spans="1:2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row>
    <row r="651" spans="1:2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row>
    <row r="652" spans="1:2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row>
    <row r="653" spans="1:2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row>
    <row r="654" spans="1:2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row>
    <row r="655" spans="1:2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row>
    <row r="656" spans="1:2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row>
    <row r="657" spans="1:2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row>
    <row r="658" spans="1:2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row>
    <row r="659" spans="1:2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row>
    <row r="660" spans="1:2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row>
    <row r="661" spans="1:2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row>
    <row r="662" spans="1:2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row>
    <row r="663" spans="1:2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row>
    <row r="664" spans="1:2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row>
    <row r="665" spans="1:2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row>
    <row r="666" spans="1:2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row>
    <row r="667" spans="1:2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row>
    <row r="668" spans="1:2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row>
    <row r="669" spans="1:2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row>
    <row r="670" spans="1:2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row>
    <row r="671" spans="1:2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row>
    <row r="672" spans="1:2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row>
    <row r="673" spans="1:2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row>
    <row r="674" spans="1:2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row>
    <row r="675" spans="1:2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row>
    <row r="676" spans="1:2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row>
    <row r="677" spans="1:2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row>
    <row r="678" spans="1:2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row>
    <row r="679" spans="1:2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row>
    <row r="680" spans="1:2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row>
    <row r="681" spans="1:2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row>
    <row r="682" spans="1:2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row>
    <row r="683" spans="1:2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row>
    <row r="684" spans="1:2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row>
    <row r="685" spans="1:2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row>
    <row r="686" spans="1:2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row>
    <row r="687" spans="1:2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row>
    <row r="688" spans="1:2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row>
    <row r="689" spans="1:2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row>
    <row r="690" spans="1:2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row>
    <row r="691" spans="1:2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row>
    <row r="692" spans="1:2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row>
    <row r="693" spans="1:2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row>
    <row r="694" spans="1:2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row>
    <row r="695" spans="1:2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row>
    <row r="696" spans="1:2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row>
    <row r="697" spans="1:2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row>
    <row r="698" spans="1:2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row>
    <row r="699" spans="1:2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row>
    <row r="700" spans="1:2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row>
    <row r="701" spans="1:2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row>
    <row r="702" spans="1:2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row>
    <row r="703" spans="1:2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row>
    <row r="704" spans="1:2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row>
    <row r="705" spans="1:2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row>
    <row r="706" spans="1:2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row>
    <row r="707" spans="1:2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row>
    <row r="708" spans="1:2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row>
    <row r="709" spans="1:2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row>
    <row r="710" spans="1:2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row>
    <row r="711" spans="1:2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row>
    <row r="712" spans="1:2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row>
    <row r="713" spans="1:2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row>
    <row r="714" spans="1:2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row>
    <row r="715" spans="1:2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row>
    <row r="716" spans="1:2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row>
    <row r="717" spans="1:2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row>
    <row r="718" spans="1:2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row>
    <row r="719" spans="1:2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row>
    <row r="720" spans="1:2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row>
    <row r="721" spans="1:2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row>
    <row r="722" spans="1:2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row>
    <row r="723" spans="1:2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row>
    <row r="724" spans="1:2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row>
    <row r="725" spans="1:2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row>
    <row r="726" spans="1:2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row>
    <row r="727" spans="1:2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row>
    <row r="728" spans="1:2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row>
    <row r="729" spans="1:2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row>
    <row r="730" spans="1:2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row>
    <row r="731" spans="1:2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row>
    <row r="732" spans="1:2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row>
    <row r="733" spans="1:2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row>
    <row r="734" spans="1:2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row>
    <row r="735" spans="1:2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row>
    <row r="736" spans="1:2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row>
    <row r="737" spans="1:2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row>
    <row r="738" spans="1:2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row>
    <row r="739" spans="1:2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row>
    <row r="740" spans="1:2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row>
    <row r="741" spans="1:2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row>
    <row r="742" spans="1:2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row>
    <row r="743" spans="1:2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row>
    <row r="744" spans="1:2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row>
    <row r="745" spans="1:2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row>
    <row r="746" spans="1:2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row>
    <row r="747" spans="1:2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row>
    <row r="748" spans="1:2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row>
    <row r="749" spans="1:2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row>
    <row r="750" spans="1:2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row>
    <row r="751" spans="1:2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row>
    <row r="752" spans="1:2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row>
    <row r="753" spans="1:2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row>
    <row r="754" spans="1:2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row>
    <row r="755" spans="1:2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row>
    <row r="756" spans="1:2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row>
    <row r="757" spans="1:2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row>
    <row r="758" spans="1:2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row>
    <row r="759" spans="1:2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row>
    <row r="760" spans="1:2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row>
    <row r="761" spans="1:2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row>
    <row r="762" spans="1:2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row>
    <row r="763" spans="1:2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row>
    <row r="764" spans="1:2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row>
    <row r="765" spans="1:2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row>
    <row r="766" spans="1:2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row>
    <row r="767" spans="1:2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row>
    <row r="768" spans="1:2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row>
    <row r="769" spans="1:2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row>
    <row r="770" spans="1:2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row>
    <row r="771" spans="1:2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row>
    <row r="772" spans="1:2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row>
    <row r="773" spans="1:2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row>
    <row r="774" spans="1:2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row>
    <row r="775" spans="1:2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row>
    <row r="776" spans="1:2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row>
    <row r="777" spans="1:2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row>
    <row r="778" spans="1:2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row>
    <row r="779" spans="1:2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row>
    <row r="780" spans="1:2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row>
    <row r="781" spans="1:2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row>
    <row r="782" spans="1:2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row>
    <row r="783" spans="1:2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row>
    <row r="784" spans="1:2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row>
    <row r="785" spans="1:2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row>
    <row r="786" spans="1:2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row>
    <row r="787" spans="1:2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row>
    <row r="788" spans="1:2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row>
    <row r="789" spans="1:2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row>
    <row r="790" spans="1:2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row>
    <row r="791" spans="1:2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row>
    <row r="792" spans="1:2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row>
    <row r="793" spans="1:2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row>
    <row r="794" spans="1:2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row>
    <row r="795" spans="1:2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row>
    <row r="796" spans="1:2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row>
    <row r="797" spans="1:2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row>
    <row r="798" spans="1:2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row>
    <row r="799" spans="1:2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row>
    <row r="800" spans="1:2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row>
    <row r="801" spans="1:2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row>
    <row r="802" spans="1:2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row>
    <row r="803" spans="1:2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row>
    <row r="804" spans="1:2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row>
    <row r="805" spans="1:2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row>
    <row r="806" spans="1:2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row>
    <row r="807" spans="1:2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row>
    <row r="808" spans="1:2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row>
    <row r="809" spans="1:2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row>
    <row r="810" spans="1:2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row>
    <row r="811" spans="1:2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row>
    <row r="812" spans="1:2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row>
    <row r="813" spans="1:2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row>
    <row r="814" spans="1:2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row>
    <row r="815" spans="1:2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row>
    <row r="816" spans="1:2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row>
    <row r="817" spans="1:2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row>
    <row r="818" spans="1:2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row>
    <row r="819" spans="1:2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row>
    <row r="820" spans="1:2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row>
    <row r="821" spans="1:2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row>
    <row r="822" spans="1:2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row>
    <row r="823" spans="1:2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row>
    <row r="824" spans="1:2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row>
    <row r="825" spans="1:2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row>
    <row r="826" spans="1:2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row>
    <row r="827" spans="1:2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row>
    <row r="828" spans="1:2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row>
    <row r="829" spans="1:2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row>
    <row r="830" spans="1:2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row>
    <row r="831" spans="1:2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row>
    <row r="832" spans="1:2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row>
    <row r="833" spans="1:2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row>
    <row r="834" spans="1:2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row>
    <row r="835" spans="1:2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row>
    <row r="836" spans="1:2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row>
    <row r="837" spans="1:2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row>
    <row r="838" spans="1:2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row>
    <row r="839" spans="1:2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row>
    <row r="840" spans="1:2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row>
    <row r="841" spans="1:2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row>
    <row r="842" spans="1:2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row>
    <row r="843" spans="1:2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row>
    <row r="844" spans="1:2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row>
    <row r="845" spans="1:2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row>
    <row r="846" spans="1:2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row>
    <row r="847" spans="1:2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row>
    <row r="848" spans="1:2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row>
    <row r="849" spans="1:2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row>
    <row r="850" spans="1:2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row>
    <row r="851" spans="1:2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row>
    <row r="852" spans="1:2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row>
    <row r="853" spans="1:2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row>
    <row r="854" spans="1:2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row>
    <row r="855" spans="1:2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row>
    <row r="856" spans="1:2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row>
    <row r="857" spans="1:2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row>
    <row r="858" spans="1:2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row>
    <row r="859" spans="1:2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row>
    <row r="860" spans="1:2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row>
    <row r="861" spans="1:2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row>
    <row r="862" spans="1:2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row>
    <row r="863" spans="1:2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row>
    <row r="864" spans="1:2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row>
    <row r="865" spans="1:2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row>
    <row r="866" spans="1:2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row>
    <row r="867" spans="1:2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row>
    <row r="868" spans="1:2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row>
    <row r="869" spans="1:2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row>
    <row r="870" spans="1:2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row>
    <row r="871" spans="1:2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row>
    <row r="872" spans="1:2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row>
    <row r="873" spans="1:2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row>
    <row r="874" spans="1:2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row>
    <row r="875" spans="1:2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row>
    <row r="876" spans="1:2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row>
    <row r="877" spans="1:2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row>
    <row r="878" spans="1:2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row>
    <row r="879" spans="1:2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row>
    <row r="880" spans="1:2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row>
    <row r="881" spans="1:2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row>
    <row r="882" spans="1:2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row>
    <row r="883" spans="1:2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row>
    <row r="884" spans="1:2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row>
    <row r="885" spans="1:2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row>
    <row r="886" spans="1:2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row>
    <row r="887" spans="1:2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row>
    <row r="888" spans="1:2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row>
    <row r="889" spans="1:2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row>
    <row r="890" spans="1:2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row>
    <row r="891" spans="1:2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row>
    <row r="892" spans="1:2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row>
    <row r="893" spans="1:2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row>
    <row r="894" spans="1:2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row>
    <row r="895" spans="1:2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row>
    <row r="896" spans="1:2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row>
    <row r="897" spans="1:2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row>
    <row r="898" spans="1:2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row>
    <row r="899" spans="1:2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row>
    <row r="900" spans="1:2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row>
    <row r="901" spans="1:2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row>
    <row r="902" spans="1:2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row>
    <row r="903" spans="1:2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row>
    <row r="904" spans="1:2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row>
    <row r="905" spans="1:2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row>
    <row r="906" spans="1:2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row>
    <row r="907" spans="1:2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row>
    <row r="908" spans="1:2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row>
    <row r="909" spans="1:2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row>
    <row r="910" spans="1:2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row>
    <row r="911" spans="1:2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row>
    <row r="912" spans="1:2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row>
    <row r="913" spans="1:2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row r="1000" spans="1:2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row>
  </sheetData>
  <mergeCells count="15">
    <mergeCell ref="B41:E42"/>
    <mergeCell ref="C70:E70"/>
    <mergeCell ref="K77:L77"/>
    <mergeCell ref="B3:C3"/>
    <mergeCell ref="F3:G3"/>
    <mergeCell ref="B6:B10"/>
    <mergeCell ref="C11:E11"/>
    <mergeCell ref="C18:C22"/>
    <mergeCell ref="D18:D22"/>
    <mergeCell ref="E27:E31"/>
    <mergeCell ref="D27:D31"/>
    <mergeCell ref="C28:C31"/>
    <mergeCell ref="D33:D37"/>
    <mergeCell ref="C34:C37"/>
    <mergeCell ref="B40:E40"/>
  </mergeCells>
  <conditionalFormatting sqref="B11">
    <cfRule type="cellIs" dxfId="43" priority="1" operator="equal">
      <formula>"FAIL"</formula>
    </cfRule>
    <cfRule type="cellIs" dxfId="42" priority="2" operator="equal">
      <formula>"PASS"</formula>
    </cfRule>
  </conditionalFormatting>
  <conditionalFormatting sqref="C11">
    <cfRule type="cellIs" dxfId="41" priority="3" operator="equal">
      <formula>"Insufficient air gap, check design"</formula>
    </cfRule>
    <cfRule type="cellIs" dxfId="40" priority="4" operator="equal">
      <formula>"Conduction &amp; Radiation insulation do not match, check input"</formula>
    </cfRule>
  </conditionalFormatting>
  <conditionalFormatting sqref="C15">
    <cfRule type="cellIs" dxfId="39" priority="5" stopIfTrue="1" operator="equal">
      <formula>"Yes"</formula>
    </cfRule>
    <cfRule type="cellIs" dxfId="38" priority="6" stopIfTrue="1" operator="equal">
      <formula>"n.a."</formula>
    </cfRule>
    <cfRule type="cellIs" dxfId="37" priority="7" stopIfTrue="1" operator="equal">
      <formula>"No"</formula>
    </cfRule>
    <cfRule type="cellIs" dxfId="36" priority="8" operator="equal">
      <formula>" "</formula>
    </cfRule>
  </conditionalFormatting>
  <conditionalFormatting sqref="C23">
    <cfRule type="containsBlanks" dxfId="35" priority="9">
      <formula>LEN(TRIM(C23))=0</formula>
    </cfRule>
  </conditionalFormatting>
  <conditionalFormatting sqref="C38">
    <cfRule type="containsBlanks" dxfId="34" priority="10">
      <formula>LEN(TRIM(C38))=0</formula>
    </cfRule>
  </conditionalFormatting>
  <conditionalFormatting sqref="D23 D38">
    <cfRule type="expression" dxfId="33" priority="11">
      <formula>$C$14&lt;&gt;"UL94 V-0"</formula>
    </cfRule>
  </conditionalFormatting>
  <conditionalFormatting sqref="D3:G4 F5:G6 F8:G11 D12:G12 E13:G13 D14:G16">
    <cfRule type="expression" dxfId="32" priority="12" stopIfTrue="1">
      <formula>D3="PASS"</formula>
    </cfRule>
    <cfRule type="expression" dxfId="31" priority="13" stopIfTrue="1">
      <formula>D3="FAIL"</formula>
    </cfRule>
    <cfRule type="expression" dxfId="30" priority="14" stopIfTrue="1">
      <formula>D3="N/A"</formula>
    </cfRule>
  </conditionalFormatting>
  <conditionalFormatting sqref="E6">
    <cfRule type="expression" dxfId="29" priority="15" stopIfTrue="1">
      <formula>E6="PASS"</formula>
    </cfRule>
    <cfRule type="expression" dxfId="28" priority="16" stopIfTrue="1">
      <formula>E6="FAIL"</formula>
    </cfRule>
  </conditionalFormatting>
  <conditionalFormatting sqref="E7">
    <cfRule type="cellIs" dxfId="27" priority="17" stopIfTrue="1" operator="equal">
      <formula>"Yes"</formula>
    </cfRule>
    <cfRule type="cellIs" dxfId="26" priority="18" stopIfTrue="1" operator="equal">
      <formula>"n.a."</formula>
    </cfRule>
    <cfRule type="cellIs" dxfId="25" priority="19" stopIfTrue="1" operator="equal">
      <formula>"No"</formula>
    </cfRule>
    <cfRule type="cellIs" dxfId="24" priority="20" operator="equal">
      <formula>" "</formula>
    </cfRule>
  </conditionalFormatting>
  <conditionalFormatting sqref="E8">
    <cfRule type="expression" dxfId="23" priority="21" stopIfTrue="1">
      <formula>IF(AND($D$8&gt;=25,$E$8="Yes"),TRUE,FALSE)</formula>
    </cfRule>
    <cfRule type="expression" dxfId="22" priority="22" stopIfTrue="1">
      <formula>IF(AND($D$8&lt;25,$E$8="Yes"),TRUE,FALSE)</formula>
    </cfRule>
    <cfRule type="cellIs" dxfId="21" priority="23" stopIfTrue="1" operator="equal">
      <formula>"No"</formula>
    </cfRule>
    <cfRule type="cellIs" dxfId="20" priority="24" operator="equal">
      <formula>" "</formula>
    </cfRule>
  </conditionalFormatting>
  <conditionalFormatting sqref="E9">
    <cfRule type="cellIs" dxfId="19" priority="25" stopIfTrue="1" operator="equal">
      <formula>"Yes"</formula>
    </cfRule>
    <cfRule type="cellIs" dxfId="18" priority="26" stopIfTrue="1" operator="equal">
      <formula>"n.a."</formula>
    </cfRule>
    <cfRule type="cellIs" dxfId="17" priority="27" stopIfTrue="1" operator="equal">
      <formula>"No"</formula>
    </cfRule>
    <cfRule type="cellIs" dxfId="16" priority="28" operator="equal">
      <formula>" "</formula>
    </cfRule>
  </conditionalFormatting>
  <conditionalFormatting sqref="E23 E38">
    <cfRule type="containsBlanks" dxfId="15" priority="29">
      <formula>LEN(TRIM(E23))=0</formula>
    </cfRule>
  </conditionalFormatting>
  <conditionalFormatting sqref="E23:E24">
    <cfRule type="expression" dxfId="14" priority="30" stopIfTrue="1">
      <formula>E23="PASS"</formula>
    </cfRule>
    <cfRule type="expression" dxfId="13" priority="31" stopIfTrue="1">
      <formula>E23="FAIL"</formula>
    </cfRule>
  </conditionalFormatting>
  <conditionalFormatting sqref="E32">
    <cfRule type="cellIs" dxfId="12" priority="32" operator="equal">
      <formula>"PASS"</formula>
    </cfRule>
    <cfRule type="cellIs" dxfId="11" priority="33" operator="equal">
      <formula>"FAIL"</formula>
    </cfRule>
  </conditionalFormatting>
  <conditionalFormatting sqref="E38:E39">
    <cfRule type="cellIs" dxfId="10" priority="34" operator="equal">
      <formula>"PASS"</formula>
    </cfRule>
    <cfRule type="cellIs" dxfId="9" priority="35" operator="equal">
      <formula>"FAIL"</formula>
    </cfRule>
  </conditionalFormatting>
  <dataValidations count="4">
    <dataValidation type="list" allowBlank="1" showErrorMessage="1" sqref="D7" xr:uid="{00000000-0002-0000-2100-000000000000}">
      <formula1>"No direct contact,8mm insulating material"</formula1>
    </dataValidation>
    <dataValidation type="list" allowBlank="1" showErrorMessage="1" sqref="C14" xr:uid="{00000000-0002-0000-2100-000001000000}">
      <formula1>"UL94 V-0,FAR 25.853(a)(1)(i)"</formula1>
    </dataValidation>
    <dataValidation type="list" allowBlank="1" showErrorMessage="1" sqref="D9" xr:uid="{00000000-0002-0000-2100-000002000000}">
      <formula1>"Solid metal shield with thickness &gt;0.4mm,8mm heat insulation with reflective layer"</formula1>
    </dataValidation>
    <dataValidation type="list" allowBlank="1" showErrorMessage="1" sqref="E7:E9 C15" xr:uid="{00000000-0002-0000-2100-000003000000}">
      <formula1>"No,Yes"</formula1>
    </dataValidation>
  </dataValidations>
  <hyperlinks>
    <hyperlink ref="H3" location="'Cover Sheet'!A1" display="BACK to COVER SHEET" xr:uid="{00000000-0004-0000-2100-000000000000}"/>
  </hyperlinks>
  <pageMargins left="0.75" right="0.75" top="1" bottom="1" header="0" footer="0"/>
  <pageSetup paperSize="9"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C99"/>
  </sheetPr>
  <dimension ref="A1:Z1000"/>
  <sheetViews>
    <sheetView showGridLines="0" workbookViewId="0"/>
  </sheetViews>
  <sheetFormatPr baseColWidth="10" defaultColWidth="12.5703125" defaultRowHeight="15" customHeight="1"/>
  <cols>
    <col min="1" max="1" width="4.42578125" customWidth="1"/>
    <col min="2" max="2" width="29" customWidth="1"/>
    <col min="3" max="3" width="13.42578125" customWidth="1"/>
    <col min="4" max="4" width="7.42578125" customWidth="1"/>
    <col min="5" max="5" width="6.140625" customWidth="1"/>
    <col min="6" max="6" width="7.42578125" customWidth="1"/>
    <col min="7" max="7" width="6.140625" customWidth="1"/>
    <col min="8" max="26" width="11.42578125" customWidth="1"/>
  </cols>
  <sheetData>
    <row r="1" spans="2:7" ht="12.75" customHeight="1">
      <c r="B1" s="213" t="s">
        <v>823</v>
      </c>
    </row>
    <row r="2" spans="2:7" ht="12.75" customHeight="1"/>
    <row r="3" spans="2:7" ht="12.75" customHeight="1">
      <c r="B3" s="412" t="s">
        <v>824</v>
      </c>
      <c r="C3" s="498" t="str">
        <f>IF(C5="YES","CHECK",IF(OR(C16&lt;=1,C16=""),"FAIL",IF(C16&lt;2,"CHECK","PASS")))</f>
        <v>FAIL</v>
      </c>
      <c r="D3" s="753"/>
      <c r="E3" s="598"/>
      <c r="F3" s="754"/>
      <c r="G3" s="598"/>
    </row>
    <row r="4" spans="2:7" ht="12.75" customHeight="1">
      <c r="B4" s="76"/>
      <c r="C4" s="500"/>
      <c r="D4" s="499"/>
      <c r="E4" s="499"/>
      <c r="F4" s="499"/>
      <c r="G4" s="499"/>
    </row>
    <row r="5" spans="2:7" ht="12.75" customHeight="1">
      <c r="B5" s="412" t="s">
        <v>825</v>
      </c>
      <c r="C5" s="418" t="s">
        <v>142</v>
      </c>
      <c r="D5" s="499"/>
      <c r="E5" s="499"/>
      <c r="F5" s="499"/>
      <c r="G5" s="499"/>
    </row>
    <row r="6" spans="2:7" ht="12.75" customHeight="1">
      <c r="B6" s="501" t="str">
        <f>IF(C5="YES","Show proof below","")</f>
        <v/>
      </c>
      <c r="C6" s="502"/>
      <c r="D6" s="131"/>
    </row>
    <row r="7" spans="2:7" ht="12.75" customHeight="1">
      <c r="B7" s="382" t="s">
        <v>826</v>
      </c>
      <c r="C7" s="503"/>
      <c r="D7" s="504"/>
      <c r="E7" s="136"/>
      <c r="F7" s="33"/>
      <c r="G7" s="136"/>
    </row>
    <row r="8" spans="2:7" ht="12.75" customHeight="1">
      <c r="B8" s="243" t="s">
        <v>827</v>
      </c>
      <c r="C8" s="223"/>
      <c r="D8" s="80"/>
      <c r="E8" s="136"/>
      <c r="G8" s="136"/>
    </row>
    <row r="9" spans="2:7" ht="12.75" customHeight="1">
      <c r="B9" s="80" t="s">
        <v>828</v>
      </c>
      <c r="C9" s="214"/>
      <c r="E9" s="81"/>
      <c r="G9" s="81"/>
    </row>
    <row r="10" spans="2:7" ht="12.75" customHeight="1">
      <c r="B10" s="243" t="s">
        <v>829</v>
      </c>
      <c r="C10" s="432">
        <f>C9*C8</f>
        <v>0</v>
      </c>
      <c r="D10" s="505"/>
      <c r="E10" s="136"/>
      <c r="F10" s="33"/>
      <c r="G10" s="136"/>
    </row>
    <row r="11" spans="2:7" ht="12.75" customHeight="1">
      <c r="B11" s="243"/>
      <c r="C11" s="506"/>
      <c r="D11" s="505"/>
      <c r="E11" s="136"/>
      <c r="F11" s="33"/>
      <c r="G11" s="136"/>
    </row>
    <row r="12" spans="2:7" ht="12.75" customHeight="1">
      <c r="B12" s="243" t="s">
        <v>830</v>
      </c>
      <c r="C12" s="413"/>
      <c r="D12" s="505"/>
      <c r="E12" s="136"/>
      <c r="F12" s="33"/>
      <c r="G12" s="136"/>
    </row>
    <row r="13" spans="2:7" ht="12.75" customHeight="1">
      <c r="B13" s="243" t="s">
        <v>744</v>
      </c>
      <c r="C13" s="486"/>
      <c r="D13" s="505"/>
      <c r="E13" s="136"/>
      <c r="F13" s="33"/>
      <c r="G13" s="136"/>
    </row>
    <row r="14" spans="2:7" ht="12.75" customHeight="1">
      <c r="B14" s="243" t="s">
        <v>831</v>
      </c>
      <c r="C14" s="422">
        <f>C12*C13</f>
        <v>0</v>
      </c>
      <c r="D14" s="505"/>
      <c r="E14" s="136"/>
      <c r="F14" s="33"/>
      <c r="G14" s="136"/>
    </row>
    <row r="15" spans="2:7" ht="12.75" customHeight="1">
      <c r="B15" s="243"/>
      <c r="C15" s="243"/>
      <c r="D15" s="80"/>
      <c r="E15" s="136"/>
      <c r="G15" s="136"/>
    </row>
    <row r="16" spans="2:7" ht="12.75" customHeight="1">
      <c r="B16" s="243" t="s">
        <v>832</v>
      </c>
      <c r="C16" s="507" t="str">
        <f>IF(NOT(C14=0),C10/C14,"")</f>
        <v/>
      </c>
      <c r="D16" s="80"/>
      <c r="E16" s="39" t="s">
        <v>252</v>
      </c>
      <c r="G16" s="81"/>
    </row>
    <row r="17" spans="1:26" ht="12.75" customHeight="1">
      <c r="C17" s="23" t="str">
        <f>IF(AND(C16&gt;=1,C16&lt;2),"Safety factor must be &gt;2 as per T3.2.8. Please elaborate.","")</f>
        <v/>
      </c>
    </row>
    <row r="18" spans="1:26" ht="12.75" customHeight="1">
      <c r="B18" s="31" t="s">
        <v>833</v>
      </c>
    </row>
    <row r="19" spans="1:26" ht="12.75" customHeight="1">
      <c r="A19" s="34"/>
      <c r="B19" s="142"/>
      <c r="C19" s="143"/>
      <c r="D19" s="143"/>
      <c r="E19" s="143"/>
      <c r="F19" s="143"/>
      <c r="G19" s="143"/>
      <c r="H19" s="143"/>
      <c r="I19" s="143"/>
      <c r="J19" s="143"/>
      <c r="K19" s="143"/>
      <c r="L19" s="143"/>
      <c r="M19" s="144"/>
      <c r="N19" s="34"/>
      <c r="O19" s="34"/>
      <c r="P19" s="34"/>
      <c r="Q19" s="34"/>
      <c r="R19" s="34"/>
      <c r="S19" s="34"/>
      <c r="T19" s="34"/>
      <c r="U19" s="34"/>
      <c r="V19" s="34"/>
      <c r="W19" s="34"/>
      <c r="X19" s="34"/>
      <c r="Y19" s="34"/>
      <c r="Z19" s="34"/>
    </row>
    <row r="20" spans="1:26" ht="12.75" customHeight="1">
      <c r="A20" s="34"/>
      <c r="B20" s="95"/>
      <c r="C20" s="64"/>
      <c r="D20" s="64"/>
      <c r="E20" s="64"/>
      <c r="F20" s="64"/>
      <c r="G20" s="64"/>
      <c r="H20" s="64"/>
      <c r="I20" s="64"/>
      <c r="J20" s="64"/>
      <c r="K20" s="64"/>
      <c r="L20" s="64"/>
      <c r="M20" s="96"/>
      <c r="N20" s="34"/>
      <c r="O20" s="34"/>
      <c r="P20" s="34"/>
      <c r="Q20" s="34"/>
      <c r="R20" s="34"/>
      <c r="S20" s="34"/>
      <c r="T20" s="34"/>
      <c r="U20" s="34"/>
      <c r="V20" s="34"/>
      <c r="W20" s="34"/>
      <c r="X20" s="34"/>
      <c r="Y20" s="34"/>
      <c r="Z20" s="34"/>
    </row>
    <row r="21" spans="1:26" ht="12.75" customHeight="1">
      <c r="A21" s="34"/>
      <c r="B21" s="95"/>
      <c r="C21" s="64"/>
      <c r="D21" s="64"/>
      <c r="E21" s="64"/>
      <c r="F21" s="64"/>
      <c r="G21" s="64"/>
      <c r="H21" s="64"/>
      <c r="I21" s="64"/>
      <c r="J21" s="64"/>
      <c r="K21" s="64"/>
      <c r="L21" s="64"/>
      <c r="M21" s="96"/>
      <c r="N21" s="34"/>
      <c r="O21" s="34"/>
      <c r="P21" s="34"/>
      <c r="Q21" s="34"/>
      <c r="R21" s="34"/>
      <c r="S21" s="34"/>
      <c r="T21" s="34"/>
      <c r="U21" s="34"/>
      <c r="V21" s="34"/>
      <c r="W21" s="34"/>
      <c r="X21" s="34"/>
      <c r="Y21" s="34"/>
      <c r="Z21" s="34"/>
    </row>
    <row r="22" spans="1:26" ht="12.75" customHeight="1">
      <c r="A22" s="34"/>
      <c r="B22" s="95"/>
      <c r="C22" s="64"/>
      <c r="D22" s="64"/>
      <c r="E22" s="64"/>
      <c r="F22" s="64"/>
      <c r="G22" s="64"/>
      <c r="H22" s="64"/>
      <c r="I22" s="64"/>
      <c r="J22" s="64"/>
      <c r="K22" s="64"/>
      <c r="L22" s="64"/>
      <c r="M22" s="96"/>
      <c r="N22" s="34"/>
      <c r="O22" s="34"/>
      <c r="P22" s="34"/>
      <c r="Q22" s="34"/>
      <c r="R22" s="34"/>
      <c r="S22" s="34"/>
      <c r="T22" s="34"/>
      <c r="U22" s="34"/>
      <c r="V22" s="34"/>
      <c r="W22" s="34"/>
      <c r="X22" s="34"/>
      <c r="Y22" s="34"/>
      <c r="Z22" s="34"/>
    </row>
    <row r="23" spans="1:26" ht="12.75" customHeight="1">
      <c r="A23" s="34"/>
      <c r="B23" s="95"/>
      <c r="C23" s="64"/>
      <c r="D23" s="64"/>
      <c r="E23" s="64"/>
      <c r="F23" s="64"/>
      <c r="G23" s="64"/>
      <c r="H23" s="64"/>
      <c r="I23" s="64"/>
      <c r="J23" s="64"/>
      <c r="K23" s="64"/>
      <c r="L23" s="64"/>
      <c r="M23" s="96"/>
      <c r="N23" s="34"/>
      <c r="O23" s="34"/>
      <c r="P23" s="34"/>
      <c r="Q23" s="34"/>
      <c r="R23" s="34"/>
      <c r="S23" s="34"/>
      <c r="T23" s="34"/>
      <c r="U23" s="34"/>
      <c r="V23" s="34"/>
      <c r="W23" s="34"/>
      <c r="X23" s="34"/>
      <c r="Y23" s="34"/>
      <c r="Z23" s="34"/>
    </row>
    <row r="24" spans="1:26" ht="12.75" customHeight="1">
      <c r="A24" s="34"/>
      <c r="B24" s="95"/>
      <c r="C24" s="64"/>
      <c r="D24" s="64"/>
      <c r="E24" s="64"/>
      <c r="F24" s="64"/>
      <c r="G24" s="64"/>
      <c r="H24" s="64"/>
      <c r="I24" s="64"/>
      <c r="J24" s="64"/>
      <c r="K24" s="64"/>
      <c r="L24" s="64"/>
      <c r="M24" s="96"/>
      <c r="N24" s="34"/>
      <c r="O24" s="34"/>
      <c r="P24" s="34"/>
      <c r="Q24" s="34"/>
      <c r="R24" s="34"/>
      <c r="S24" s="34"/>
      <c r="T24" s="34"/>
      <c r="U24" s="34"/>
      <c r="V24" s="34"/>
      <c r="W24" s="34"/>
      <c r="X24" s="34"/>
      <c r="Y24" s="34"/>
      <c r="Z24" s="34"/>
    </row>
    <row r="25" spans="1:26" ht="12.75" customHeight="1">
      <c r="A25" s="34"/>
      <c r="B25" s="95"/>
      <c r="C25" s="64"/>
      <c r="D25" s="64"/>
      <c r="E25" s="64"/>
      <c r="F25" s="64"/>
      <c r="G25" s="64"/>
      <c r="H25" s="64"/>
      <c r="I25" s="64"/>
      <c r="J25" s="64"/>
      <c r="K25" s="64"/>
      <c r="L25" s="64"/>
      <c r="M25" s="96"/>
      <c r="N25" s="34"/>
      <c r="O25" s="34"/>
      <c r="P25" s="34"/>
      <c r="Q25" s="34"/>
      <c r="R25" s="34"/>
      <c r="S25" s="34"/>
      <c r="T25" s="34"/>
      <c r="U25" s="34"/>
      <c r="V25" s="34"/>
      <c r="W25" s="34"/>
      <c r="X25" s="34"/>
      <c r="Y25" s="34"/>
      <c r="Z25" s="34"/>
    </row>
    <row r="26" spans="1:26" ht="12.75" customHeight="1">
      <c r="A26" s="34"/>
      <c r="B26" s="95"/>
      <c r="C26" s="64"/>
      <c r="D26" s="64"/>
      <c r="E26" s="64"/>
      <c r="F26" s="64"/>
      <c r="G26" s="64"/>
      <c r="H26" s="64"/>
      <c r="I26" s="64"/>
      <c r="J26" s="64"/>
      <c r="K26" s="64"/>
      <c r="L26" s="64"/>
      <c r="M26" s="96"/>
      <c r="N26" s="34"/>
      <c r="O26" s="34"/>
      <c r="P26" s="34"/>
      <c r="Q26" s="34"/>
      <c r="R26" s="34"/>
      <c r="S26" s="34"/>
      <c r="T26" s="34"/>
      <c r="U26" s="34"/>
      <c r="V26" s="34"/>
      <c r="W26" s="34"/>
      <c r="X26" s="34"/>
      <c r="Y26" s="34"/>
      <c r="Z26" s="34"/>
    </row>
    <row r="27" spans="1:26" ht="12.75" customHeight="1">
      <c r="A27" s="34"/>
      <c r="B27" s="95"/>
      <c r="C27" s="64"/>
      <c r="D27" s="64"/>
      <c r="E27" s="64"/>
      <c r="F27" s="64"/>
      <c r="G27" s="64"/>
      <c r="H27" s="64"/>
      <c r="I27" s="64"/>
      <c r="J27" s="64"/>
      <c r="K27" s="64"/>
      <c r="L27" s="64"/>
      <c r="M27" s="96"/>
      <c r="N27" s="34"/>
      <c r="O27" s="34"/>
      <c r="P27" s="34"/>
      <c r="Q27" s="34"/>
      <c r="R27" s="34"/>
      <c r="S27" s="34"/>
      <c r="T27" s="34"/>
      <c r="U27" s="34"/>
      <c r="V27" s="34"/>
      <c r="W27" s="34"/>
      <c r="X27" s="34"/>
      <c r="Y27" s="34"/>
      <c r="Z27" s="34"/>
    </row>
    <row r="28" spans="1:26" ht="12.75" customHeight="1">
      <c r="A28" s="34"/>
      <c r="B28" s="95"/>
      <c r="C28" s="64"/>
      <c r="D28" s="64"/>
      <c r="E28" s="64"/>
      <c r="F28" s="64"/>
      <c r="G28" s="64"/>
      <c r="H28" s="64"/>
      <c r="I28" s="64"/>
      <c r="J28" s="64"/>
      <c r="K28" s="64"/>
      <c r="L28" s="64"/>
      <c r="M28" s="96"/>
      <c r="N28" s="34"/>
      <c r="O28" s="34"/>
      <c r="P28" s="34"/>
      <c r="Q28" s="34"/>
      <c r="R28" s="34"/>
      <c r="S28" s="34"/>
      <c r="T28" s="34"/>
      <c r="U28" s="34"/>
      <c r="V28" s="34"/>
      <c r="W28" s="34"/>
      <c r="X28" s="34"/>
      <c r="Y28" s="34"/>
      <c r="Z28" s="34"/>
    </row>
    <row r="29" spans="1:26" ht="12.75" customHeight="1">
      <c r="A29" s="34"/>
      <c r="B29" s="95"/>
      <c r="C29" s="64"/>
      <c r="D29" s="64"/>
      <c r="E29" s="64"/>
      <c r="F29" s="64"/>
      <c r="G29" s="64"/>
      <c r="H29" s="64"/>
      <c r="I29" s="64"/>
      <c r="J29" s="64"/>
      <c r="K29" s="64"/>
      <c r="L29" s="64"/>
      <c r="M29" s="96"/>
      <c r="N29" s="34"/>
      <c r="O29" s="34"/>
      <c r="P29" s="34"/>
      <c r="Q29" s="34"/>
      <c r="R29" s="34"/>
      <c r="S29" s="34"/>
      <c r="T29" s="34"/>
      <c r="U29" s="34"/>
      <c r="V29" s="34"/>
      <c r="W29" s="34"/>
      <c r="X29" s="34"/>
      <c r="Y29" s="34"/>
      <c r="Z29" s="34"/>
    </row>
    <row r="30" spans="1:26" ht="12.75" customHeight="1">
      <c r="A30" s="34"/>
      <c r="B30" s="95"/>
      <c r="C30" s="64"/>
      <c r="D30" s="64"/>
      <c r="E30" s="64"/>
      <c r="F30" s="64"/>
      <c r="G30" s="64"/>
      <c r="H30" s="64"/>
      <c r="I30" s="64"/>
      <c r="J30" s="64"/>
      <c r="K30" s="64"/>
      <c r="L30" s="64"/>
      <c r="M30" s="96"/>
      <c r="N30" s="34"/>
      <c r="O30" s="34"/>
      <c r="P30" s="34"/>
      <c r="Q30" s="34"/>
      <c r="R30" s="34"/>
      <c r="S30" s="34"/>
      <c r="T30" s="34"/>
      <c r="U30" s="34"/>
      <c r="V30" s="34"/>
      <c r="W30" s="34"/>
      <c r="X30" s="34"/>
      <c r="Y30" s="34"/>
      <c r="Z30" s="34"/>
    </row>
    <row r="31" spans="1:26" ht="12.75" customHeight="1">
      <c r="A31" s="34"/>
      <c r="B31" s="95"/>
      <c r="C31" s="64"/>
      <c r="D31" s="64"/>
      <c r="E31" s="64"/>
      <c r="F31" s="64"/>
      <c r="G31" s="64"/>
      <c r="H31" s="64"/>
      <c r="I31" s="64"/>
      <c r="J31" s="64"/>
      <c r="K31" s="64"/>
      <c r="L31" s="64"/>
      <c r="M31" s="96"/>
      <c r="N31" s="34"/>
      <c r="O31" s="34"/>
      <c r="P31" s="34"/>
      <c r="Q31" s="34"/>
      <c r="R31" s="34"/>
      <c r="S31" s="34"/>
      <c r="T31" s="34"/>
      <c r="U31" s="34"/>
      <c r="V31" s="34"/>
      <c r="W31" s="34"/>
      <c r="X31" s="34"/>
      <c r="Y31" s="34"/>
      <c r="Z31" s="34"/>
    </row>
    <row r="32" spans="1:26" ht="12.75" customHeight="1">
      <c r="A32" s="34"/>
      <c r="B32" s="95"/>
      <c r="C32" s="64"/>
      <c r="D32" s="64"/>
      <c r="E32" s="64"/>
      <c r="F32" s="64"/>
      <c r="G32" s="64"/>
      <c r="H32" s="64"/>
      <c r="I32" s="64"/>
      <c r="J32" s="64"/>
      <c r="K32" s="64"/>
      <c r="L32" s="64"/>
      <c r="M32" s="96"/>
      <c r="N32" s="34"/>
      <c r="O32" s="34"/>
      <c r="P32" s="34"/>
      <c r="Q32" s="34"/>
      <c r="R32" s="34"/>
      <c r="S32" s="34"/>
      <c r="T32" s="34"/>
      <c r="U32" s="34"/>
      <c r="V32" s="34"/>
      <c r="W32" s="34"/>
      <c r="X32" s="34"/>
      <c r="Y32" s="34"/>
      <c r="Z32" s="34"/>
    </row>
    <row r="33" spans="1:26" ht="12.75" customHeight="1">
      <c r="A33" s="34"/>
      <c r="B33" s="95"/>
      <c r="C33" s="64"/>
      <c r="D33" s="64"/>
      <c r="E33" s="64"/>
      <c r="F33" s="64"/>
      <c r="G33" s="64"/>
      <c r="H33" s="64"/>
      <c r="I33" s="64"/>
      <c r="J33" s="64"/>
      <c r="K33" s="64"/>
      <c r="L33" s="64"/>
      <c r="M33" s="96"/>
      <c r="N33" s="34"/>
      <c r="O33" s="34"/>
      <c r="P33" s="34"/>
      <c r="Q33" s="34"/>
      <c r="R33" s="34"/>
      <c r="S33" s="34"/>
      <c r="T33" s="34"/>
      <c r="U33" s="34"/>
      <c r="V33" s="34"/>
      <c r="W33" s="34"/>
      <c r="X33" s="34"/>
      <c r="Y33" s="34"/>
      <c r="Z33" s="34"/>
    </row>
    <row r="34" spans="1:26" ht="12.75" customHeight="1">
      <c r="A34" s="34"/>
      <c r="B34" s="95"/>
      <c r="C34" s="64"/>
      <c r="D34" s="64"/>
      <c r="E34" s="64"/>
      <c r="F34" s="64"/>
      <c r="G34" s="64"/>
      <c r="H34" s="64"/>
      <c r="I34" s="64"/>
      <c r="J34" s="64"/>
      <c r="K34" s="64"/>
      <c r="L34" s="64"/>
      <c r="M34" s="96"/>
      <c r="N34" s="34"/>
      <c r="O34" s="34"/>
      <c r="P34" s="34"/>
      <c r="Q34" s="34"/>
      <c r="R34" s="34"/>
      <c r="S34" s="34"/>
      <c r="T34" s="34"/>
      <c r="U34" s="34"/>
      <c r="V34" s="34"/>
      <c r="W34" s="34"/>
      <c r="X34" s="34"/>
      <c r="Y34" s="34"/>
      <c r="Z34" s="34"/>
    </row>
    <row r="35" spans="1:26" ht="12.75" customHeight="1">
      <c r="A35" s="34"/>
      <c r="B35" s="95"/>
      <c r="C35" s="64"/>
      <c r="D35" s="64"/>
      <c r="E35" s="64"/>
      <c r="F35" s="64"/>
      <c r="G35" s="64"/>
      <c r="H35" s="64"/>
      <c r="I35" s="64"/>
      <c r="J35" s="64"/>
      <c r="K35" s="64"/>
      <c r="L35" s="64"/>
      <c r="M35" s="96"/>
      <c r="N35" s="34"/>
      <c r="O35" s="34"/>
      <c r="P35" s="34"/>
      <c r="Q35" s="34"/>
      <c r="R35" s="34"/>
      <c r="S35" s="34"/>
      <c r="T35" s="34"/>
      <c r="U35" s="34"/>
      <c r="V35" s="34"/>
      <c r="W35" s="34"/>
      <c r="X35" s="34"/>
      <c r="Y35" s="34"/>
      <c r="Z35" s="34"/>
    </row>
    <row r="36" spans="1:26" ht="12.75" customHeight="1">
      <c r="A36" s="34"/>
      <c r="B36" s="95"/>
      <c r="C36" s="64"/>
      <c r="D36" s="64"/>
      <c r="E36" s="64"/>
      <c r="F36" s="64"/>
      <c r="G36" s="64"/>
      <c r="H36" s="64"/>
      <c r="I36" s="64"/>
      <c r="J36" s="64"/>
      <c r="K36" s="64"/>
      <c r="L36" s="64"/>
      <c r="M36" s="96"/>
      <c r="N36" s="34"/>
      <c r="O36" s="34"/>
      <c r="P36" s="34"/>
      <c r="Q36" s="34"/>
      <c r="R36" s="34"/>
      <c r="S36" s="34"/>
      <c r="T36" s="34"/>
      <c r="U36" s="34"/>
      <c r="V36" s="34"/>
      <c r="W36" s="34"/>
      <c r="X36" s="34"/>
      <c r="Y36" s="34"/>
      <c r="Z36" s="34"/>
    </row>
    <row r="37" spans="1:26" ht="12.75" customHeight="1">
      <c r="A37" s="34"/>
      <c r="B37" s="95"/>
      <c r="C37" s="64"/>
      <c r="D37" s="64"/>
      <c r="E37" s="64"/>
      <c r="F37" s="64"/>
      <c r="G37" s="64"/>
      <c r="H37" s="64"/>
      <c r="I37" s="64"/>
      <c r="J37" s="64"/>
      <c r="K37" s="64"/>
      <c r="L37" s="64"/>
      <c r="M37" s="96"/>
      <c r="N37" s="34"/>
      <c r="O37" s="34"/>
      <c r="P37" s="34"/>
      <c r="Q37" s="34"/>
      <c r="R37" s="34"/>
      <c r="S37" s="34"/>
      <c r="T37" s="34"/>
      <c r="U37" s="34"/>
      <c r="V37" s="34"/>
      <c r="W37" s="34"/>
      <c r="X37" s="34"/>
      <c r="Y37" s="34"/>
      <c r="Z37" s="34"/>
    </row>
    <row r="38" spans="1:26" ht="12.75" customHeight="1">
      <c r="A38" s="34"/>
      <c r="B38" s="95"/>
      <c r="C38" s="64"/>
      <c r="D38" s="64"/>
      <c r="E38" s="64"/>
      <c r="F38" s="64"/>
      <c r="G38" s="64"/>
      <c r="H38" s="64"/>
      <c r="I38" s="64"/>
      <c r="J38" s="64"/>
      <c r="K38" s="64"/>
      <c r="L38" s="64"/>
      <c r="M38" s="96"/>
      <c r="N38" s="34"/>
      <c r="O38" s="34"/>
      <c r="P38" s="34"/>
      <c r="Q38" s="34"/>
      <c r="R38" s="34"/>
      <c r="S38" s="34"/>
      <c r="T38" s="34"/>
      <c r="U38" s="34"/>
      <c r="V38" s="34"/>
      <c r="W38" s="34"/>
      <c r="X38" s="34"/>
      <c r="Y38" s="34"/>
      <c r="Z38" s="34"/>
    </row>
    <row r="39" spans="1:26" ht="12.75" customHeight="1">
      <c r="A39" s="34"/>
      <c r="B39" s="95"/>
      <c r="C39" s="64"/>
      <c r="D39" s="64"/>
      <c r="E39" s="64"/>
      <c r="F39" s="64"/>
      <c r="G39" s="64"/>
      <c r="H39" s="64"/>
      <c r="I39" s="64"/>
      <c r="J39" s="64"/>
      <c r="K39" s="64"/>
      <c r="L39" s="64"/>
      <c r="M39" s="96"/>
      <c r="N39" s="34"/>
      <c r="O39" s="34"/>
      <c r="P39" s="34"/>
      <c r="Q39" s="34"/>
      <c r="R39" s="34"/>
      <c r="S39" s="34"/>
      <c r="T39" s="34"/>
      <c r="U39" s="34"/>
      <c r="V39" s="34"/>
      <c r="W39" s="34"/>
      <c r="X39" s="34"/>
      <c r="Y39" s="34"/>
      <c r="Z39" s="34"/>
    </row>
    <row r="40" spans="1:26" ht="12.75" customHeight="1">
      <c r="A40" s="34"/>
      <c r="B40" s="95"/>
      <c r="C40" s="64"/>
      <c r="D40" s="64"/>
      <c r="E40" s="64"/>
      <c r="F40" s="64"/>
      <c r="G40" s="64"/>
      <c r="H40" s="64"/>
      <c r="I40" s="64"/>
      <c r="J40" s="64"/>
      <c r="K40" s="64"/>
      <c r="L40" s="64"/>
      <c r="M40" s="96"/>
      <c r="N40" s="34"/>
      <c r="O40" s="34"/>
      <c r="P40" s="34"/>
      <c r="Q40" s="34"/>
      <c r="R40" s="34"/>
      <c r="S40" s="34"/>
      <c r="T40" s="34"/>
      <c r="U40" s="34"/>
      <c r="V40" s="34"/>
      <c r="W40" s="34"/>
      <c r="X40" s="34"/>
      <c r="Y40" s="34"/>
      <c r="Z40" s="34"/>
    </row>
    <row r="41" spans="1:26" ht="12.75" customHeight="1">
      <c r="A41" s="34"/>
      <c r="B41" s="95"/>
      <c r="C41" s="64"/>
      <c r="D41" s="64"/>
      <c r="E41" s="64"/>
      <c r="F41" s="64"/>
      <c r="G41" s="64"/>
      <c r="H41" s="64"/>
      <c r="I41" s="64"/>
      <c r="J41" s="64"/>
      <c r="K41" s="64"/>
      <c r="L41" s="64"/>
      <c r="M41" s="96"/>
      <c r="N41" s="34"/>
      <c r="O41" s="34"/>
      <c r="P41" s="34"/>
      <c r="Q41" s="34"/>
      <c r="R41" s="34"/>
      <c r="S41" s="34"/>
      <c r="T41" s="34"/>
      <c r="U41" s="34"/>
      <c r="V41" s="34"/>
      <c r="W41" s="34"/>
      <c r="X41" s="34"/>
      <c r="Y41" s="34"/>
      <c r="Z41" s="34"/>
    </row>
    <row r="42" spans="1:26" ht="12.75" customHeight="1">
      <c r="A42" s="34"/>
      <c r="B42" s="95"/>
      <c r="C42" s="64"/>
      <c r="D42" s="64"/>
      <c r="E42" s="64"/>
      <c r="F42" s="64"/>
      <c r="G42" s="64"/>
      <c r="H42" s="64"/>
      <c r="I42" s="64"/>
      <c r="J42" s="64"/>
      <c r="K42" s="64"/>
      <c r="L42" s="64"/>
      <c r="M42" s="96"/>
      <c r="N42" s="34"/>
      <c r="O42" s="34"/>
      <c r="P42" s="34"/>
      <c r="Q42" s="34"/>
      <c r="R42" s="34"/>
      <c r="S42" s="34"/>
      <c r="T42" s="34"/>
      <c r="U42" s="34"/>
      <c r="V42" s="34"/>
      <c r="W42" s="34"/>
      <c r="X42" s="34"/>
      <c r="Y42" s="34"/>
      <c r="Z42" s="34"/>
    </row>
    <row r="43" spans="1:26" ht="12.75" customHeight="1">
      <c r="A43" s="34"/>
      <c r="B43" s="95"/>
      <c r="C43" s="64"/>
      <c r="D43" s="64"/>
      <c r="E43" s="64"/>
      <c r="F43" s="64"/>
      <c r="G43" s="64"/>
      <c r="H43" s="64"/>
      <c r="I43" s="64"/>
      <c r="J43" s="64"/>
      <c r="K43" s="64"/>
      <c r="L43" s="64"/>
      <c r="M43" s="96"/>
      <c r="N43" s="34"/>
      <c r="O43" s="34"/>
      <c r="P43" s="34"/>
      <c r="Q43" s="34"/>
      <c r="R43" s="34"/>
      <c r="S43" s="34"/>
      <c r="T43" s="34"/>
      <c r="U43" s="34"/>
      <c r="V43" s="34"/>
      <c r="W43" s="34"/>
      <c r="X43" s="34"/>
      <c r="Y43" s="34"/>
      <c r="Z43" s="34"/>
    </row>
    <row r="44" spans="1:26" ht="12.75" customHeight="1">
      <c r="A44" s="34"/>
      <c r="B44" s="95"/>
      <c r="C44" s="64"/>
      <c r="D44" s="64"/>
      <c r="E44" s="64"/>
      <c r="F44" s="64"/>
      <c r="G44" s="64"/>
      <c r="H44" s="64"/>
      <c r="I44" s="64"/>
      <c r="J44" s="64"/>
      <c r="K44" s="64"/>
      <c r="L44" s="64"/>
      <c r="M44" s="96"/>
      <c r="N44" s="34"/>
      <c r="O44" s="34"/>
      <c r="P44" s="34"/>
      <c r="Q44" s="34"/>
      <c r="R44" s="34"/>
      <c r="S44" s="34"/>
      <c r="T44" s="34"/>
      <c r="U44" s="34"/>
      <c r="V44" s="34"/>
      <c r="W44" s="34"/>
      <c r="X44" s="34"/>
      <c r="Y44" s="34"/>
      <c r="Z44" s="34"/>
    </row>
    <row r="45" spans="1:26" ht="12.75" customHeight="1">
      <c r="A45" s="34"/>
      <c r="B45" s="95"/>
      <c r="C45" s="64"/>
      <c r="D45" s="64"/>
      <c r="E45" s="64"/>
      <c r="F45" s="64"/>
      <c r="G45" s="64"/>
      <c r="H45" s="64"/>
      <c r="I45" s="64"/>
      <c r="J45" s="64"/>
      <c r="K45" s="64"/>
      <c r="L45" s="64"/>
      <c r="M45" s="96"/>
      <c r="N45" s="34"/>
      <c r="O45" s="34"/>
      <c r="P45" s="34"/>
      <c r="Q45" s="34"/>
      <c r="R45" s="34"/>
      <c r="S45" s="34"/>
      <c r="T45" s="34"/>
      <c r="U45" s="34"/>
      <c r="V45" s="34"/>
      <c r="W45" s="34"/>
      <c r="X45" s="34"/>
      <c r="Y45" s="34"/>
      <c r="Z45" s="34"/>
    </row>
    <row r="46" spans="1:26" ht="12.75" customHeight="1">
      <c r="A46" s="34"/>
      <c r="B46" s="95"/>
      <c r="C46" s="64"/>
      <c r="D46" s="64"/>
      <c r="E46" s="64"/>
      <c r="F46" s="64"/>
      <c r="G46" s="64"/>
      <c r="H46" s="64"/>
      <c r="I46" s="64"/>
      <c r="J46" s="64"/>
      <c r="K46" s="64"/>
      <c r="L46" s="64"/>
      <c r="M46" s="96"/>
      <c r="N46" s="34"/>
      <c r="O46" s="34"/>
      <c r="P46" s="34"/>
      <c r="Q46" s="34"/>
      <c r="R46" s="34"/>
      <c r="S46" s="34"/>
      <c r="T46" s="34"/>
      <c r="U46" s="34"/>
      <c r="V46" s="34"/>
      <c r="W46" s="34"/>
      <c r="X46" s="34"/>
      <c r="Y46" s="34"/>
      <c r="Z46" s="34"/>
    </row>
    <row r="47" spans="1:26" ht="12.75" customHeight="1">
      <c r="A47" s="34"/>
      <c r="B47" s="95"/>
      <c r="C47" s="64"/>
      <c r="D47" s="64"/>
      <c r="E47" s="64"/>
      <c r="F47" s="64"/>
      <c r="G47" s="64"/>
      <c r="H47" s="64"/>
      <c r="I47" s="64"/>
      <c r="J47" s="64"/>
      <c r="K47" s="64"/>
      <c r="L47" s="64"/>
      <c r="M47" s="96"/>
      <c r="N47" s="34"/>
      <c r="O47" s="34"/>
      <c r="P47" s="34"/>
      <c r="Q47" s="34"/>
      <c r="R47" s="34"/>
      <c r="S47" s="34"/>
      <c r="T47" s="34"/>
      <c r="U47" s="34"/>
      <c r="V47" s="34"/>
      <c r="W47" s="34"/>
      <c r="X47" s="34"/>
      <c r="Y47" s="34"/>
      <c r="Z47" s="34"/>
    </row>
    <row r="48" spans="1:26" ht="12.75" customHeight="1">
      <c r="A48" s="34"/>
      <c r="B48" s="95"/>
      <c r="C48" s="64"/>
      <c r="D48" s="64"/>
      <c r="E48" s="64"/>
      <c r="F48" s="64"/>
      <c r="G48" s="64"/>
      <c r="H48" s="64"/>
      <c r="I48" s="64"/>
      <c r="J48" s="64"/>
      <c r="K48" s="64"/>
      <c r="L48" s="64"/>
      <c r="M48" s="96"/>
      <c r="N48" s="34"/>
      <c r="O48" s="34"/>
      <c r="P48" s="34"/>
      <c r="Q48" s="34"/>
      <c r="R48" s="34"/>
      <c r="S48" s="34"/>
      <c r="T48" s="34"/>
      <c r="U48" s="34"/>
      <c r="V48" s="34"/>
      <c r="W48" s="34"/>
      <c r="X48" s="34"/>
      <c r="Y48" s="34"/>
      <c r="Z48" s="34"/>
    </row>
    <row r="49" spans="1:26" ht="12.75" customHeight="1">
      <c r="A49" s="34"/>
      <c r="B49" s="95"/>
      <c r="C49" s="64"/>
      <c r="D49" s="64"/>
      <c r="E49" s="64"/>
      <c r="F49" s="64"/>
      <c r="G49" s="64"/>
      <c r="H49" s="64"/>
      <c r="I49" s="64"/>
      <c r="J49" s="64"/>
      <c r="K49" s="64"/>
      <c r="L49" s="64"/>
      <c r="M49" s="96"/>
      <c r="N49" s="34"/>
      <c r="O49" s="34"/>
      <c r="P49" s="34"/>
      <c r="Q49" s="34"/>
      <c r="R49" s="34"/>
      <c r="S49" s="34"/>
      <c r="T49" s="34"/>
      <c r="U49" s="34"/>
      <c r="V49" s="34"/>
      <c r="W49" s="34"/>
      <c r="X49" s="34"/>
      <c r="Y49" s="34"/>
      <c r="Z49" s="34"/>
    </row>
    <row r="50" spans="1:26" ht="12.75" customHeight="1">
      <c r="A50" s="34"/>
      <c r="B50" s="95"/>
      <c r="C50" s="64"/>
      <c r="D50" s="64"/>
      <c r="E50" s="64"/>
      <c r="F50" s="64"/>
      <c r="G50" s="64"/>
      <c r="H50" s="64"/>
      <c r="I50" s="64"/>
      <c r="J50" s="64"/>
      <c r="K50" s="64"/>
      <c r="L50" s="64"/>
      <c r="M50" s="96"/>
      <c r="N50" s="34"/>
      <c r="O50" s="34"/>
      <c r="P50" s="34"/>
      <c r="Q50" s="34"/>
      <c r="R50" s="34"/>
      <c r="S50" s="34"/>
      <c r="T50" s="34"/>
      <c r="U50" s="34"/>
      <c r="V50" s="34"/>
      <c r="W50" s="34"/>
      <c r="X50" s="34"/>
      <c r="Y50" s="34"/>
      <c r="Z50" s="34"/>
    </row>
    <row r="51" spans="1:26" ht="12.75" customHeight="1">
      <c r="A51" s="34"/>
      <c r="B51" s="95"/>
      <c r="C51" s="64"/>
      <c r="D51" s="64"/>
      <c r="E51" s="64"/>
      <c r="F51" s="64"/>
      <c r="G51" s="64"/>
      <c r="H51" s="64"/>
      <c r="I51" s="64"/>
      <c r="J51" s="64"/>
      <c r="K51" s="64"/>
      <c r="L51" s="64"/>
      <c r="M51" s="96"/>
      <c r="N51" s="34"/>
      <c r="O51" s="34"/>
      <c r="P51" s="34"/>
      <c r="Q51" s="34"/>
      <c r="R51" s="34"/>
      <c r="S51" s="34"/>
      <c r="T51" s="34"/>
      <c r="U51" s="34"/>
      <c r="V51" s="34"/>
      <c r="W51" s="34"/>
      <c r="X51" s="34"/>
      <c r="Y51" s="34"/>
      <c r="Z51" s="34"/>
    </row>
    <row r="52" spans="1:26" ht="12.75" customHeight="1">
      <c r="A52" s="34"/>
      <c r="B52" s="95"/>
      <c r="C52" s="64"/>
      <c r="D52" s="64"/>
      <c r="E52" s="64"/>
      <c r="F52" s="64"/>
      <c r="G52" s="64"/>
      <c r="H52" s="64"/>
      <c r="I52" s="64"/>
      <c r="J52" s="64"/>
      <c r="K52" s="64"/>
      <c r="L52" s="64"/>
      <c r="M52" s="96"/>
      <c r="N52" s="34"/>
      <c r="O52" s="34"/>
      <c r="P52" s="34"/>
      <c r="Q52" s="34"/>
      <c r="R52" s="34"/>
      <c r="S52" s="34"/>
      <c r="T52" s="34"/>
      <c r="U52" s="34"/>
      <c r="V52" s="34"/>
      <c r="W52" s="34"/>
      <c r="X52" s="34"/>
      <c r="Y52" s="34"/>
      <c r="Z52" s="34"/>
    </row>
    <row r="53" spans="1:26" ht="12.75" customHeight="1">
      <c r="A53" s="34"/>
      <c r="B53" s="95"/>
      <c r="C53" s="64"/>
      <c r="D53" s="64"/>
      <c r="E53" s="64"/>
      <c r="F53" s="64"/>
      <c r="G53" s="64"/>
      <c r="H53" s="64"/>
      <c r="I53" s="64"/>
      <c r="J53" s="64"/>
      <c r="K53" s="64"/>
      <c r="L53" s="64"/>
      <c r="M53" s="96"/>
      <c r="N53" s="34"/>
      <c r="O53" s="34"/>
      <c r="P53" s="34"/>
      <c r="Q53" s="34"/>
      <c r="R53" s="34"/>
      <c r="S53" s="34"/>
      <c r="T53" s="34"/>
      <c r="U53" s="34"/>
      <c r="V53" s="34"/>
      <c r="W53" s="34"/>
      <c r="X53" s="34"/>
      <c r="Y53" s="34"/>
      <c r="Z53" s="34"/>
    </row>
    <row r="54" spans="1:26" ht="12.75" customHeight="1">
      <c r="A54" s="34"/>
      <c r="B54" s="95"/>
      <c r="C54" s="64"/>
      <c r="D54" s="64"/>
      <c r="E54" s="64"/>
      <c r="F54" s="64"/>
      <c r="G54" s="64"/>
      <c r="H54" s="64"/>
      <c r="I54" s="64"/>
      <c r="J54" s="64"/>
      <c r="K54" s="64"/>
      <c r="L54" s="64"/>
      <c r="M54" s="96"/>
      <c r="N54" s="34"/>
      <c r="O54" s="34"/>
      <c r="P54" s="34"/>
      <c r="Q54" s="34"/>
      <c r="R54" s="34"/>
      <c r="S54" s="34"/>
      <c r="T54" s="34"/>
      <c r="U54" s="34"/>
      <c r="V54" s="34"/>
      <c r="W54" s="34"/>
      <c r="X54" s="34"/>
      <c r="Y54" s="34"/>
      <c r="Z54" s="34"/>
    </row>
    <row r="55" spans="1:26" ht="12.75" customHeight="1">
      <c r="A55" s="34"/>
      <c r="B55" s="95"/>
      <c r="C55" s="64"/>
      <c r="D55" s="64"/>
      <c r="E55" s="64"/>
      <c r="F55" s="64"/>
      <c r="G55" s="64"/>
      <c r="H55" s="64"/>
      <c r="I55" s="64"/>
      <c r="J55" s="64"/>
      <c r="K55" s="64"/>
      <c r="L55" s="64"/>
      <c r="M55" s="96"/>
      <c r="N55" s="34"/>
      <c r="O55" s="34"/>
      <c r="P55" s="34"/>
      <c r="Q55" s="34"/>
      <c r="R55" s="34"/>
      <c r="S55" s="34"/>
      <c r="T55" s="34"/>
      <c r="U55" s="34"/>
      <c r="V55" s="34"/>
      <c r="W55" s="34"/>
      <c r="X55" s="34"/>
      <c r="Y55" s="34"/>
      <c r="Z55" s="34"/>
    </row>
    <row r="56" spans="1:26" ht="12.75" customHeight="1">
      <c r="A56" s="34"/>
      <c r="B56" s="95"/>
      <c r="C56" s="64"/>
      <c r="D56" s="64"/>
      <c r="E56" s="64"/>
      <c r="F56" s="64"/>
      <c r="G56" s="64"/>
      <c r="H56" s="64"/>
      <c r="I56" s="64"/>
      <c r="J56" s="64"/>
      <c r="K56" s="64"/>
      <c r="L56" s="64"/>
      <c r="M56" s="96"/>
      <c r="N56" s="34"/>
      <c r="O56" s="34"/>
      <c r="P56" s="34"/>
      <c r="Q56" s="34"/>
      <c r="R56" s="34"/>
      <c r="S56" s="34"/>
      <c r="T56" s="34"/>
      <c r="U56" s="34"/>
      <c r="V56" s="34"/>
      <c r="W56" s="34"/>
      <c r="X56" s="34"/>
      <c r="Y56" s="34"/>
      <c r="Z56" s="34"/>
    </row>
    <row r="57" spans="1:26" ht="12.75" customHeight="1">
      <c r="A57" s="34"/>
      <c r="B57" s="95"/>
      <c r="C57" s="64"/>
      <c r="D57" s="64"/>
      <c r="E57" s="64"/>
      <c r="F57" s="64"/>
      <c r="G57" s="64"/>
      <c r="H57" s="64"/>
      <c r="I57" s="64"/>
      <c r="J57" s="64"/>
      <c r="K57" s="64"/>
      <c r="L57" s="64"/>
      <c r="M57" s="96"/>
      <c r="N57" s="34"/>
      <c r="O57" s="34"/>
      <c r="P57" s="34"/>
      <c r="Q57" s="34"/>
      <c r="R57" s="34"/>
      <c r="S57" s="34"/>
      <c r="T57" s="34"/>
      <c r="U57" s="34"/>
      <c r="V57" s="34"/>
      <c r="W57" s="34"/>
      <c r="X57" s="34"/>
      <c r="Y57" s="34"/>
      <c r="Z57" s="34"/>
    </row>
    <row r="58" spans="1:26" ht="12.75" customHeight="1">
      <c r="A58" s="34"/>
      <c r="B58" s="95"/>
      <c r="C58" s="64"/>
      <c r="D58" s="64"/>
      <c r="E58" s="64"/>
      <c r="F58" s="64"/>
      <c r="G58" s="64"/>
      <c r="H58" s="64"/>
      <c r="I58" s="64"/>
      <c r="J58" s="64"/>
      <c r="K58" s="64"/>
      <c r="L58" s="64"/>
      <c r="M58" s="96"/>
      <c r="N58" s="34"/>
      <c r="O58" s="34"/>
      <c r="P58" s="34"/>
      <c r="Q58" s="34"/>
      <c r="R58" s="34"/>
      <c r="S58" s="34"/>
      <c r="T58" s="34"/>
      <c r="U58" s="34"/>
      <c r="V58" s="34"/>
      <c r="W58" s="34"/>
      <c r="X58" s="34"/>
      <c r="Y58" s="34"/>
      <c r="Z58" s="34"/>
    </row>
    <row r="59" spans="1:26" ht="12.75" customHeight="1">
      <c r="A59" s="34"/>
      <c r="B59" s="95"/>
      <c r="C59" s="64"/>
      <c r="D59" s="64"/>
      <c r="E59" s="64"/>
      <c r="F59" s="64"/>
      <c r="G59" s="64"/>
      <c r="H59" s="64"/>
      <c r="I59" s="64"/>
      <c r="J59" s="64"/>
      <c r="K59" s="64"/>
      <c r="L59" s="64"/>
      <c r="M59" s="96"/>
      <c r="N59" s="34"/>
      <c r="O59" s="34"/>
      <c r="P59" s="34"/>
      <c r="Q59" s="34"/>
      <c r="R59" s="34"/>
      <c r="S59" s="34"/>
      <c r="T59" s="34"/>
      <c r="U59" s="34"/>
      <c r="V59" s="34"/>
      <c r="W59" s="34"/>
      <c r="X59" s="34"/>
      <c r="Y59" s="34"/>
      <c r="Z59" s="34"/>
    </row>
    <row r="60" spans="1:26" ht="12.75" customHeight="1">
      <c r="A60" s="34"/>
      <c r="B60" s="95"/>
      <c r="C60" s="64"/>
      <c r="D60" s="64"/>
      <c r="E60" s="64"/>
      <c r="F60" s="64"/>
      <c r="G60" s="64"/>
      <c r="H60" s="64"/>
      <c r="I60" s="64"/>
      <c r="J60" s="64"/>
      <c r="K60" s="64"/>
      <c r="L60" s="64"/>
      <c r="M60" s="96"/>
      <c r="N60" s="34"/>
      <c r="O60" s="34"/>
      <c r="P60" s="34"/>
      <c r="Q60" s="34"/>
      <c r="R60" s="34"/>
      <c r="S60" s="34"/>
      <c r="T60" s="34"/>
      <c r="U60" s="34"/>
      <c r="V60" s="34"/>
      <c r="W60" s="34"/>
      <c r="X60" s="34"/>
      <c r="Y60" s="34"/>
      <c r="Z60" s="34"/>
    </row>
    <row r="61" spans="1:26" ht="12.75" customHeight="1">
      <c r="A61" s="34"/>
      <c r="B61" s="95"/>
      <c r="C61" s="64"/>
      <c r="D61" s="64"/>
      <c r="E61" s="64"/>
      <c r="F61" s="64"/>
      <c r="G61" s="64"/>
      <c r="H61" s="64"/>
      <c r="I61" s="64"/>
      <c r="J61" s="64"/>
      <c r="K61" s="64"/>
      <c r="L61" s="64"/>
      <c r="M61" s="96"/>
      <c r="N61" s="34"/>
      <c r="O61" s="34"/>
      <c r="P61" s="34"/>
      <c r="Q61" s="34"/>
      <c r="R61" s="34"/>
      <c r="S61" s="34"/>
      <c r="T61" s="34"/>
      <c r="U61" s="34"/>
      <c r="V61" s="34"/>
      <c r="W61" s="34"/>
      <c r="X61" s="34"/>
      <c r="Y61" s="34"/>
      <c r="Z61" s="34"/>
    </row>
    <row r="62" spans="1:26" ht="12.75" customHeight="1">
      <c r="A62" s="34"/>
      <c r="B62" s="100"/>
      <c r="C62" s="101"/>
      <c r="D62" s="101"/>
      <c r="E62" s="101"/>
      <c r="F62" s="101"/>
      <c r="G62" s="101"/>
      <c r="H62" s="101"/>
      <c r="I62" s="101"/>
      <c r="J62" s="101"/>
      <c r="K62" s="101"/>
      <c r="L62" s="101"/>
      <c r="M62" s="150"/>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2">
    <mergeCell ref="D3:E3"/>
    <mergeCell ref="F3:G3"/>
  </mergeCells>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ErrorMessage="1" sqref="C5" xr:uid="{00000000-0002-0000-2200-000000000000}">
      <formula1>"Yes,No"</formula1>
    </dataValidation>
  </dataValidations>
  <hyperlinks>
    <hyperlink ref="E16" location="'Cover Sheet'!A1" display="BACK to COVER SHEET" xr:uid="{00000000-0004-0000-2200-000000000000}"/>
  </hyperlinks>
  <pageMargins left="0.75" right="0.75" top="1" bottom="1" header="0" footer="0"/>
  <pageSetup orientation="landscape"/>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C99"/>
  </sheetPr>
  <dimension ref="A1:Z1000"/>
  <sheetViews>
    <sheetView showGridLines="0" workbookViewId="0"/>
  </sheetViews>
  <sheetFormatPr baseColWidth="10" defaultColWidth="12.5703125" defaultRowHeight="15" customHeight="1"/>
  <cols>
    <col min="1" max="1" width="5.140625" customWidth="1"/>
    <col min="2" max="2" width="46.85546875" customWidth="1"/>
    <col min="3" max="3" width="11.42578125" customWidth="1"/>
    <col min="4" max="4" width="10.42578125" customWidth="1"/>
    <col min="5" max="5" width="5.85546875" customWidth="1"/>
    <col min="6" max="6" width="8.5703125" customWidth="1"/>
    <col min="7" max="7" width="11.42578125" customWidth="1"/>
    <col min="8" max="8" width="12.42578125" customWidth="1"/>
    <col min="9" max="9" width="11.42578125" customWidth="1"/>
    <col min="10" max="10" width="5.140625" customWidth="1"/>
    <col min="11" max="26" width="11.42578125" customWidth="1"/>
  </cols>
  <sheetData>
    <row r="1" spans="1:26" ht="12.75" customHeight="1">
      <c r="B1" s="213" t="s">
        <v>834</v>
      </c>
      <c r="G1" s="34"/>
      <c r="H1" s="34"/>
      <c r="I1" s="34"/>
      <c r="J1" s="34"/>
      <c r="K1" s="34"/>
      <c r="L1" s="34"/>
      <c r="M1" s="34"/>
      <c r="N1" s="34"/>
      <c r="O1" s="34"/>
    </row>
    <row r="2" spans="1:26" ht="12.75" customHeight="1">
      <c r="B2" s="31" t="s">
        <v>835</v>
      </c>
      <c r="G2" s="34"/>
      <c r="H2" s="34"/>
      <c r="I2" s="34"/>
      <c r="J2" s="34"/>
      <c r="K2" s="34"/>
      <c r="L2" s="34"/>
      <c r="M2" s="34"/>
      <c r="N2" s="34"/>
      <c r="O2" s="34"/>
    </row>
    <row r="3" spans="1:26" ht="12.75" customHeight="1">
      <c r="A3" s="77"/>
      <c r="B3" s="240" t="s">
        <v>436</v>
      </c>
      <c r="C3" s="240" t="s">
        <v>438</v>
      </c>
      <c r="D3" s="240" t="s">
        <v>836</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439</v>
      </c>
      <c r="C4" s="214" t="s">
        <v>202</v>
      </c>
      <c r="D4" s="109" t="str">
        <f>C4</f>
        <v>Steel</v>
      </c>
      <c r="G4" s="34"/>
      <c r="H4" s="34"/>
      <c r="I4" s="34"/>
      <c r="J4" s="34"/>
      <c r="K4" s="34"/>
      <c r="L4" s="34"/>
      <c r="M4" s="34"/>
      <c r="N4" s="34"/>
      <c r="O4" s="34"/>
    </row>
    <row r="5" spans="1:26" ht="12.75" customHeight="1">
      <c r="B5" s="43" t="s">
        <v>837</v>
      </c>
      <c r="C5" s="214" t="s">
        <v>247</v>
      </c>
      <c r="D5" s="109" t="s">
        <v>129</v>
      </c>
      <c r="G5" s="34"/>
      <c r="H5" s="34"/>
      <c r="I5" s="34"/>
      <c r="J5" s="34"/>
      <c r="K5" s="34"/>
      <c r="L5" s="34"/>
      <c r="M5" s="34"/>
      <c r="N5" s="34"/>
      <c r="O5" s="34"/>
    </row>
    <row r="6" spans="1:26" ht="12.75" customHeight="1">
      <c r="B6" s="43" t="s">
        <v>441</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223</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225</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227</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229</v>
      </c>
      <c r="C10" s="126" t="s">
        <v>129</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230</v>
      </c>
      <c r="C11" s="126" t="s">
        <v>129</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442</v>
      </c>
      <c r="C13" s="693">
        <v>25.4</v>
      </c>
      <c r="D13" s="588"/>
      <c r="G13" s="34"/>
      <c r="H13" s="34"/>
      <c r="I13" s="131"/>
      <c r="J13" s="34"/>
      <c r="K13" s="34"/>
      <c r="L13" s="34"/>
      <c r="M13" s="34"/>
      <c r="N13" s="34"/>
      <c r="O13" s="34"/>
    </row>
    <row r="14" spans="1:26" ht="12.75" customHeight="1">
      <c r="B14" s="43" t="s">
        <v>443</v>
      </c>
      <c r="C14" s="693">
        <v>1.2</v>
      </c>
      <c r="D14" s="588"/>
      <c r="G14" s="34"/>
      <c r="H14" s="34"/>
      <c r="I14" s="131"/>
      <c r="J14" s="34"/>
      <c r="K14" s="34"/>
      <c r="L14" s="34"/>
      <c r="M14" s="34"/>
      <c r="N14" s="34"/>
      <c r="O14" s="34"/>
    </row>
    <row r="15" spans="1:26" ht="12.75" customHeight="1">
      <c r="G15" s="34"/>
      <c r="H15" s="34"/>
      <c r="I15" s="131"/>
      <c r="J15" s="34"/>
      <c r="K15" s="34"/>
      <c r="L15" s="34"/>
      <c r="M15" s="34"/>
      <c r="N15" s="34"/>
      <c r="O15" s="34"/>
    </row>
    <row r="16" spans="1:26" ht="12.75" customHeight="1">
      <c r="A16" s="77"/>
      <c r="B16" s="508"/>
      <c r="C16" s="240" t="s">
        <v>438</v>
      </c>
      <c r="D16" s="240" t="s">
        <v>836</v>
      </c>
      <c r="E16" s="77"/>
      <c r="F16" s="77"/>
      <c r="G16" s="77"/>
      <c r="H16" s="77"/>
      <c r="I16" s="509"/>
      <c r="J16" s="77"/>
      <c r="K16" s="77"/>
      <c r="L16" s="77"/>
      <c r="M16" s="77"/>
      <c r="N16" s="77"/>
      <c r="O16" s="77"/>
      <c r="P16" s="77"/>
      <c r="Q16" s="77"/>
      <c r="R16" s="77"/>
      <c r="S16" s="77"/>
      <c r="T16" s="77"/>
      <c r="U16" s="77"/>
      <c r="V16" s="77"/>
      <c r="W16" s="77"/>
      <c r="X16" s="77"/>
      <c r="Y16" s="77"/>
      <c r="Z16" s="77"/>
    </row>
    <row r="17" spans="2:15" ht="12.75" customHeight="1">
      <c r="B17" s="43" t="s">
        <v>444</v>
      </c>
      <c r="C17" s="606">
        <f t="shared" ref="C17:C18" si="0">C13/1000</f>
        <v>2.5399999999999999E-2</v>
      </c>
      <c r="D17" s="588"/>
      <c r="G17" s="34"/>
      <c r="H17" s="34"/>
      <c r="I17" s="131"/>
      <c r="J17" s="34"/>
      <c r="K17" s="34"/>
      <c r="L17" s="34"/>
      <c r="M17" s="34"/>
      <c r="N17" s="34"/>
      <c r="O17" s="34"/>
    </row>
    <row r="18" spans="2:15" ht="12.75" customHeight="1">
      <c r="B18" s="43" t="s">
        <v>445</v>
      </c>
      <c r="C18" s="606">
        <f t="shared" si="0"/>
        <v>1.1999999999999999E-3</v>
      </c>
      <c r="D18" s="588"/>
      <c r="G18" s="34"/>
      <c r="H18" s="34"/>
      <c r="I18" s="131"/>
      <c r="J18" s="34"/>
      <c r="K18" s="34"/>
      <c r="L18" s="34"/>
      <c r="M18" s="215"/>
      <c r="N18" s="34"/>
      <c r="O18" s="34"/>
    </row>
    <row r="19" spans="2:15" ht="12.75" customHeight="1">
      <c r="B19" s="43" t="s">
        <v>446</v>
      </c>
      <c r="C19" s="109">
        <f>IF(C5="Round",((C17)^4-((C17-2*C18))^4)*3.142/64,((C17)^4-((C17-2*C18))^4)/12)</f>
        <v>6.6959174567999997E-9</v>
      </c>
      <c r="D19" s="127">
        <v>0</v>
      </c>
      <c r="G19" s="34"/>
      <c r="H19" s="34"/>
      <c r="I19" s="131"/>
      <c r="J19" s="34"/>
      <c r="K19" s="34"/>
      <c r="L19" s="131"/>
      <c r="M19" s="215"/>
      <c r="N19" s="34"/>
      <c r="O19" s="34"/>
    </row>
    <row r="20" spans="2:15" ht="12.75" customHeight="1">
      <c r="B20" s="43" t="s">
        <v>447</v>
      </c>
      <c r="C20" s="126">
        <f t="shared" ref="C20:D20" si="1">C7*C19</f>
        <v>1339.1834913599998</v>
      </c>
      <c r="D20" s="126">
        <f t="shared" si="1"/>
        <v>0</v>
      </c>
      <c r="E20" s="44">
        <f>100*D20/C20</f>
        <v>0</v>
      </c>
      <c r="G20" s="34"/>
      <c r="H20" s="34"/>
      <c r="I20" s="34"/>
      <c r="J20" s="34"/>
      <c r="K20" s="34"/>
      <c r="L20" s="34"/>
      <c r="M20" s="34"/>
      <c r="N20" s="34"/>
      <c r="O20" s="34"/>
    </row>
    <row r="21" spans="2:15" ht="12.75" customHeight="1">
      <c r="B21" s="43" t="s">
        <v>838</v>
      </c>
      <c r="C21" s="216">
        <f>IF(C5="Round",((C13^2-(C13-2*C14)^2)*PI()/4),IF(C5="Square",(C13^2-(C13-2*C14)^2)))</f>
        <v>91.231850660247574</v>
      </c>
      <c r="D21" s="379">
        <v>0</v>
      </c>
      <c r="E21" s="41" t="s">
        <v>113</v>
      </c>
      <c r="G21" s="34"/>
      <c r="H21" s="34"/>
      <c r="I21" s="34"/>
      <c r="J21" s="34"/>
      <c r="K21" s="34"/>
      <c r="L21" s="131"/>
      <c r="M21" s="34"/>
      <c r="N21" s="34"/>
      <c r="O21" s="34"/>
    </row>
    <row r="22" spans="2:15" ht="12.75" customHeight="1">
      <c r="B22" s="43" t="s">
        <v>839</v>
      </c>
      <c r="C22" s="510" t="s">
        <v>113</v>
      </c>
      <c r="D22" s="379">
        <v>0</v>
      </c>
      <c r="E22" s="41" t="s">
        <v>113</v>
      </c>
      <c r="G22" s="34"/>
      <c r="H22" s="34"/>
      <c r="I22" s="34"/>
      <c r="J22" s="34"/>
      <c r="K22" s="34"/>
      <c r="L22" s="131"/>
      <c r="M22" s="34"/>
      <c r="N22" s="34"/>
      <c r="O22" s="34"/>
    </row>
    <row r="23" spans="2:15" ht="12.75" customHeight="1">
      <c r="B23" s="43" t="s">
        <v>449</v>
      </c>
      <c r="C23" s="126">
        <f>C$21*C8/1000000</f>
        <v>27825.714451375512</v>
      </c>
      <c r="D23" s="126">
        <f t="shared" ref="D23:D24" si="2">(D$21*D8+D10*$D$22)/1000000</f>
        <v>0</v>
      </c>
      <c r="E23" s="44">
        <f t="shared" ref="E23:E25" si="3">100*D23/C23</f>
        <v>0</v>
      </c>
      <c r="G23" s="34"/>
      <c r="H23" s="34"/>
      <c r="I23" s="34"/>
      <c r="J23" s="34"/>
      <c r="K23" s="34"/>
      <c r="L23" s="131"/>
      <c r="M23" s="34"/>
      <c r="N23" s="34"/>
      <c r="O23" s="34"/>
    </row>
    <row r="24" spans="2:15" ht="12.75" customHeight="1">
      <c r="B24" s="43" t="s">
        <v>450</v>
      </c>
      <c r="C24" s="126">
        <f>C21*C9/1000000</f>
        <v>33299.625490990366</v>
      </c>
      <c r="D24" s="126">
        <f t="shared" si="2"/>
        <v>0</v>
      </c>
      <c r="E24" s="44">
        <f t="shared" si="3"/>
        <v>0</v>
      </c>
      <c r="G24" s="34"/>
      <c r="H24" s="34"/>
      <c r="I24" s="34"/>
      <c r="J24" s="34"/>
      <c r="K24" s="34"/>
      <c r="L24" s="131"/>
      <c r="M24" s="34"/>
      <c r="N24" s="34"/>
      <c r="O24" s="34"/>
    </row>
    <row r="25" spans="2:15" ht="12.75" customHeight="1">
      <c r="B25" s="43" t="s">
        <v>453</v>
      </c>
      <c r="C25" s="126">
        <f>4*C9*(C19*2/(C17))/1</f>
        <v>769.76688873448825</v>
      </c>
      <c r="D25" s="126">
        <f>4*D9*(D19*2/(C17))/1</f>
        <v>0</v>
      </c>
      <c r="E25" s="44">
        <f t="shared" si="3"/>
        <v>0</v>
      </c>
      <c r="G25" s="34"/>
      <c r="H25" s="34"/>
      <c r="I25" s="34"/>
      <c r="J25" s="34"/>
      <c r="K25" s="34"/>
      <c r="L25" s="34"/>
      <c r="M25" s="34"/>
      <c r="N25" s="34"/>
      <c r="O25" s="34"/>
    </row>
    <row r="26" spans="2:15" ht="12.75" customHeight="1">
      <c r="B26" s="43" t="s">
        <v>454</v>
      </c>
      <c r="C26" s="126">
        <f>C25*1^3/(48*C7*C19)</f>
        <v>1.1975065616797903E-2</v>
      </c>
      <c r="D26" s="126">
        <f>IF(D19&gt;0,C25*1^3/(48*D7*D19),0)</f>
        <v>0</v>
      </c>
      <c r="E26" s="44">
        <f>IF(D26=0,999,100*D26/C26)</f>
        <v>999</v>
      </c>
      <c r="G26" s="34"/>
      <c r="H26" s="34"/>
      <c r="I26" s="34"/>
      <c r="J26" s="34"/>
      <c r="K26" s="34"/>
      <c r="L26" s="34"/>
      <c r="M26" s="34"/>
      <c r="N26" s="34"/>
      <c r="O26" s="34"/>
    </row>
    <row r="27" spans="2:15" ht="12.75" customHeight="1">
      <c r="B27" s="43" t="s">
        <v>455</v>
      </c>
      <c r="C27" s="126">
        <f>0.5*C25*(C25*1^3/(48*C7*C19))</f>
        <v>4.6090045011169334</v>
      </c>
      <c r="D27" s="126">
        <f>IF(D19&gt;0,0.5*D25*(D25*1^3/(48*D7*D19)),0)</f>
        <v>0</v>
      </c>
      <c r="E27" s="44">
        <f>100*D27/C27</f>
        <v>0</v>
      </c>
      <c r="G27" s="34"/>
      <c r="H27" s="34"/>
      <c r="I27" s="34"/>
      <c r="J27" s="34"/>
      <c r="K27" s="34"/>
      <c r="L27" s="34"/>
      <c r="M27" s="34"/>
      <c r="N27" s="34"/>
      <c r="O27" s="34"/>
    </row>
    <row r="28" spans="2:15" ht="12.75" customHeight="1">
      <c r="B28" s="31" t="s">
        <v>840</v>
      </c>
      <c r="G28" s="34"/>
      <c r="H28" s="34"/>
      <c r="I28" s="34"/>
      <c r="J28" s="34"/>
      <c r="K28" s="34"/>
      <c r="L28" s="34"/>
      <c r="M28" s="34"/>
      <c r="N28" s="34"/>
      <c r="O28" s="34"/>
    </row>
    <row r="29" spans="2:15" ht="12.75" customHeight="1">
      <c r="B29" s="31" t="s">
        <v>841</v>
      </c>
      <c r="D29" s="131"/>
      <c r="G29" s="34"/>
      <c r="H29" s="39" t="s">
        <v>252</v>
      </c>
      <c r="I29" s="39"/>
      <c r="J29" s="34"/>
      <c r="K29" s="34"/>
      <c r="L29" s="34"/>
      <c r="M29" s="34"/>
      <c r="N29" s="34"/>
      <c r="O29" s="34"/>
    </row>
    <row r="30" spans="2:15" ht="12.75" customHeight="1">
      <c r="B30" s="31" t="s">
        <v>842</v>
      </c>
      <c r="C30" s="34"/>
      <c r="D30" s="131"/>
      <c r="E30" s="34"/>
      <c r="F30" s="34"/>
      <c r="G30" s="34"/>
      <c r="H30" s="34"/>
      <c r="I30" s="34"/>
      <c r="J30" s="34"/>
      <c r="K30" s="34"/>
      <c r="L30" s="34"/>
      <c r="M30" s="34"/>
      <c r="N30" s="34"/>
      <c r="O30" s="34"/>
    </row>
    <row r="31" spans="2:15" ht="12.75" customHeight="1">
      <c r="B31" s="142"/>
      <c r="C31" s="143"/>
      <c r="D31" s="143"/>
      <c r="E31" s="143"/>
      <c r="F31" s="143"/>
      <c r="G31" s="143"/>
      <c r="H31" s="143"/>
      <c r="I31" s="144"/>
      <c r="J31" s="34"/>
      <c r="K31" s="34"/>
      <c r="L31" s="34"/>
      <c r="M31" s="34"/>
      <c r="N31" s="34"/>
      <c r="O31" s="34"/>
    </row>
    <row r="32" spans="2:15"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95"/>
      <c r="C161" s="64"/>
      <c r="D161" s="64"/>
      <c r="E161" s="64"/>
      <c r="F161" s="64"/>
      <c r="G161" s="64"/>
      <c r="H161" s="64"/>
      <c r="I161" s="96"/>
      <c r="J161" s="34"/>
      <c r="K161" s="34"/>
      <c r="L161" s="34"/>
      <c r="M161" s="34"/>
      <c r="N161" s="34"/>
      <c r="O161" s="34"/>
    </row>
    <row r="162" spans="2:15" ht="12.75" customHeight="1">
      <c r="B162" s="100"/>
      <c r="C162" s="101"/>
      <c r="D162" s="101"/>
      <c r="E162" s="101"/>
      <c r="F162" s="101"/>
      <c r="G162" s="101"/>
      <c r="H162" s="101"/>
      <c r="I162" s="150"/>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c r="B165" s="34"/>
      <c r="C165" s="34"/>
      <c r="D165" s="34"/>
      <c r="E165" s="34"/>
      <c r="F165" s="34"/>
      <c r="G165" s="34"/>
      <c r="H165" s="34"/>
      <c r="I165" s="34"/>
      <c r="J165" s="34"/>
      <c r="K165" s="34"/>
      <c r="L165" s="34"/>
      <c r="M165" s="34"/>
      <c r="N165" s="34"/>
      <c r="O165" s="34"/>
    </row>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7:D17"/>
    <mergeCell ref="C18:D18"/>
  </mergeCells>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3">
    <dataValidation type="list" allowBlank="1" showInputMessage="1" showErrorMessage="1" prompt="Select Material" sqref="C5" xr:uid="{00000000-0002-0000-2300-000000000000}">
      <formula1>Tube_Type</formula1>
    </dataValidation>
    <dataValidation type="list" allowBlank="1" showInputMessage="1" showErrorMessage="1" prompt="Select Material" sqref="C12:D12" xr:uid="{00000000-0002-0000-2300-000001000000}">
      <formula1>Materials</formula1>
    </dataValidation>
    <dataValidation type="list" allowBlank="1" showInputMessage="1" showErrorMessage="1" prompt="Select Material" sqref="C4" xr:uid="{00000000-0002-0000-2300-000002000000}">
      <formula1>"Steel,Aluminium 1,Aluminium 2"</formula1>
    </dataValidation>
  </dataValidations>
  <pageMargins left="0.75" right="0.75" top="1" bottom="1" header="0" footer="0"/>
  <pageSetup paperSize="9" orientation="portrait"/>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CC99"/>
  </sheetPr>
  <dimension ref="A1:Z1000"/>
  <sheetViews>
    <sheetView showGridLines="0" workbookViewId="0"/>
  </sheetViews>
  <sheetFormatPr baseColWidth="10" defaultColWidth="12.5703125" defaultRowHeight="15" customHeight="1"/>
  <cols>
    <col min="1" max="1" width="5.140625" customWidth="1"/>
    <col min="2" max="2" width="46.140625" customWidth="1"/>
    <col min="3" max="3" width="11.42578125" customWidth="1"/>
    <col min="4" max="4" width="10.42578125" customWidth="1"/>
    <col min="5" max="5" width="5.85546875" customWidth="1"/>
    <col min="6" max="6" width="10" customWidth="1"/>
    <col min="7" max="8" width="12.42578125" customWidth="1"/>
    <col min="9" max="9" width="11.42578125" customWidth="1"/>
    <col min="10" max="10" width="5.140625" customWidth="1"/>
    <col min="11" max="26" width="11.42578125" customWidth="1"/>
  </cols>
  <sheetData>
    <row r="1" spans="1:26" ht="12.75" customHeight="1">
      <c r="B1" s="213" t="s">
        <v>843</v>
      </c>
      <c r="G1" s="34"/>
      <c r="H1" s="34"/>
      <c r="I1" s="34"/>
      <c r="J1" s="34"/>
      <c r="K1" s="34"/>
      <c r="L1" s="34"/>
      <c r="M1" s="34"/>
      <c r="N1" s="34"/>
      <c r="O1" s="34"/>
    </row>
    <row r="2" spans="1:26" ht="12.75" customHeight="1">
      <c r="B2" s="31"/>
      <c r="G2" s="34"/>
      <c r="H2" s="34"/>
      <c r="I2" s="34"/>
      <c r="J2" s="34"/>
      <c r="K2" s="34"/>
      <c r="L2" s="34"/>
      <c r="M2" s="34"/>
      <c r="N2" s="34"/>
      <c r="O2" s="34"/>
    </row>
    <row r="3" spans="1:26" ht="12.75" customHeight="1">
      <c r="A3" s="77"/>
      <c r="B3" s="240" t="s">
        <v>436</v>
      </c>
      <c r="C3" s="240" t="s">
        <v>438</v>
      </c>
      <c r="D3" s="240" t="s">
        <v>844</v>
      </c>
      <c r="E3" s="77"/>
      <c r="F3" s="77"/>
      <c r="G3" s="77"/>
      <c r="H3" s="77"/>
      <c r="I3" s="77"/>
      <c r="J3" s="77"/>
      <c r="K3" s="77"/>
      <c r="L3" s="77"/>
      <c r="M3" s="77"/>
      <c r="N3" s="77"/>
      <c r="O3" s="77"/>
      <c r="P3" s="77"/>
      <c r="Q3" s="77"/>
      <c r="R3" s="77"/>
      <c r="S3" s="77"/>
      <c r="T3" s="77"/>
      <c r="U3" s="77"/>
      <c r="V3" s="77"/>
      <c r="W3" s="77"/>
      <c r="X3" s="77"/>
      <c r="Y3" s="77"/>
      <c r="Z3" s="77"/>
    </row>
    <row r="4" spans="1:26" ht="12.75" customHeight="1">
      <c r="B4" s="43" t="s">
        <v>439</v>
      </c>
      <c r="C4" s="214" t="s">
        <v>202</v>
      </c>
      <c r="D4" s="109" t="str">
        <f>C4</f>
        <v>Steel</v>
      </c>
      <c r="G4" s="34"/>
      <c r="H4" s="34"/>
      <c r="I4" s="34"/>
      <c r="J4" s="34"/>
      <c r="K4" s="34"/>
      <c r="L4" s="34"/>
      <c r="M4" s="34"/>
      <c r="N4" s="34"/>
      <c r="O4" s="34"/>
    </row>
    <row r="5" spans="1:26" ht="12.75" customHeight="1">
      <c r="B5" s="43" t="s">
        <v>837</v>
      </c>
      <c r="C5" s="214" t="s">
        <v>247</v>
      </c>
      <c r="D5" s="109" t="s">
        <v>129</v>
      </c>
      <c r="G5" s="34"/>
      <c r="H5" s="34"/>
      <c r="I5" s="34"/>
      <c r="J5" s="34"/>
      <c r="K5" s="34"/>
      <c r="L5" s="34"/>
      <c r="M5" s="34"/>
      <c r="N5" s="34"/>
      <c r="O5" s="34"/>
    </row>
    <row r="6" spans="1:26" ht="12.75" customHeight="1">
      <c r="B6" s="43" t="s">
        <v>441</v>
      </c>
      <c r="C6" s="126" t="str">
        <f>IF(C$4="Steel",MaterialData!C4,IF(C$4="Aluminium 1",MaterialData!E4,IF(C$4="Aluminium 2",MaterialData!F4,IF(C$4="Carbon",MaterialData!G4,IF(C$4="Other 1",MaterialData!H4,IF(C$4="Other 2",MaterialData!I4,IF(C$4="Other 3",MaterialData!J4,0)))))))</f>
        <v>Steel</v>
      </c>
      <c r="D6" s="126" t="str">
        <f>C6</f>
        <v>Steel</v>
      </c>
      <c r="G6" s="34"/>
      <c r="H6" s="34"/>
      <c r="I6" s="34"/>
      <c r="J6" s="34"/>
      <c r="K6" s="34"/>
      <c r="L6" s="34"/>
      <c r="M6" s="34"/>
      <c r="N6" s="34"/>
      <c r="O6" s="34"/>
    </row>
    <row r="7" spans="1:26" ht="12.75" customHeight="1">
      <c r="B7" s="43" t="s">
        <v>223</v>
      </c>
      <c r="C7" s="126">
        <f>IF(C$4="Steel",MaterialData!C6,IF(C$4="Aluminium 1",MaterialData!E6,IF(C$4="Aluminium 2",MaterialData!F6,IF(C$4="Carbon",MaterialData!G6,IF(C$4="Other 1",MaterialData!H6,IF(C$4="Other 2",MaterialData!I6,IF(C$4="Other 3",MaterialData!J6,0)))))))</f>
        <v>200000000000</v>
      </c>
      <c r="D7" s="126">
        <f>IF(D$4="Steel",MaterialData!C6,IF(D$4="Aluminium 1",MaterialData!E6,IF(D$4="Aluminium 2",MaterialData!F6,IF(D$4="Carbon",MaterialData!G6,IF(D$4="Other 1",MaterialData!H6,IF(D$4="Other 2",MaterialData!I6,IF(D$4="Other 2",MaterialData!J6,0)))))))</f>
        <v>200000000000</v>
      </c>
      <c r="G7" s="34"/>
      <c r="H7" s="34"/>
      <c r="I7" s="131"/>
      <c r="J7" s="34"/>
      <c r="K7" s="34"/>
      <c r="L7" s="34"/>
      <c r="M7" s="34"/>
      <c r="N7" s="34"/>
      <c r="O7" s="34"/>
    </row>
    <row r="8" spans="1:26" ht="12.75" customHeight="1">
      <c r="B8" s="43" t="s">
        <v>225</v>
      </c>
      <c r="C8" s="126">
        <f>IF(C$4="Steel",MaterialData!C7,IF(C$4="Aluminium 1",MaterialData!E7,IF(C$4="Aluminium 2",MaterialData!F7,IF(C$4="Carbon",MaterialData!G7,IF(C$4="Other 1",MaterialData!H7,IF(C$4="Other 2",MaterialData!I7,IF(C$4="Other 3",MaterialData!J7,0)))))))</f>
        <v>305000000</v>
      </c>
      <c r="D8" s="126">
        <f>IF(D$4="Steel",MaterialData!C7,IF(D$4="Aluminium 1",MaterialData!E7,IF(D$4="Aluminium 2",MaterialData!F7,IF(D$4="Carbon",MaterialData!G7,IF(D$4="Other 1",MaterialData!H7,IF(D$4="Other 2",MaterialData!I7,IF(D$4="Other 2",MaterialData!J7,0)))))))</f>
        <v>305000000</v>
      </c>
      <c r="G8" s="34"/>
      <c r="H8" s="34"/>
      <c r="I8" s="131"/>
      <c r="J8" s="34"/>
      <c r="K8" s="34"/>
      <c r="L8" s="34"/>
      <c r="M8" s="34"/>
      <c r="N8" s="34"/>
      <c r="O8" s="34"/>
    </row>
    <row r="9" spans="1:26" ht="12.75" customHeight="1">
      <c r="B9" s="43" t="s">
        <v>227</v>
      </c>
      <c r="C9" s="126">
        <f>IF(C$4="Steel",MaterialData!C8,IF(C$4="Aluminium 1",MaterialData!E8,IF(C$4="Aluminium 2",MaterialData!F8,IF(C$4="Carbon",MaterialData!G8,IF(C$4="Other 1",MaterialData!H8,IF(C$4="Other 2",MaterialData!I8,IF(C$4="Other 3",MaterialData!J8,0)))))))</f>
        <v>365000000</v>
      </c>
      <c r="D9" s="126">
        <f>IF(D$4="Steel",MaterialData!C8,IF(D$4="Aluminium 1",MaterialData!E8,IF(D$4="Aluminium 2",MaterialData!F8,IF(D$4="Carbon",MaterialData!G8,IF(D$4="Other 1",MaterialData!H8,IF(D$4="Other 2",MaterialData!I8,IF(D$4="Other 2",MaterialData!J8,0)))))))</f>
        <v>365000000</v>
      </c>
      <c r="G9" s="34"/>
      <c r="H9" s="34"/>
      <c r="I9" s="131"/>
      <c r="J9" s="34"/>
      <c r="K9" s="34"/>
      <c r="L9" s="34"/>
      <c r="M9" s="34"/>
      <c r="N9" s="34"/>
      <c r="O9" s="34"/>
    </row>
    <row r="10" spans="1:26" ht="12.75" customHeight="1">
      <c r="B10" s="43" t="s">
        <v>229</v>
      </c>
      <c r="C10" s="126">
        <f>IF(C$4="Steel",MaterialData!C9,IF(C$4="Aluminium 1",MaterialData!E9,IF(C$4="Aluminium 2",MaterialData!F9,IF(C$4="Carbon",MaterialData!G9,IF(C$4="Other 1",MaterialData!H9,IF(C$4="Other 2",MaterialData!I9,IF(C$4="Other 3",MaterialData!J9,0)))))))</f>
        <v>180000000</v>
      </c>
      <c r="D10" s="126">
        <f>IF(D$4="Steel",MaterialData!C9,IF(D$4="Aluminium 1",MaterialData!E9,IF(D$4="Aluminium 2",MaterialData!F9,IF(D$4="Carbon",MaterialData!G9,IF(D$4="Other 1",MaterialData!H9,IF(D$4="Other 2",MaterialData!I9,IF(D$4="Other 2",MaterialData!J9,0)))))))</f>
        <v>180000000</v>
      </c>
      <c r="G10" s="34"/>
      <c r="H10" s="34"/>
      <c r="I10" s="131"/>
      <c r="J10" s="34"/>
      <c r="K10" s="34"/>
      <c r="L10" s="34"/>
      <c r="M10" s="34"/>
      <c r="N10" s="34"/>
      <c r="O10" s="34"/>
    </row>
    <row r="11" spans="1:26" ht="12.75" customHeight="1">
      <c r="B11" s="43" t="s">
        <v>230</v>
      </c>
      <c r="C11" s="126">
        <f>IF(C$4="Steel",MaterialData!C10,IF(C$4="Aluminium 1",MaterialData!E10,IF(C$4="Aluminium 2",MaterialData!F10,IF(C$4="Carbon",MaterialData!G10,IF(C$4="Other 1",MaterialData!H10,IF(C$4="Other 2",MaterialData!I10,IF(C$4="Other 3",MaterialData!J10,0)))))))</f>
        <v>300000000</v>
      </c>
      <c r="D11" s="126">
        <f>IF(D$4="Steel",MaterialData!C10,IF(D$4="Aluminium 1",MaterialData!E10,IF(D$4="Aluminium 2",MaterialData!F10,IF(D$4="Carbon",MaterialData!G10,IF(D$4="Other 1",MaterialData!H10,IF(D$4="Other 2",MaterialData!I10,IF(D$4="Other 2",MaterialData!J10,0)))))))</f>
        <v>300000000</v>
      </c>
      <c r="G11" s="34"/>
      <c r="H11" s="34"/>
      <c r="I11" s="131"/>
      <c r="J11" s="34"/>
      <c r="K11" s="34"/>
      <c r="L11" s="34"/>
      <c r="M11" s="34"/>
      <c r="N11" s="34"/>
      <c r="O11" s="34"/>
    </row>
    <row r="12" spans="1:26" ht="12.75" customHeight="1">
      <c r="C12" s="67"/>
      <c r="D12" s="67"/>
      <c r="G12" s="34"/>
      <c r="H12" s="34"/>
      <c r="I12" s="131"/>
      <c r="J12" s="34"/>
      <c r="K12" s="34"/>
      <c r="L12" s="34"/>
      <c r="M12" s="34"/>
      <c r="N12" s="34"/>
      <c r="O12" s="34"/>
    </row>
    <row r="13" spans="1:26" ht="12.75" customHeight="1">
      <c r="B13" s="43" t="s">
        <v>845</v>
      </c>
      <c r="C13" s="693">
        <v>25.4</v>
      </c>
      <c r="D13" s="588"/>
      <c r="G13" s="34"/>
      <c r="H13" s="34"/>
      <c r="I13" s="131"/>
      <c r="J13" s="34"/>
      <c r="K13" s="34"/>
      <c r="L13" s="34"/>
      <c r="M13" s="34"/>
      <c r="N13" s="34"/>
      <c r="O13" s="34"/>
    </row>
    <row r="14" spans="1:26" ht="12.75" customHeight="1">
      <c r="B14" s="43" t="s">
        <v>846</v>
      </c>
      <c r="C14" s="693">
        <v>1.2</v>
      </c>
      <c r="D14" s="588"/>
      <c r="G14" s="34"/>
      <c r="H14" s="34"/>
      <c r="I14" s="131"/>
      <c r="J14" s="34"/>
      <c r="K14" s="34"/>
      <c r="L14" s="34"/>
      <c r="M14" s="34"/>
      <c r="N14" s="34"/>
      <c r="O14" s="34"/>
    </row>
    <row r="15" spans="1:26" ht="12.75" customHeight="1">
      <c r="B15" s="43" t="s">
        <v>847</v>
      </c>
      <c r="C15" s="693">
        <v>35</v>
      </c>
      <c r="D15" s="588"/>
      <c r="G15" s="34"/>
      <c r="H15" s="34"/>
      <c r="I15" s="131"/>
      <c r="J15" s="34"/>
      <c r="K15" s="34"/>
      <c r="L15" s="34"/>
      <c r="M15" s="34"/>
      <c r="N15" s="34"/>
      <c r="O15" s="34"/>
    </row>
    <row r="16" spans="1:26" ht="12.75" customHeight="1">
      <c r="B16" s="43" t="s">
        <v>848</v>
      </c>
      <c r="C16" s="693">
        <v>5</v>
      </c>
      <c r="D16" s="588"/>
      <c r="G16" s="34"/>
      <c r="H16" s="34"/>
      <c r="I16" s="131"/>
      <c r="J16" s="34"/>
      <c r="K16" s="34"/>
      <c r="L16" s="34"/>
      <c r="M16" s="34"/>
      <c r="N16" s="34"/>
      <c r="O16" s="34"/>
    </row>
    <row r="17" spans="1:26" ht="12.75" customHeight="1">
      <c r="G17" s="34"/>
      <c r="H17" s="34"/>
      <c r="I17" s="131"/>
      <c r="J17" s="34"/>
      <c r="K17" s="34"/>
      <c r="L17" s="34"/>
      <c r="M17" s="34"/>
      <c r="N17" s="34"/>
      <c r="O17" s="34"/>
    </row>
    <row r="18" spans="1:26" ht="12.75" customHeight="1">
      <c r="A18" s="77"/>
      <c r="B18" s="508"/>
      <c r="C18" s="240" t="s">
        <v>438</v>
      </c>
      <c r="D18" s="240" t="s">
        <v>844</v>
      </c>
      <c r="E18" s="77"/>
      <c r="F18" s="77"/>
      <c r="G18" s="77"/>
      <c r="H18" s="77"/>
      <c r="I18" s="509"/>
      <c r="J18" s="77"/>
      <c r="K18" s="77"/>
      <c r="L18" s="77"/>
      <c r="M18" s="77"/>
      <c r="N18" s="77"/>
      <c r="O18" s="77"/>
      <c r="P18" s="77"/>
      <c r="Q18" s="77"/>
      <c r="R18" s="77"/>
      <c r="S18" s="77"/>
      <c r="T18" s="77"/>
      <c r="U18" s="77"/>
      <c r="V18" s="77"/>
      <c r="W18" s="77"/>
      <c r="X18" s="77"/>
      <c r="Y18" s="77"/>
      <c r="Z18" s="77"/>
    </row>
    <row r="19" spans="1:26" ht="12.75" customHeight="1">
      <c r="B19" s="43" t="s">
        <v>849</v>
      </c>
      <c r="C19" s="109">
        <f>C13/2000</f>
        <v>1.2699999999999999E-2</v>
      </c>
      <c r="D19" s="511">
        <f>C15/2000</f>
        <v>1.7500000000000002E-2</v>
      </c>
      <c r="G19" s="34"/>
      <c r="H19" s="34"/>
      <c r="I19" s="131"/>
      <c r="J19" s="34"/>
      <c r="K19" s="34"/>
      <c r="L19" s="34"/>
      <c r="M19" s="34"/>
      <c r="N19" s="34"/>
      <c r="O19" s="34"/>
    </row>
    <row r="20" spans="1:26" ht="12.75" customHeight="1">
      <c r="B20" s="43" t="s">
        <v>850</v>
      </c>
      <c r="C20" s="109">
        <f>C19-C14/1000</f>
        <v>1.15E-2</v>
      </c>
      <c r="D20" s="511">
        <f>D19-C16/1000</f>
        <v>1.2500000000000001E-2</v>
      </c>
      <c r="G20" s="34"/>
      <c r="H20" s="34"/>
      <c r="I20" s="131"/>
      <c r="J20" s="34"/>
      <c r="K20" s="34"/>
      <c r="L20" s="34"/>
      <c r="M20" s="215"/>
      <c r="N20" s="34"/>
      <c r="O20" s="34"/>
    </row>
    <row r="21" spans="1:26" ht="12.75" customHeight="1">
      <c r="B21" s="43" t="s">
        <v>851</v>
      </c>
      <c r="C21" s="512">
        <f>PI()*(C19^2-C20^2)</f>
        <v>9.1231850660247613E-5</v>
      </c>
      <c r="D21" s="513">
        <f>0.5*PI()*(D19^2-D20^2)</f>
        <v>2.3561944901923451E-4</v>
      </c>
      <c r="G21" s="34"/>
      <c r="H21" s="34"/>
      <c r="I21" s="131"/>
      <c r="J21" s="34"/>
      <c r="K21" s="34"/>
      <c r="L21" s="34"/>
      <c r="M21" s="215"/>
      <c r="N21" s="34"/>
      <c r="O21" s="34"/>
    </row>
    <row r="22" spans="1:26" ht="12.75" customHeight="1">
      <c r="B22" s="43" t="s">
        <v>852</v>
      </c>
      <c r="C22" s="302" t="s">
        <v>129</v>
      </c>
      <c r="D22" s="513">
        <f>(4*(D19^3-D20^3))/(3*PI()*(D19^2-D20^2))</f>
        <v>9.6377159983425525E-3</v>
      </c>
      <c r="E22" s="504"/>
      <c r="F22" s="315"/>
      <c r="G22" s="315"/>
      <c r="H22" s="131"/>
      <c r="I22" s="34"/>
      <c r="J22" s="34"/>
      <c r="K22" s="34"/>
      <c r="L22" s="34"/>
      <c r="M22" s="34"/>
      <c r="N22" s="34"/>
      <c r="O22" s="34"/>
    </row>
    <row r="23" spans="1:26" ht="12.75" customHeight="1">
      <c r="B23" s="43" t="s">
        <v>446</v>
      </c>
      <c r="C23" s="512">
        <f>IF(C5="Round",(C19^4-C20^4)*PI()/4,((2*C19)^4-(2*C20)^4)/12)</f>
        <v>6.6950493607022693E-9</v>
      </c>
      <c r="D23" s="514">
        <f>PI()/8*(D19^4-D20^4)-(D21*D22^2)</f>
        <v>5.3578520466127722E-9</v>
      </c>
      <c r="E23" s="131"/>
      <c r="F23" s="315"/>
      <c r="G23" s="315"/>
      <c r="H23" s="225"/>
      <c r="I23" s="131"/>
      <c r="J23" s="34"/>
      <c r="K23" s="34"/>
      <c r="L23" s="131"/>
      <c r="M23" s="215"/>
      <c r="N23" s="34"/>
      <c r="O23" s="34"/>
    </row>
    <row r="24" spans="1:26" ht="12.75" customHeight="1">
      <c r="B24" s="43" t="s">
        <v>447</v>
      </c>
      <c r="C24" s="126">
        <f>C7*C23</f>
        <v>1339.0098721404538</v>
      </c>
      <c r="D24" s="302" t="s">
        <v>129</v>
      </c>
      <c r="E24" s="504"/>
      <c r="F24" s="315"/>
      <c r="G24" s="315"/>
      <c r="H24" s="225"/>
      <c r="I24" s="131"/>
      <c r="J24" s="34"/>
      <c r="K24" s="34"/>
      <c r="L24" s="34"/>
      <c r="M24" s="34"/>
      <c r="N24" s="34"/>
      <c r="O24" s="34"/>
    </row>
    <row r="25" spans="1:26" ht="12.75" customHeight="1">
      <c r="B25" s="43" t="s">
        <v>853</v>
      </c>
      <c r="C25" s="126">
        <f>120000/6</f>
        <v>20000</v>
      </c>
      <c r="D25" s="302" t="s">
        <v>129</v>
      </c>
      <c r="E25" s="504"/>
      <c r="G25" s="215"/>
      <c r="H25" s="34"/>
      <c r="I25" s="34"/>
      <c r="J25" s="34"/>
      <c r="K25" s="34"/>
      <c r="L25" s="34"/>
      <c r="M25" s="34"/>
      <c r="N25" s="34"/>
      <c r="O25" s="34"/>
    </row>
    <row r="26" spans="1:26" ht="12.75" customHeight="1">
      <c r="B26" s="43" t="s">
        <v>854</v>
      </c>
      <c r="C26" s="126">
        <f>C11</f>
        <v>300000000</v>
      </c>
      <c r="D26" s="302">
        <f>(C25*0.5*D19*(D19-D22))/D23</f>
        <v>256800614.93297413</v>
      </c>
      <c r="E26" s="44">
        <f>100*C26/D26</f>
        <v>116.82215016436042</v>
      </c>
      <c r="G26" s="131"/>
      <c r="H26" s="225"/>
      <c r="I26" s="131"/>
      <c r="J26" s="34"/>
      <c r="K26" s="34"/>
      <c r="L26" s="34"/>
      <c r="M26" s="34"/>
      <c r="N26" s="34"/>
      <c r="O26" s="34"/>
    </row>
    <row r="27" spans="1:26" ht="12.75" customHeight="1">
      <c r="B27" s="31" t="s">
        <v>840</v>
      </c>
      <c r="G27" s="34"/>
      <c r="H27" s="39" t="s">
        <v>252</v>
      </c>
      <c r="I27" s="39"/>
      <c r="J27" s="34"/>
      <c r="K27" s="34"/>
      <c r="L27" s="34"/>
      <c r="M27" s="34"/>
      <c r="N27" s="34"/>
      <c r="O27" s="34"/>
    </row>
    <row r="28" spans="1:26" ht="12.75" customHeight="1">
      <c r="B28" s="31" t="s">
        <v>855</v>
      </c>
      <c r="D28" s="131"/>
      <c r="G28" s="34"/>
      <c r="H28" s="34"/>
      <c r="I28" s="34"/>
      <c r="J28" s="34"/>
      <c r="K28" s="34"/>
      <c r="L28" s="34"/>
      <c r="M28" s="34"/>
      <c r="N28" s="34"/>
      <c r="O28" s="34"/>
    </row>
    <row r="29" spans="1:26" ht="12.75" customHeight="1">
      <c r="B29" s="31"/>
      <c r="C29" s="34"/>
      <c r="D29" s="131"/>
      <c r="E29" s="34"/>
      <c r="F29" s="34"/>
      <c r="G29" s="34"/>
      <c r="H29" s="34"/>
      <c r="I29" s="34"/>
      <c r="J29" s="34"/>
      <c r="K29" s="34"/>
      <c r="L29" s="34"/>
      <c r="M29" s="34"/>
      <c r="N29" s="34"/>
      <c r="O29" s="34"/>
    </row>
    <row r="30" spans="1:26" ht="12.75" customHeight="1">
      <c r="B30" s="142"/>
      <c r="C30" s="143"/>
      <c r="D30" s="143"/>
      <c r="E30" s="143"/>
      <c r="F30" s="143"/>
      <c r="G30" s="143"/>
      <c r="H30" s="143"/>
      <c r="I30" s="144"/>
      <c r="J30" s="34"/>
      <c r="K30" s="34"/>
      <c r="L30" s="34"/>
      <c r="M30" s="34"/>
      <c r="N30" s="34"/>
      <c r="O30" s="34"/>
    </row>
    <row r="31" spans="1:26" ht="12.75" customHeight="1">
      <c r="B31" s="95"/>
      <c r="C31" s="64"/>
      <c r="D31" s="64"/>
      <c r="E31" s="64"/>
      <c r="F31" s="64"/>
      <c r="G31" s="64"/>
      <c r="H31" s="64"/>
      <c r="I31" s="96"/>
      <c r="J31" s="34"/>
      <c r="K31" s="34"/>
      <c r="L31" s="34"/>
      <c r="M31" s="34"/>
      <c r="N31" s="34"/>
      <c r="O31" s="34"/>
    </row>
    <row r="32" spans="1:26" ht="12.75" customHeight="1">
      <c r="B32" s="95"/>
      <c r="C32" s="64"/>
      <c r="D32" s="64"/>
      <c r="E32" s="64"/>
      <c r="F32" s="64"/>
      <c r="G32" s="64"/>
      <c r="H32" s="64"/>
      <c r="I32" s="96"/>
      <c r="J32" s="34"/>
      <c r="K32" s="34"/>
      <c r="L32" s="34"/>
      <c r="M32" s="34"/>
      <c r="N32" s="34"/>
      <c r="O32" s="34"/>
    </row>
    <row r="33" spans="2:15" ht="12.75" customHeight="1">
      <c r="B33" s="95"/>
      <c r="C33" s="64"/>
      <c r="D33" s="64"/>
      <c r="E33" s="64"/>
      <c r="F33" s="64"/>
      <c r="G33" s="64"/>
      <c r="H33" s="64"/>
      <c r="I33" s="96"/>
      <c r="J33" s="34"/>
      <c r="K33" s="34"/>
      <c r="L33" s="34"/>
      <c r="M33" s="34"/>
      <c r="N33" s="34"/>
      <c r="O33" s="34"/>
    </row>
    <row r="34" spans="2:15" ht="12.75" customHeight="1">
      <c r="B34" s="95"/>
      <c r="C34" s="64"/>
      <c r="D34" s="64"/>
      <c r="E34" s="64"/>
      <c r="F34" s="64"/>
      <c r="G34" s="64"/>
      <c r="H34" s="64"/>
      <c r="I34" s="96"/>
      <c r="J34" s="34"/>
      <c r="K34" s="34"/>
      <c r="L34" s="34"/>
      <c r="M34" s="34"/>
      <c r="N34" s="34"/>
      <c r="O34" s="34"/>
    </row>
    <row r="35" spans="2:15" ht="12.75" customHeight="1">
      <c r="B35" s="95"/>
      <c r="C35" s="64"/>
      <c r="D35" s="64"/>
      <c r="E35" s="64"/>
      <c r="F35" s="64"/>
      <c r="G35" s="64"/>
      <c r="H35" s="64"/>
      <c r="I35" s="96"/>
      <c r="J35" s="34"/>
      <c r="K35" s="34"/>
      <c r="L35" s="34"/>
      <c r="M35" s="34"/>
      <c r="N35" s="34"/>
      <c r="O35" s="34"/>
    </row>
    <row r="36" spans="2:15" ht="12.75" customHeight="1">
      <c r="B36" s="95"/>
      <c r="C36" s="64"/>
      <c r="D36" s="64"/>
      <c r="E36" s="64"/>
      <c r="F36" s="64"/>
      <c r="G36" s="64"/>
      <c r="H36" s="64"/>
      <c r="I36" s="96"/>
      <c r="J36" s="34"/>
      <c r="K36" s="34"/>
      <c r="L36" s="34"/>
      <c r="M36" s="34"/>
      <c r="N36" s="34"/>
      <c r="O36" s="34"/>
    </row>
    <row r="37" spans="2:15" ht="12.75" customHeight="1">
      <c r="B37" s="95"/>
      <c r="C37" s="64"/>
      <c r="D37" s="64"/>
      <c r="E37" s="64"/>
      <c r="F37" s="64"/>
      <c r="G37" s="64"/>
      <c r="H37" s="64"/>
      <c r="I37" s="96"/>
      <c r="J37" s="34"/>
      <c r="K37" s="34"/>
      <c r="L37" s="34"/>
      <c r="M37" s="34"/>
      <c r="N37" s="34"/>
      <c r="O37" s="34"/>
    </row>
    <row r="38" spans="2:15" ht="12.75" customHeight="1">
      <c r="B38" s="95"/>
      <c r="C38" s="64"/>
      <c r="D38" s="64"/>
      <c r="E38" s="64"/>
      <c r="F38" s="64"/>
      <c r="G38" s="64"/>
      <c r="H38" s="64"/>
      <c r="I38" s="96"/>
      <c r="J38" s="34"/>
      <c r="K38" s="34"/>
      <c r="L38" s="34"/>
      <c r="M38" s="34"/>
      <c r="N38" s="34"/>
      <c r="O38" s="34"/>
    </row>
    <row r="39" spans="2:15" ht="12.75" customHeight="1">
      <c r="B39" s="95"/>
      <c r="C39" s="64"/>
      <c r="D39" s="64"/>
      <c r="E39" s="64"/>
      <c r="F39" s="64"/>
      <c r="G39" s="64"/>
      <c r="H39" s="64"/>
      <c r="I39" s="96"/>
      <c r="J39" s="34"/>
      <c r="K39" s="34"/>
      <c r="L39" s="34"/>
      <c r="M39" s="34"/>
      <c r="N39" s="34"/>
      <c r="O39" s="34"/>
    </row>
    <row r="40" spans="2:15" ht="12.75" customHeight="1">
      <c r="B40" s="95"/>
      <c r="C40" s="64"/>
      <c r="D40" s="64"/>
      <c r="E40" s="64"/>
      <c r="F40" s="64"/>
      <c r="G40" s="64"/>
      <c r="H40" s="64"/>
      <c r="I40" s="96"/>
      <c r="J40" s="34"/>
      <c r="K40" s="34"/>
      <c r="L40" s="34"/>
      <c r="M40" s="34"/>
      <c r="N40" s="34"/>
      <c r="O40" s="34"/>
    </row>
    <row r="41" spans="2:15" ht="12.75" customHeight="1">
      <c r="B41" s="95"/>
      <c r="C41" s="64"/>
      <c r="D41" s="64"/>
      <c r="E41" s="64"/>
      <c r="F41" s="64"/>
      <c r="G41" s="64"/>
      <c r="H41" s="64"/>
      <c r="I41" s="96"/>
      <c r="J41" s="34"/>
      <c r="K41" s="34"/>
      <c r="L41" s="34"/>
      <c r="M41" s="34"/>
      <c r="N41" s="34"/>
      <c r="O41" s="34"/>
    </row>
    <row r="42" spans="2:15" ht="12.75" customHeight="1">
      <c r="B42" s="95"/>
      <c r="C42" s="64"/>
      <c r="D42" s="64"/>
      <c r="E42" s="64"/>
      <c r="F42" s="64"/>
      <c r="G42" s="64"/>
      <c r="H42" s="64"/>
      <c r="I42" s="96"/>
      <c r="J42" s="34"/>
      <c r="K42" s="34"/>
      <c r="L42" s="34"/>
      <c r="M42" s="34"/>
      <c r="N42" s="34"/>
      <c r="O42" s="34"/>
    </row>
    <row r="43" spans="2:15" ht="12.75" customHeight="1">
      <c r="B43" s="95"/>
      <c r="C43" s="64"/>
      <c r="D43" s="64"/>
      <c r="E43" s="64"/>
      <c r="F43" s="64"/>
      <c r="G43" s="64"/>
      <c r="H43" s="64"/>
      <c r="I43" s="96"/>
      <c r="J43" s="34"/>
      <c r="K43" s="34"/>
      <c r="L43" s="34"/>
      <c r="M43" s="34"/>
      <c r="N43" s="34"/>
      <c r="O43" s="34"/>
    </row>
    <row r="44" spans="2:15" ht="12.75" customHeight="1">
      <c r="B44" s="95"/>
      <c r="C44" s="64"/>
      <c r="D44" s="64"/>
      <c r="E44" s="64"/>
      <c r="F44" s="64"/>
      <c r="G44" s="64"/>
      <c r="H44" s="64"/>
      <c r="I44" s="96"/>
      <c r="J44" s="34"/>
      <c r="K44" s="34"/>
      <c r="L44" s="34"/>
      <c r="M44" s="34"/>
      <c r="N44" s="34"/>
      <c r="O44" s="34"/>
    </row>
    <row r="45" spans="2:15" ht="12.75" customHeight="1">
      <c r="B45" s="95"/>
      <c r="C45" s="64"/>
      <c r="D45" s="64"/>
      <c r="E45" s="64"/>
      <c r="F45" s="64"/>
      <c r="G45" s="64"/>
      <c r="H45" s="64"/>
      <c r="I45" s="96"/>
      <c r="J45" s="34"/>
      <c r="K45" s="34"/>
      <c r="L45" s="34"/>
      <c r="M45" s="34"/>
      <c r="N45" s="34"/>
      <c r="O45" s="34"/>
    </row>
    <row r="46" spans="2:15" ht="12.75" customHeight="1">
      <c r="B46" s="95"/>
      <c r="C46" s="64"/>
      <c r="D46" s="64"/>
      <c r="E46" s="64"/>
      <c r="F46" s="64"/>
      <c r="G46" s="64"/>
      <c r="H46" s="64"/>
      <c r="I46" s="96"/>
      <c r="J46" s="34"/>
      <c r="K46" s="34"/>
      <c r="L46" s="34"/>
      <c r="M46" s="34"/>
      <c r="N46" s="34"/>
      <c r="O46" s="34"/>
    </row>
    <row r="47" spans="2:15" ht="12.75" customHeight="1">
      <c r="B47" s="95"/>
      <c r="C47" s="64"/>
      <c r="D47" s="64"/>
      <c r="E47" s="64"/>
      <c r="F47" s="64"/>
      <c r="G47" s="64"/>
      <c r="H47" s="64"/>
      <c r="I47" s="96"/>
      <c r="J47" s="34"/>
      <c r="K47" s="34"/>
      <c r="L47" s="34"/>
      <c r="M47" s="34"/>
      <c r="N47" s="34"/>
      <c r="O47" s="34"/>
    </row>
    <row r="48" spans="2:15" ht="12.75" customHeight="1">
      <c r="B48" s="95"/>
      <c r="C48" s="64"/>
      <c r="D48" s="64"/>
      <c r="E48" s="64"/>
      <c r="F48" s="64"/>
      <c r="G48" s="64"/>
      <c r="H48" s="64"/>
      <c r="I48" s="96"/>
      <c r="J48" s="34"/>
      <c r="K48" s="34"/>
      <c r="L48" s="34"/>
      <c r="M48" s="34"/>
      <c r="N48" s="34"/>
      <c r="O48" s="34"/>
    </row>
    <row r="49" spans="2:15" ht="12.75" customHeight="1">
      <c r="B49" s="95"/>
      <c r="C49" s="64"/>
      <c r="D49" s="64"/>
      <c r="E49" s="64"/>
      <c r="F49" s="64"/>
      <c r="G49" s="64"/>
      <c r="H49" s="64"/>
      <c r="I49" s="96"/>
      <c r="J49" s="34"/>
      <c r="K49" s="34"/>
      <c r="L49" s="34"/>
      <c r="M49" s="34"/>
      <c r="N49" s="34"/>
      <c r="O49" s="34"/>
    </row>
    <row r="50" spans="2:15" ht="12.75" customHeight="1">
      <c r="B50" s="95"/>
      <c r="C50" s="64"/>
      <c r="D50" s="64"/>
      <c r="E50" s="64"/>
      <c r="F50" s="64"/>
      <c r="G50" s="64"/>
      <c r="H50" s="64"/>
      <c r="I50" s="96"/>
      <c r="J50" s="34"/>
      <c r="K50" s="34"/>
      <c r="L50" s="34"/>
      <c r="M50" s="34"/>
      <c r="N50" s="34"/>
      <c r="O50" s="34"/>
    </row>
    <row r="51" spans="2:15" ht="12.75" customHeight="1">
      <c r="B51" s="95"/>
      <c r="C51" s="64"/>
      <c r="D51" s="64"/>
      <c r="E51" s="64"/>
      <c r="F51" s="64"/>
      <c r="G51" s="64"/>
      <c r="H51" s="64"/>
      <c r="I51" s="96"/>
      <c r="J51" s="34"/>
      <c r="K51" s="34"/>
      <c r="L51" s="34"/>
      <c r="M51" s="34"/>
      <c r="N51" s="34"/>
      <c r="O51" s="34"/>
    </row>
    <row r="52" spans="2:15" ht="12.75" customHeight="1">
      <c r="B52" s="95"/>
      <c r="C52" s="64"/>
      <c r="D52" s="64"/>
      <c r="E52" s="64"/>
      <c r="F52" s="64"/>
      <c r="G52" s="64"/>
      <c r="H52" s="64"/>
      <c r="I52" s="96"/>
      <c r="J52" s="34"/>
      <c r="K52" s="34"/>
      <c r="L52" s="34"/>
      <c r="M52" s="34"/>
      <c r="N52" s="34"/>
      <c r="O52" s="34"/>
    </row>
    <row r="53" spans="2:15" ht="12.75" customHeight="1">
      <c r="B53" s="95"/>
      <c r="C53" s="64"/>
      <c r="D53" s="64"/>
      <c r="E53" s="64"/>
      <c r="F53" s="64"/>
      <c r="G53" s="64"/>
      <c r="H53" s="64"/>
      <c r="I53" s="96"/>
      <c r="J53" s="34"/>
      <c r="K53" s="34"/>
      <c r="L53" s="34"/>
      <c r="M53" s="34"/>
      <c r="N53" s="34"/>
      <c r="O53" s="34"/>
    </row>
    <row r="54" spans="2:15" ht="12.75" customHeight="1">
      <c r="B54" s="95"/>
      <c r="C54" s="64"/>
      <c r="D54" s="64"/>
      <c r="E54" s="64"/>
      <c r="F54" s="64"/>
      <c r="G54" s="64"/>
      <c r="H54" s="64"/>
      <c r="I54" s="96"/>
      <c r="J54" s="34"/>
      <c r="K54" s="34"/>
      <c r="L54" s="34"/>
      <c r="M54" s="34"/>
      <c r="N54" s="34"/>
      <c r="O54" s="34"/>
    </row>
    <row r="55" spans="2:15" ht="12.75" customHeight="1">
      <c r="B55" s="95"/>
      <c r="C55" s="64"/>
      <c r="D55" s="64"/>
      <c r="E55" s="64"/>
      <c r="F55" s="64"/>
      <c r="G55" s="64"/>
      <c r="H55" s="64"/>
      <c r="I55" s="96"/>
      <c r="J55" s="34"/>
      <c r="K55" s="34"/>
      <c r="L55" s="34"/>
      <c r="M55" s="34"/>
      <c r="N55" s="34"/>
      <c r="O55" s="34"/>
    </row>
    <row r="56" spans="2:15" ht="12.75" customHeight="1">
      <c r="B56" s="95"/>
      <c r="C56" s="64"/>
      <c r="D56" s="64"/>
      <c r="E56" s="64"/>
      <c r="F56" s="64"/>
      <c r="G56" s="64"/>
      <c r="H56" s="64"/>
      <c r="I56" s="96"/>
      <c r="J56" s="34"/>
      <c r="K56" s="34"/>
      <c r="L56" s="34"/>
      <c r="M56" s="34"/>
      <c r="N56" s="34"/>
      <c r="O56" s="34"/>
    </row>
    <row r="57" spans="2:15" ht="12.75" customHeight="1">
      <c r="B57" s="95"/>
      <c r="C57" s="64"/>
      <c r="D57" s="64"/>
      <c r="E57" s="64"/>
      <c r="F57" s="64"/>
      <c r="G57" s="64"/>
      <c r="H57" s="64"/>
      <c r="I57" s="96"/>
      <c r="J57" s="34"/>
      <c r="K57" s="34"/>
      <c r="L57" s="34"/>
      <c r="M57" s="34"/>
      <c r="N57" s="34"/>
      <c r="O57" s="34"/>
    </row>
    <row r="58" spans="2:15" ht="12.75" customHeight="1">
      <c r="B58" s="95"/>
      <c r="C58" s="64"/>
      <c r="D58" s="64"/>
      <c r="E58" s="64"/>
      <c r="F58" s="64"/>
      <c r="G58" s="64"/>
      <c r="H58" s="64"/>
      <c r="I58" s="96"/>
      <c r="J58" s="34"/>
      <c r="K58" s="34"/>
      <c r="L58" s="34"/>
      <c r="M58" s="34"/>
      <c r="N58" s="34"/>
      <c r="O58" s="34"/>
    </row>
    <row r="59" spans="2:15" ht="12.75" customHeight="1">
      <c r="B59" s="95"/>
      <c r="C59" s="64"/>
      <c r="D59" s="64"/>
      <c r="E59" s="64"/>
      <c r="F59" s="64"/>
      <c r="G59" s="64"/>
      <c r="H59" s="64"/>
      <c r="I59" s="96"/>
      <c r="J59" s="34"/>
      <c r="K59" s="34"/>
      <c r="L59" s="34"/>
      <c r="M59" s="34"/>
      <c r="N59" s="34"/>
      <c r="O59" s="34"/>
    </row>
    <row r="60" spans="2:15" ht="12.75" customHeight="1">
      <c r="B60" s="95"/>
      <c r="C60" s="64"/>
      <c r="D60" s="64"/>
      <c r="E60" s="64"/>
      <c r="F60" s="64"/>
      <c r="G60" s="64"/>
      <c r="H60" s="64"/>
      <c r="I60" s="96"/>
      <c r="J60" s="34"/>
      <c r="K60" s="34"/>
      <c r="L60" s="34"/>
      <c r="M60" s="34"/>
      <c r="N60" s="34"/>
      <c r="O60" s="34"/>
    </row>
    <row r="61" spans="2:15" ht="12.75" customHeight="1">
      <c r="B61" s="95"/>
      <c r="C61" s="64"/>
      <c r="D61" s="64"/>
      <c r="E61" s="64"/>
      <c r="F61" s="64"/>
      <c r="G61" s="64"/>
      <c r="H61" s="64"/>
      <c r="I61" s="96"/>
      <c r="J61" s="34"/>
      <c r="K61" s="34"/>
      <c r="L61" s="34"/>
      <c r="M61" s="34"/>
      <c r="N61" s="34"/>
      <c r="O61" s="34"/>
    </row>
    <row r="62" spans="2:15" ht="12.75" customHeight="1">
      <c r="B62" s="95"/>
      <c r="C62" s="64"/>
      <c r="D62" s="64"/>
      <c r="E62" s="64"/>
      <c r="F62" s="64"/>
      <c r="G62" s="64"/>
      <c r="H62" s="64"/>
      <c r="I62" s="96"/>
      <c r="J62" s="34"/>
      <c r="K62" s="34"/>
      <c r="L62" s="34"/>
      <c r="M62" s="34"/>
      <c r="N62" s="34"/>
      <c r="O62" s="34"/>
    </row>
    <row r="63" spans="2:15" ht="12.75" customHeight="1">
      <c r="B63" s="95"/>
      <c r="C63" s="64"/>
      <c r="D63" s="64"/>
      <c r="E63" s="64"/>
      <c r="F63" s="64"/>
      <c r="G63" s="64"/>
      <c r="H63" s="64"/>
      <c r="I63" s="96"/>
      <c r="J63" s="34"/>
      <c r="K63" s="34"/>
      <c r="L63" s="34"/>
      <c r="M63" s="34"/>
      <c r="N63" s="34"/>
      <c r="O63" s="34"/>
    </row>
    <row r="64" spans="2:15" ht="12.75" customHeight="1">
      <c r="B64" s="95"/>
      <c r="C64" s="64"/>
      <c r="D64" s="64"/>
      <c r="E64" s="64"/>
      <c r="F64" s="64"/>
      <c r="G64" s="64"/>
      <c r="H64" s="64"/>
      <c r="I64" s="96"/>
      <c r="J64" s="34"/>
      <c r="K64" s="34"/>
      <c r="L64" s="34"/>
      <c r="M64" s="34"/>
      <c r="N64" s="34"/>
      <c r="O64" s="34"/>
    </row>
    <row r="65" spans="2:15" ht="12.75" customHeight="1">
      <c r="B65" s="95"/>
      <c r="C65" s="64"/>
      <c r="D65" s="64"/>
      <c r="E65" s="64"/>
      <c r="F65" s="64"/>
      <c r="G65" s="64"/>
      <c r="H65" s="64"/>
      <c r="I65" s="96"/>
      <c r="J65" s="34"/>
      <c r="K65" s="34"/>
      <c r="L65" s="34"/>
      <c r="M65" s="34"/>
      <c r="N65" s="34"/>
      <c r="O65" s="34"/>
    </row>
    <row r="66" spans="2:15" ht="12.75" customHeight="1">
      <c r="B66" s="95"/>
      <c r="C66" s="64"/>
      <c r="D66" s="64"/>
      <c r="E66" s="64"/>
      <c r="F66" s="64"/>
      <c r="G66" s="64"/>
      <c r="H66" s="64"/>
      <c r="I66" s="96"/>
      <c r="J66" s="34"/>
      <c r="K66" s="34"/>
      <c r="L66" s="34"/>
      <c r="M66" s="34"/>
      <c r="N66" s="34"/>
      <c r="O66" s="34"/>
    </row>
    <row r="67" spans="2:15" ht="12.75" customHeight="1">
      <c r="B67" s="95"/>
      <c r="C67" s="64"/>
      <c r="D67" s="64"/>
      <c r="E67" s="64"/>
      <c r="F67" s="64"/>
      <c r="G67" s="64"/>
      <c r="H67" s="64"/>
      <c r="I67" s="96"/>
      <c r="J67" s="34"/>
      <c r="K67" s="34"/>
      <c r="L67" s="34"/>
      <c r="M67" s="34"/>
      <c r="N67" s="34"/>
      <c r="O67" s="34"/>
    </row>
    <row r="68" spans="2:15" ht="12.75" customHeight="1">
      <c r="B68" s="95"/>
      <c r="C68" s="64"/>
      <c r="D68" s="64"/>
      <c r="E68" s="64"/>
      <c r="F68" s="64"/>
      <c r="G68" s="64"/>
      <c r="H68" s="64"/>
      <c r="I68" s="96"/>
      <c r="J68" s="34"/>
      <c r="K68" s="34"/>
      <c r="L68" s="34"/>
      <c r="M68" s="34"/>
      <c r="N68" s="34"/>
      <c r="O68" s="34"/>
    </row>
    <row r="69" spans="2:15" ht="12.75" customHeight="1">
      <c r="B69" s="95"/>
      <c r="C69" s="64"/>
      <c r="D69" s="64"/>
      <c r="E69" s="64"/>
      <c r="F69" s="64"/>
      <c r="G69" s="64"/>
      <c r="H69" s="64"/>
      <c r="I69" s="96"/>
      <c r="J69" s="34"/>
      <c r="K69" s="34"/>
      <c r="L69" s="34"/>
      <c r="M69" s="34"/>
      <c r="N69" s="34"/>
      <c r="O69" s="34"/>
    </row>
    <row r="70" spans="2:15" ht="12.75" customHeight="1">
      <c r="B70" s="95"/>
      <c r="C70" s="64"/>
      <c r="D70" s="64"/>
      <c r="E70" s="64"/>
      <c r="F70" s="64"/>
      <c r="G70" s="64"/>
      <c r="H70" s="64"/>
      <c r="I70" s="96"/>
      <c r="J70" s="34"/>
      <c r="K70" s="34"/>
      <c r="L70" s="34"/>
      <c r="M70" s="34"/>
      <c r="N70" s="34"/>
      <c r="O70" s="34"/>
    </row>
    <row r="71" spans="2:15" ht="12.75" customHeight="1">
      <c r="B71" s="95"/>
      <c r="C71" s="64"/>
      <c r="D71" s="64"/>
      <c r="E71" s="64"/>
      <c r="F71" s="64"/>
      <c r="G71" s="64"/>
      <c r="H71" s="64"/>
      <c r="I71" s="96"/>
      <c r="J71" s="34"/>
      <c r="K71" s="34"/>
      <c r="L71" s="34"/>
      <c r="M71" s="34"/>
      <c r="N71" s="34"/>
      <c r="O71" s="34"/>
    </row>
    <row r="72" spans="2:15" ht="12.75" customHeight="1">
      <c r="B72" s="95"/>
      <c r="C72" s="64"/>
      <c r="D72" s="64"/>
      <c r="E72" s="64"/>
      <c r="F72" s="64"/>
      <c r="G72" s="64"/>
      <c r="H72" s="64"/>
      <c r="I72" s="96"/>
      <c r="J72" s="34"/>
      <c r="K72" s="34"/>
      <c r="L72" s="34"/>
      <c r="M72" s="34"/>
      <c r="N72" s="34"/>
      <c r="O72" s="34"/>
    </row>
    <row r="73" spans="2:15" ht="12.75" customHeight="1">
      <c r="B73" s="95"/>
      <c r="C73" s="64"/>
      <c r="D73" s="64"/>
      <c r="E73" s="64"/>
      <c r="F73" s="64"/>
      <c r="G73" s="64"/>
      <c r="H73" s="64"/>
      <c r="I73" s="96"/>
      <c r="J73" s="34"/>
      <c r="K73" s="34"/>
      <c r="L73" s="34"/>
      <c r="M73" s="34"/>
      <c r="N73" s="34"/>
      <c r="O73" s="34"/>
    </row>
    <row r="74" spans="2:15" ht="12.75" customHeight="1">
      <c r="B74" s="95"/>
      <c r="C74" s="64"/>
      <c r="D74" s="64"/>
      <c r="E74" s="64"/>
      <c r="F74" s="64"/>
      <c r="G74" s="64"/>
      <c r="H74" s="64"/>
      <c r="I74" s="96"/>
      <c r="J74" s="34"/>
      <c r="K74" s="34"/>
      <c r="L74" s="34"/>
      <c r="M74" s="34"/>
      <c r="N74" s="34"/>
      <c r="O74" s="34"/>
    </row>
    <row r="75" spans="2:15" ht="12.75" customHeight="1">
      <c r="B75" s="95"/>
      <c r="C75" s="64"/>
      <c r="D75" s="64"/>
      <c r="E75" s="64"/>
      <c r="F75" s="64"/>
      <c r="G75" s="64"/>
      <c r="H75" s="64"/>
      <c r="I75" s="96"/>
      <c r="J75" s="34"/>
      <c r="K75" s="34"/>
      <c r="L75" s="34"/>
      <c r="M75" s="34"/>
      <c r="N75" s="34"/>
      <c r="O75" s="34"/>
    </row>
    <row r="76" spans="2:15" ht="12.75" customHeight="1">
      <c r="B76" s="95"/>
      <c r="C76" s="64"/>
      <c r="D76" s="64"/>
      <c r="E76" s="64"/>
      <c r="F76" s="64"/>
      <c r="G76" s="64"/>
      <c r="H76" s="64"/>
      <c r="I76" s="96"/>
      <c r="J76" s="34"/>
      <c r="K76" s="34"/>
      <c r="L76" s="34"/>
      <c r="M76" s="34"/>
      <c r="N76" s="34"/>
      <c r="O76" s="34"/>
    </row>
    <row r="77" spans="2:15" ht="12.75" customHeight="1">
      <c r="B77" s="95"/>
      <c r="C77" s="64"/>
      <c r="D77" s="64"/>
      <c r="E77" s="64"/>
      <c r="F77" s="64"/>
      <c r="G77" s="64"/>
      <c r="H77" s="64"/>
      <c r="I77" s="96"/>
      <c r="J77" s="34"/>
      <c r="K77" s="34"/>
      <c r="L77" s="34"/>
      <c r="M77" s="34"/>
      <c r="N77" s="34"/>
      <c r="O77" s="34"/>
    </row>
    <row r="78" spans="2:15" ht="12.75" customHeight="1">
      <c r="B78" s="95"/>
      <c r="C78" s="64"/>
      <c r="D78" s="64"/>
      <c r="E78" s="64"/>
      <c r="F78" s="64"/>
      <c r="G78" s="64"/>
      <c r="H78" s="64"/>
      <c r="I78" s="96"/>
      <c r="J78" s="34"/>
      <c r="K78" s="34"/>
      <c r="L78" s="34"/>
      <c r="M78" s="34"/>
      <c r="N78" s="34"/>
      <c r="O78" s="34"/>
    </row>
    <row r="79" spans="2:15" ht="12.75" customHeight="1">
      <c r="B79" s="95"/>
      <c r="C79" s="64"/>
      <c r="D79" s="64"/>
      <c r="E79" s="64"/>
      <c r="F79" s="64"/>
      <c r="G79" s="64"/>
      <c r="H79" s="64"/>
      <c r="I79" s="96"/>
      <c r="J79" s="34"/>
      <c r="K79" s="34"/>
      <c r="L79" s="34"/>
      <c r="M79" s="34"/>
      <c r="N79" s="34"/>
      <c r="O79" s="34"/>
    </row>
    <row r="80" spans="2:15" ht="12.75" customHeight="1">
      <c r="B80" s="95"/>
      <c r="C80" s="64"/>
      <c r="D80" s="64"/>
      <c r="E80" s="64"/>
      <c r="F80" s="64"/>
      <c r="G80" s="64"/>
      <c r="H80" s="64"/>
      <c r="I80" s="96"/>
      <c r="J80" s="34"/>
      <c r="K80" s="34"/>
      <c r="L80" s="34"/>
      <c r="M80" s="34"/>
      <c r="N80" s="34"/>
      <c r="O80" s="34"/>
    </row>
    <row r="81" spans="2:15" ht="12.75" customHeight="1">
      <c r="B81" s="95"/>
      <c r="C81" s="64"/>
      <c r="D81" s="64"/>
      <c r="E81" s="64"/>
      <c r="F81" s="64"/>
      <c r="G81" s="64"/>
      <c r="H81" s="64"/>
      <c r="I81" s="96"/>
      <c r="J81" s="34"/>
      <c r="K81" s="34"/>
      <c r="L81" s="34"/>
      <c r="M81" s="34"/>
      <c r="N81" s="34"/>
      <c r="O81" s="34"/>
    </row>
    <row r="82" spans="2:15" ht="12.75" customHeight="1">
      <c r="B82" s="95"/>
      <c r="C82" s="64"/>
      <c r="D82" s="64"/>
      <c r="E82" s="64"/>
      <c r="F82" s="64"/>
      <c r="G82" s="64"/>
      <c r="H82" s="64"/>
      <c r="I82" s="96"/>
      <c r="J82" s="34"/>
      <c r="K82" s="34"/>
      <c r="L82" s="34"/>
      <c r="M82" s="34"/>
      <c r="N82" s="34"/>
      <c r="O82" s="34"/>
    </row>
    <row r="83" spans="2:15" ht="12.75" customHeight="1">
      <c r="B83" s="95"/>
      <c r="C83" s="64"/>
      <c r="D83" s="64"/>
      <c r="E83" s="64"/>
      <c r="F83" s="64"/>
      <c r="G83" s="64"/>
      <c r="H83" s="64"/>
      <c r="I83" s="96"/>
      <c r="J83" s="34"/>
      <c r="K83" s="34"/>
      <c r="L83" s="34"/>
      <c r="M83" s="34"/>
      <c r="N83" s="34"/>
      <c r="O83" s="34"/>
    </row>
    <row r="84" spans="2:15" ht="12.75" customHeight="1">
      <c r="B84" s="95"/>
      <c r="C84" s="64"/>
      <c r="D84" s="64"/>
      <c r="E84" s="64"/>
      <c r="F84" s="64"/>
      <c r="G84" s="64"/>
      <c r="H84" s="64"/>
      <c r="I84" s="96"/>
      <c r="J84" s="34"/>
      <c r="K84" s="34"/>
      <c r="L84" s="34"/>
      <c r="M84" s="34"/>
      <c r="N84" s="34"/>
      <c r="O84" s="34"/>
    </row>
    <row r="85" spans="2:15" ht="12.75" customHeight="1">
      <c r="B85" s="95"/>
      <c r="C85" s="64"/>
      <c r="D85" s="64"/>
      <c r="E85" s="64"/>
      <c r="F85" s="64"/>
      <c r="G85" s="64"/>
      <c r="H85" s="64"/>
      <c r="I85" s="96"/>
      <c r="J85" s="34"/>
      <c r="K85" s="34"/>
      <c r="L85" s="34"/>
      <c r="M85" s="34"/>
      <c r="N85" s="34"/>
      <c r="O85" s="34"/>
    </row>
    <row r="86" spans="2:15" ht="12.75" customHeight="1">
      <c r="B86" s="95"/>
      <c r="C86" s="64"/>
      <c r="D86" s="64"/>
      <c r="E86" s="64"/>
      <c r="F86" s="64"/>
      <c r="G86" s="64"/>
      <c r="H86" s="64"/>
      <c r="I86" s="96"/>
      <c r="J86" s="34"/>
      <c r="K86" s="34"/>
      <c r="L86" s="34"/>
      <c r="M86" s="34"/>
      <c r="N86" s="34"/>
      <c r="O86" s="34"/>
    </row>
    <row r="87" spans="2:15" ht="12.75" customHeight="1">
      <c r="B87" s="95"/>
      <c r="C87" s="64"/>
      <c r="D87" s="64"/>
      <c r="E87" s="64"/>
      <c r="F87" s="64"/>
      <c r="G87" s="64"/>
      <c r="H87" s="64"/>
      <c r="I87" s="96"/>
      <c r="J87" s="34"/>
      <c r="K87" s="34"/>
      <c r="L87" s="34"/>
      <c r="M87" s="34"/>
      <c r="N87" s="34"/>
      <c r="O87" s="34"/>
    </row>
    <row r="88" spans="2:15" ht="12.75" customHeight="1">
      <c r="B88" s="95"/>
      <c r="C88" s="64"/>
      <c r="D88" s="64"/>
      <c r="E88" s="64"/>
      <c r="F88" s="64"/>
      <c r="G88" s="64"/>
      <c r="H88" s="64"/>
      <c r="I88" s="96"/>
      <c r="J88" s="34"/>
      <c r="K88" s="34"/>
      <c r="L88" s="34"/>
      <c r="M88" s="34"/>
      <c r="N88" s="34"/>
      <c r="O88" s="34"/>
    </row>
    <row r="89" spans="2:15" ht="12.75" customHeight="1">
      <c r="B89" s="95"/>
      <c r="C89" s="64"/>
      <c r="D89" s="64"/>
      <c r="E89" s="64"/>
      <c r="F89" s="64"/>
      <c r="G89" s="64"/>
      <c r="H89" s="64"/>
      <c r="I89" s="96"/>
      <c r="J89" s="34"/>
      <c r="K89" s="34"/>
      <c r="L89" s="34"/>
      <c r="M89" s="34"/>
      <c r="N89" s="34"/>
      <c r="O89" s="34"/>
    </row>
    <row r="90" spans="2:15" ht="12.75" customHeight="1">
      <c r="B90" s="95"/>
      <c r="C90" s="64"/>
      <c r="D90" s="64"/>
      <c r="E90" s="64"/>
      <c r="F90" s="64"/>
      <c r="G90" s="64"/>
      <c r="H90" s="64"/>
      <c r="I90" s="96"/>
      <c r="J90" s="34"/>
      <c r="K90" s="34"/>
      <c r="L90" s="34"/>
      <c r="M90" s="34"/>
      <c r="N90" s="34"/>
      <c r="O90" s="34"/>
    </row>
    <row r="91" spans="2:15" ht="12.75" customHeight="1">
      <c r="B91" s="95"/>
      <c r="C91" s="64"/>
      <c r="D91" s="64"/>
      <c r="E91" s="64"/>
      <c r="F91" s="64"/>
      <c r="G91" s="64"/>
      <c r="H91" s="64"/>
      <c r="I91" s="96"/>
      <c r="J91" s="34"/>
      <c r="K91" s="34"/>
      <c r="L91" s="34"/>
      <c r="M91" s="34"/>
      <c r="N91" s="34"/>
      <c r="O91" s="34"/>
    </row>
    <row r="92" spans="2:15" ht="12.75" customHeight="1">
      <c r="B92" s="95"/>
      <c r="C92" s="64"/>
      <c r="D92" s="64"/>
      <c r="E92" s="64"/>
      <c r="F92" s="64"/>
      <c r="G92" s="64"/>
      <c r="H92" s="64"/>
      <c r="I92" s="96"/>
      <c r="J92" s="34"/>
      <c r="K92" s="34"/>
      <c r="L92" s="34"/>
      <c r="M92" s="34"/>
      <c r="N92" s="34"/>
      <c r="O92" s="34"/>
    </row>
    <row r="93" spans="2:15" ht="12.75" customHeight="1">
      <c r="B93" s="95"/>
      <c r="C93" s="64"/>
      <c r="D93" s="64"/>
      <c r="E93" s="64"/>
      <c r="F93" s="64"/>
      <c r="G93" s="64"/>
      <c r="H93" s="64"/>
      <c r="I93" s="96"/>
      <c r="J93" s="34"/>
      <c r="K93" s="34"/>
      <c r="L93" s="34"/>
      <c r="M93" s="34"/>
      <c r="N93" s="34"/>
      <c r="O93" s="34"/>
    </row>
    <row r="94" spans="2:15" ht="12.75" customHeight="1">
      <c r="B94" s="95"/>
      <c r="C94" s="64"/>
      <c r="D94" s="64"/>
      <c r="E94" s="64"/>
      <c r="F94" s="64"/>
      <c r="G94" s="64"/>
      <c r="H94" s="64"/>
      <c r="I94" s="96"/>
      <c r="J94" s="34"/>
      <c r="K94" s="34"/>
      <c r="L94" s="34"/>
      <c r="M94" s="34"/>
      <c r="N94" s="34"/>
      <c r="O94" s="34"/>
    </row>
    <row r="95" spans="2:15" ht="12.75" customHeight="1">
      <c r="B95" s="95"/>
      <c r="C95" s="64"/>
      <c r="D95" s="64"/>
      <c r="E95" s="64"/>
      <c r="F95" s="64"/>
      <c r="G95" s="64"/>
      <c r="H95" s="64"/>
      <c r="I95" s="96"/>
      <c r="J95" s="34"/>
      <c r="K95" s="34"/>
      <c r="L95" s="34"/>
      <c r="M95" s="34"/>
      <c r="N95" s="34"/>
      <c r="O95" s="34"/>
    </row>
    <row r="96" spans="2:15" ht="12.75" customHeight="1">
      <c r="B96" s="95"/>
      <c r="C96" s="64"/>
      <c r="D96" s="64"/>
      <c r="E96" s="64"/>
      <c r="F96" s="64"/>
      <c r="G96" s="64"/>
      <c r="H96" s="64"/>
      <c r="I96" s="96"/>
      <c r="J96" s="34"/>
      <c r="K96" s="34"/>
      <c r="L96" s="34"/>
      <c r="M96" s="34"/>
      <c r="N96" s="34"/>
      <c r="O96" s="34"/>
    </row>
    <row r="97" spans="2:15" ht="12.75" customHeight="1">
      <c r="B97" s="95"/>
      <c r="C97" s="64"/>
      <c r="D97" s="64"/>
      <c r="E97" s="64"/>
      <c r="F97" s="64"/>
      <c r="G97" s="64"/>
      <c r="H97" s="64"/>
      <c r="I97" s="96"/>
      <c r="J97" s="34"/>
      <c r="K97" s="34"/>
      <c r="L97" s="34"/>
      <c r="M97" s="34"/>
      <c r="N97" s="34"/>
      <c r="O97" s="34"/>
    </row>
    <row r="98" spans="2:15" ht="12.75" customHeight="1">
      <c r="B98" s="95"/>
      <c r="C98" s="64"/>
      <c r="D98" s="64"/>
      <c r="E98" s="64"/>
      <c r="F98" s="64"/>
      <c r="G98" s="64"/>
      <c r="H98" s="64"/>
      <c r="I98" s="96"/>
      <c r="J98" s="34"/>
      <c r="K98" s="34"/>
      <c r="L98" s="34"/>
      <c r="M98" s="34"/>
      <c r="N98" s="34"/>
      <c r="O98" s="34"/>
    </row>
    <row r="99" spans="2:15" ht="12.75" customHeight="1">
      <c r="B99" s="95"/>
      <c r="C99" s="64"/>
      <c r="D99" s="64"/>
      <c r="E99" s="64"/>
      <c r="F99" s="64"/>
      <c r="G99" s="64"/>
      <c r="H99" s="64"/>
      <c r="I99" s="96"/>
      <c r="J99" s="34"/>
      <c r="K99" s="34"/>
      <c r="L99" s="34"/>
      <c r="M99" s="34"/>
      <c r="N99" s="34"/>
      <c r="O99" s="34"/>
    </row>
    <row r="100" spans="2:15" ht="12.75" customHeight="1">
      <c r="B100" s="95"/>
      <c r="C100" s="64"/>
      <c r="D100" s="64"/>
      <c r="E100" s="64"/>
      <c r="F100" s="64"/>
      <c r="G100" s="64"/>
      <c r="H100" s="64"/>
      <c r="I100" s="96"/>
      <c r="J100" s="34"/>
      <c r="K100" s="34"/>
      <c r="L100" s="34"/>
      <c r="M100" s="34"/>
      <c r="N100" s="34"/>
      <c r="O100" s="34"/>
    </row>
    <row r="101" spans="2:15" ht="12.75" customHeight="1">
      <c r="B101" s="95"/>
      <c r="C101" s="64"/>
      <c r="D101" s="64"/>
      <c r="E101" s="64"/>
      <c r="F101" s="64"/>
      <c r="G101" s="64"/>
      <c r="H101" s="64"/>
      <c r="I101" s="96"/>
      <c r="J101" s="34"/>
      <c r="K101" s="34"/>
      <c r="L101" s="34"/>
      <c r="M101" s="34"/>
      <c r="N101" s="34"/>
      <c r="O101" s="34"/>
    </row>
    <row r="102" spans="2:15" ht="12.75" customHeight="1">
      <c r="B102" s="95"/>
      <c r="C102" s="64"/>
      <c r="D102" s="64"/>
      <c r="E102" s="64"/>
      <c r="F102" s="64"/>
      <c r="G102" s="64"/>
      <c r="H102" s="64"/>
      <c r="I102" s="96"/>
      <c r="J102" s="34"/>
      <c r="K102" s="34"/>
      <c r="L102" s="34"/>
      <c r="M102" s="34"/>
      <c r="N102" s="34"/>
      <c r="O102" s="34"/>
    </row>
    <row r="103" spans="2:15" ht="12.75" customHeight="1">
      <c r="B103" s="95"/>
      <c r="C103" s="64"/>
      <c r="D103" s="64"/>
      <c r="E103" s="64"/>
      <c r="F103" s="64"/>
      <c r="G103" s="64"/>
      <c r="H103" s="64"/>
      <c r="I103" s="96"/>
      <c r="J103" s="34"/>
      <c r="K103" s="34"/>
      <c r="L103" s="34"/>
      <c r="M103" s="34"/>
      <c r="N103" s="34"/>
      <c r="O103" s="34"/>
    </row>
    <row r="104" spans="2:15" ht="12.75" customHeight="1">
      <c r="B104" s="95"/>
      <c r="C104" s="64"/>
      <c r="D104" s="64"/>
      <c r="E104" s="64"/>
      <c r="F104" s="64"/>
      <c r="G104" s="64"/>
      <c r="H104" s="64"/>
      <c r="I104" s="96"/>
      <c r="J104" s="34"/>
      <c r="K104" s="34"/>
      <c r="L104" s="34"/>
      <c r="M104" s="34"/>
      <c r="N104" s="34"/>
      <c r="O104" s="34"/>
    </row>
    <row r="105" spans="2:15" ht="12.75" customHeight="1">
      <c r="B105" s="95"/>
      <c r="C105" s="64"/>
      <c r="D105" s="64"/>
      <c r="E105" s="64"/>
      <c r="F105" s="64"/>
      <c r="G105" s="64"/>
      <c r="H105" s="64"/>
      <c r="I105" s="96"/>
      <c r="J105" s="34"/>
      <c r="K105" s="34"/>
      <c r="L105" s="34"/>
      <c r="M105" s="34"/>
      <c r="N105" s="34"/>
      <c r="O105" s="34"/>
    </row>
    <row r="106" spans="2:15" ht="12.75" customHeight="1">
      <c r="B106" s="95"/>
      <c r="C106" s="64"/>
      <c r="D106" s="64"/>
      <c r="E106" s="64"/>
      <c r="F106" s="64"/>
      <c r="G106" s="64"/>
      <c r="H106" s="64"/>
      <c r="I106" s="96"/>
      <c r="J106" s="34"/>
      <c r="K106" s="34"/>
      <c r="L106" s="34"/>
      <c r="M106" s="34"/>
      <c r="N106" s="34"/>
      <c r="O106" s="34"/>
    </row>
    <row r="107" spans="2:15" ht="12.75" customHeight="1">
      <c r="B107" s="95"/>
      <c r="C107" s="64"/>
      <c r="D107" s="64"/>
      <c r="E107" s="64"/>
      <c r="F107" s="64"/>
      <c r="G107" s="64"/>
      <c r="H107" s="64"/>
      <c r="I107" s="96"/>
      <c r="J107" s="34"/>
      <c r="K107" s="34"/>
      <c r="L107" s="34"/>
      <c r="M107" s="34"/>
      <c r="N107" s="34"/>
      <c r="O107" s="34"/>
    </row>
    <row r="108" spans="2:15" ht="12.75" customHeight="1">
      <c r="B108" s="95"/>
      <c r="C108" s="64"/>
      <c r="D108" s="64"/>
      <c r="E108" s="64"/>
      <c r="F108" s="64"/>
      <c r="G108" s="64"/>
      <c r="H108" s="64"/>
      <c r="I108" s="96"/>
      <c r="J108" s="34"/>
      <c r="K108" s="34"/>
      <c r="L108" s="34"/>
      <c r="M108" s="34"/>
      <c r="N108" s="34"/>
      <c r="O108" s="34"/>
    </row>
    <row r="109" spans="2:15" ht="12.75" customHeight="1">
      <c r="B109" s="95"/>
      <c r="C109" s="64"/>
      <c r="D109" s="64"/>
      <c r="E109" s="64"/>
      <c r="F109" s="64"/>
      <c r="G109" s="64"/>
      <c r="H109" s="64"/>
      <c r="I109" s="96"/>
      <c r="J109" s="34"/>
      <c r="K109" s="34"/>
      <c r="L109" s="34"/>
      <c r="M109" s="34"/>
      <c r="N109" s="34"/>
      <c r="O109" s="34"/>
    </row>
    <row r="110" spans="2:15" ht="12.75" customHeight="1">
      <c r="B110" s="95"/>
      <c r="C110" s="64"/>
      <c r="D110" s="64"/>
      <c r="E110" s="64"/>
      <c r="F110" s="64"/>
      <c r="G110" s="64"/>
      <c r="H110" s="64"/>
      <c r="I110" s="96"/>
      <c r="J110" s="34"/>
      <c r="K110" s="34"/>
      <c r="L110" s="34"/>
      <c r="M110" s="34"/>
      <c r="N110" s="34"/>
      <c r="O110" s="34"/>
    </row>
    <row r="111" spans="2:15" ht="12.75" customHeight="1">
      <c r="B111" s="95"/>
      <c r="C111" s="64"/>
      <c r="D111" s="64"/>
      <c r="E111" s="64"/>
      <c r="F111" s="64"/>
      <c r="G111" s="64"/>
      <c r="H111" s="64"/>
      <c r="I111" s="96"/>
      <c r="J111" s="34"/>
      <c r="K111" s="34"/>
      <c r="L111" s="34"/>
      <c r="M111" s="34"/>
      <c r="N111" s="34"/>
      <c r="O111" s="34"/>
    </row>
    <row r="112" spans="2:15" ht="12.75" customHeight="1">
      <c r="B112" s="95"/>
      <c r="C112" s="64"/>
      <c r="D112" s="64"/>
      <c r="E112" s="64"/>
      <c r="F112" s="64"/>
      <c r="G112" s="64"/>
      <c r="H112" s="64"/>
      <c r="I112" s="96"/>
      <c r="J112" s="34"/>
      <c r="K112" s="34"/>
      <c r="L112" s="34"/>
      <c r="M112" s="34"/>
      <c r="N112" s="34"/>
      <c r="O112" s="34"/>
    </row>
    <row r="113" spans="2:15" ht="12.75" customHeight="1">
      <c r="B113" s="95"/>
      <c r="C113" s="64"/>
      <c r="D113" s="64"/>
      <c r="E113" s="64"/>
      <c r="F113" s="64"/>
      <c r="G113" s="64"/>
      <c r="H113" s="64"/>
      <c r="I113" s="96"/>
      <c r="J113" s="34"/>
      <c r="K113" s="34"/>
      <c r="L113" s="34"/>
      <c r="M113" s="34"/>
      <c r="N113" s="34"/>
      <c r="O113" s="34"/>
    </row>
    <row r="114" spans="2:15" ht="12.75" customHeight="1">
      <c r="B114" s="95"/>
      <c r="C114" s="64"/>
      <c r="D114" s="64"/>
      <c r="E114" s="64"/>
      <c r="F114" s="64"/>
      <c r="G114" s="64"/>
      <c r="H114" s="64"/>
      <c r="I114" s="96"/>
      <c r="J114" s="34"/>
      <c r="K114" s="34"/>
      <c r="L114" s="34"/>
      <c r="M114" s="34"/>
      <c r="N114" s="34"/>
      <c r="O114" s="34"/>
    </row>
    <row r="115" spans="2:15" ht="12.75" customHeight="1">
      <c r="B115" s="95"/>
      <c r="C115" s="64"/>
      <c r="D115" s="64"/>
      <c r="E115" s="64"/>
      <c r="F115" s="64"/>
      <c r="G115" s="64"/>
      <c r="H115" s="64"/>
      <c r="I115" s="96"/>
      <c r="J115" s="34"/>
      <c r="K115" s="34"/>
      <c r="L115" s="34"/>
      <c r="M115" s="34"/>
      <c r="N115" s="34"/>
      <c r="O115" s="34"/>
    </row>
    <row r="116" spans="2:15" ht="12.75" customHeight="1">
      <c r="B116" s="95"/>
      <c r="C116" s="64"/>
      <c r="D116" s="64"/>
      <c r="E116" s="64"/>
      <c r="F116" s="64"/>
      <c r="G116" s="64"/>
      <c r="H116" s="64"/>
      <c r="I116" s="96"/>
      <c r="J116" s="34"/>
      <c r="K116" s="34"/>
      <c r="L116" s="34"/>
      <c r="M116" s="34"/>
      <c r="N116" s="34"/>
      <c r="O116" s="34"/>
    </row>
    <row r="117" spans="2:15" ht="12.75" customHeight="1">
      <c r="B117" s="95"/>
      <c r="C117" s="64"/>
      <c r="D117" s="64"/>
      <c r="E117" s="64"/>
      <c r="F117" s="64"/>
      <c r="G117" s="64"/>
      <c r="H117" s="64"/>
      <c r="I117" s="96"/>
      <c r="J117" s="34"/>
      <c r="K117" s="34"/>
      <c r="L117" s="34"/>
      <c r="M117" s="34"/>
      <c r="N117" s="34"/>
      <c r="O117" s="34"/>
    </row>
    <row r="118" spans="2:15" ht="12.75" customHeight="1">
      <c r="B118" s="95"/>
      <c r="C118" s="64"/>
      <c r="D118" s="64"/>
      <c r="E118" s="64"/>
      <c r="F118" s="64"/>
      <c r="G118" s="64"/>
      <c r="H118" s="64"/>
      <c r="I118" s="96"/>
      <c r="J118" s="34"/>
      <c r="K118" s="34"/>
      <c r="L118" s="34"/>
      <c r="M118" s="34"/>
      <c r="N118" s="34"/>
      <c r="O118" s="34"/>
    </row>
    <row r="119" spans="2:15" ht="12.75" customHeight="1">
      <c r="B119" s="95"/>
      <c r="C119" s="64"/>
      <c r="D119" s="64"/>
      <c r="E119" s="64"/>
      <c r="F119" s="64"/>
      <c r="G119" s="64"/>
      <c r="H119" s="64"/>
      <c r="I119" s="96"/>
      <c r="J119" s="34"/>
      <c r="K119" s="34"/>
      <c r="L119" s="34"/>
      <c r="M119" s="34"/>
      <c r="N119" s="34"/>
      <c r="O119" s="34"/>
    </row>
    <row r="120" spans="2:15" ht="12.75" customHeight="1">
      <c r="B120" s="95"/>
      <c r="C120" s="64"/>
      <c r="D120" s="64"/>
      <c r="E120" s="64"/>
      <c r="F120" s="64"/>
      <c r="G120" s="64"/>
      <c r="H120" s="64"/>
      <c r="I120" s="96"/>
      <c r="J120" s="34"/>
      <c r="K120" s="34"/>
      <c r="L120" s="34"/>
      <c r="M120" s="34"/>
      <c r="N120" s="34"/>
      <c r="O120" s="34"/>
    </row>
    <row r="121" spans="2:15" ht="12.75" customHeight="1">
      <c r="B121" s="95"/>
      <c r="C121" s="64"/>
      <c r="D121" s="64"/>
      <c r="E121" s="64"/>
      <c r="F121" s="64"/>
      <c r="G121" s="64"/>
      <c r="H121" s="64"/>
      <c r="I121" s="96"/>
      <c r="J121" s="34"/>
      <c r="K121" s="34"/>
      <c r="L121" s="34"/>
      <c r="M121" s="34"/>
      <c r="N121" s="34"/>
      <c r="O121" s="34"/>
    </row>
    <row r="122" spans="2:15" ht="12.75" customHeight="1">
      <c r="B122" s="95"/>
      <c r="C122" s="64"/>
      <c r="D122" s="64"/>
      <c r="E122" s="64"/>
      <c r="F122" s="64"/>
      <c r="G122" s="64"/>
      <c r="H122" s="64"/>
      <c r="I122" s="96"/>
      <c r="J122" s="34"/>
      <c r="K122" s="34"/>
      <c r="L122" s="34"/>
      <c r="M122" s="34"/>
      <c r="N122" s="34"/>
      <c r="O122" s="34"/>
    </row>
    <row r="123" spans="2:15" ht="12.75" customHeight="1">
      <c r="B123" s="95"/>
      <c r="C123" s="64"/>
      <c r="D123" s="64"/>
      <c r="E123" s="64"/>
      <c r="F123" s="64"/>
      <c r="G123" s="64"/>
      <c r="H123" s="64"/>
      <c r="I123" s="96"/>
      <c r="J123" s="34"/>
      <c r="K123" s="34"/>
      <c r="L123" s="34"/>
      <c r="M123" s="34"/>
      <c r="N123" s="34"/>
      <c r="O123" s="34"/>
    </row>
    <row r="124" spans="2:15" ht="12.75" customHeight="1">
      <c r="B124" s="95"/>
      <c r="C124" s="64"/>
      <c r="D124" s="64"/>
      <c r="E124" s="64"/>
      <c r="F124" s="64"/>
      <c r="G124" s="64"/>
      <c r="H124" s="64"/>
      <c r="I124" s="96"/>
      <c r="J124" s="34"/>
      <c r="K124" s="34"/>
      <c r="L124" s="34"/>
      <c r="M124" s="34"/>
      <c r="N124" s="34"/>
      <c r="O124" s="34"/>
    </row>
    <row r="125" spans="2:15" ht="12.75" customHeight="1">
      <c r="B125" s="95"/>
      <c r="C125" s="64"/>
      <c r="D125" s="64"/>
      <c r="E125" s="64"/>
      <c r="F125" s="64"/>
      <c r="G125" s="64"/>
      <c r="H125" s="64"/>
      <c r="I125" s="96"/>
      <c r="J125" s="34"/>
      <c r="K125" s="34"/>
      <c r="L125" s="34"/>
      <c r="M125" s="34"/>
      <c r="N125" s="34"/>
      <c r="O125" s="34"/>
    </row>
    <row r="126" spans="2:15" ht="12.75" customHeight="1">
      <c r="B126" s="95"/>
      <c r="C126" s="64"/>
      <c r="D126" s="64"/>
      <c r="E126" s="64"/>
      <c r="F126" s="64"/>
      <c r="G126" s="64"/>
      <c r="H126" s="64"/>
      <c r="I126" s="96"/>
      <c r="J126" s="34"/>
      <c r="K126" s="34"/>
      <c r="L126" s="34"/>
      <c r="M126" s="34"/>
      <c r="N126" s="34"/>
      <c r="O126" s="34"/>
    </row>
    <row r="127" spans="2:15" ht="12.75" customHeight="1">
      <c r="B127" s="95"/>
      <c r="C127" s="64"/>
      <c r="D127" s="64"/>
      <c r="E127" s="64"/>
      <c r="F127" s="64"/>
      <c r="G127" s="64"/>
      <c r="H127" s="64"/>
      <c r="I127" s="96"/>
      <c r="J127" s="34"/>
      <c r="K127" s="34"/>
      <c r="L127" s="34"/>
      <c r="M127" s="34"/>
      <c r="N127" s="34"/>
      <c r="O127" s="34"/>
    </row>
    <row r="128" spans="2:15" ht="12.75" customHeight="1">
      <c r="B128" s="95"/>
      <c r="C128" s="64"/>
      <c r="D128" s="64"/>
      <c r="E128" s="64"/>
      <c r="F128" s="64"/>
      <c r="G128" s="64"/>
      <c r="H128" s="64"/>
      <c r="I128" s="96"/>
      <c r="J128" s="34"/>
      <c r="K128" s="34"/>
      <c r="L128" s="34"/>
      <c r="M128" s="34"/>
      <c r="N128" s="34"/>
      <c r="O128" s="34"/>
    </row>
    <row r="129" spans="2:15" ht="12.75" customHeight="1">
      <c r="B129" s="95"/>
      <c r="C129" s="64"/>
      <c r="D129" s="64"/>
      <c r="E129" s="64"/>
      <c r="F129" s="64"/>
      <c r="G129" s="64"/>
      <c r="H129" s="64"/>
      <c r="I129" s="96"/>
      <c r="J129" s="34"/>
      <c r="K129" s="34"/>
      <c r="L129" s="34"/>
      <c r="M129" s="34"/>
      <c r="N129" s="34"/>
      <c r="O129" s="34"/>
    </row>
    <row r="130" spans="2:15" ht="12.75" customHeight="1">
      <c r="B130" s="95"/>
      <c r="C130" s="64"/>
      <c r="D130" s="64"/>
      <c r="E130" s="64"/>
      <c r="F130" s="64"/>
      <c r="G130" s="64"/>
      <c r="H130" s="64"/>
      <c r="I130" s="96"/>
      <c r="J130" s="34"/>
      <c r="K130" s="34"/>
      <c r="L130" s="34"/>
      <c r="M130" s="34"/>
      <c r="N130" s="34"/>
      <c r="O130" s="34"/>
    </row>
    <row r="131" spans="2:15" ht="12.75" customHeight="1">
      <c r="B131" s="95"/>
      <c r="C131" s="64"/>
      <c r="D131" s="64"/>
      <c r="E131" s="64"/>
      <c r="F131" s="64"/>
      <c r="G131" s="64"/>
      <c r="H131" s="64"/>
      <c r="I131" s="96"/>
      <c r="J131" s="34"/>
      <c r="K131" s="34"/>
      <c r="L131" s="34"/>
      <c r="M131" s="34"/>
      <c r="N131" s="34"/>
      <c r="O131" s="34"/>
    </row>
    <row r="132" spans="2:15" ht="12.75" customHeight="1">
      <c r="B132" s="95"/>
      <c r="C132" s="64"/>
      <c r="D132" s="64"/>
      <c r="E132" s="64"/>
      <c r="F132" s="64"/>
      <c r="G132" s="64"/>
      <c r="H132" s="64"/>
      <c r="I132" s="96"/>
      <c r="J132" s="34"/>
      <c r="K132" s="34"/>
      <c r="L132" s="34"/>
      <c r="M132" s="34"/>
      <c r="N132" s="34"/>
      <c r="O132" s="34"/>
    </row>
    <row r="133" spans="2:15" ht="12.75" customHeight="1">
      <c r="B133" s="95"/>
      <c r="C133" s="64"/>
      <c r="D133" s="64"/>
      <c r="E133" s="64"/>
      <c r="F133" s="64"/>
      <c r="G133" s="64"/>
      <c r="H133" s="64"/>
      <c r="I133" s="96"/>
      <c r="J133" s="34"/>
      <c r="K133" s="34"/>
      <c r="L133" s="34"/>
      <c r="M133" s="34"/>
      <c r="N133" s="34"/>
      <c r="O133" s="34"/>
    </row>
    <row r="134" spans="2:15" ht="12.75" customHeight="1">
      <c r="B134" s="95"/>
      <c r="C134" s="64"/>
      <c r="D134" s="64"/>
      <c r="E134" s="64"/>
      <c r="F134" s="64"/>
      <c r="G134" s="64"/>
      <c r="H134" s="64"/>
      <c r="I134" s="96"/>
      <c r="J134" s="34"/>
      <c r="K134" s="34"/>
      <c r="L134" s="34"/>
      <c r="M134" s="34"/>
      <c r="N134" s="34"/>
      <c r="O134" s="34"/>
    </row>
    <row r="135" spans="2:15" ht="12.75" customHeight="1">
      <c r="B135" s="95"/>
      <c r="C135" s="64"/>
      <c r="D135" s="64"/>
      <c r="E135" s="64"/>
      <c r="F135" s="64"/>
      <c r="G135" s="64"/>
      <c r="H135" s="64"/>
      <c r="I135" s="96"/>
      <c r="J135" s="34"/>
      <c r="K135" s="34"/>
      <c r="L135" s="34"/>
      <c r="M135" s="34"/>
      <c r="N135" s="34"/>
      <c r="O135" s="34"/>
    </row>
    <row r="136" spans="2:15" ht="12.75" customHeight="1">
      <c r="B136" s="95"/>
      <c r="C136" s="64"/>
      <c r="D136" s="64"/>
      <c r="E136" s="64"/>
      <c r="F136" s="64"/>
      <c r="G136" s="64"/>
      <c r="H136" s="64"/>
      <c r="I136" s="96"/>
      <c r="J136" s="34"/>
      <c r="K136" s="34"/>
      <c r="L136" s="34"/>
      <c r="M136" s="34"/>
      <c r="N136" s="34"/>
      <c r="O136" s="34"/>
    </row>
    <row r="137" spans="2:15" ht="12.75" customHeight="1">
      <c r="B137" s="95"/>
      <c r="C137" s="64"/>
      <c r="D137" s="64"/>
      <c r="E137" s="64"/>
      <c r="F137" s="64"/>
      <c r="G137" s="64"/>
      <c r="H137" s="64"/>
      <c r="I137" s="96"/>
      <c r="J137" s="34"/>
      <c r="K137" s="34"/>
      <c r="L137" s="34"/>
      <c r="M137" s="34"/>
      <c r="N137" s="34"/>
      <c r="O137" s="34"/>
    </row>
    <row r="138" spans="2:15" ht="12.75" customHeight="1">
      <c r="B138" s="95"/>
      <c r="C138" s="64"/>
      <c r="D138" s="64"/>
      <c r="E138" s="64"/>
      <c r="F138" s="64"/>
      <c r="G138" s="64"/>
      <c r="H138" s="64"/>
      <c r="I138" s="96"/>
      <c r="J138" s="34"/>
      <c r="K138" s="34"/>
      <c r="L138" s="34"/>
      <c r="M138" s="34"/>
      <c r="N138" s="34"/>
      <c r="O138" s="34"/>
    </row>
    <row r="139" spans="2:15" ht="12.75" customHeight="1">
      <c r="B139" s="95"/>
      <c r="C139" s="64"/>
      <c r="D139" s="64"/>
      <c r="E139" s="64"/>
      <c r="F139" s="64"/>
      <c r="G139" s="64"/>
      <c r="H139" s="64"/>
      <c r="I139" s="96"/>
      <c r="J139" s="34"/>
      <c r="K139" s="34"/>
      <c r="L139" s="34"/>
      <c r="M139" s="34"/>
      <c r="N139" s="34"/>
      <c r="O139" s="34"/>
    </row>
    <row r="140" spans="2:15" ht="12.75" customHeight="1">
      <c r="B140" s="95"/>
      <c r="C140" s="64"/>
      <c r="D140" s="64"/>
      <c r="E140" s="64"/>
      <c r="F140" s="64"/>
      <c r="G140" s="64"/>
      <c r="H140" s="64"/>
      <c r="I140" s="96"/>
      <c r="J140" s="34"/>
      <c r="K140" s="34"/>
      <c r="L140" s="34"/>
      <c r="M140" s="34"/>
      <c r="N140" s="34"/>
      <c r="O140" s="34"/>
    </row>
    <row r="141" spans="2:15" ht="12.75" customHeight="1">
      <c r="B141" s="95"/>
      <c r="C141" s="64"/>
      <c r="D141" s="64"/>
      <c r="E141" s="64"/>
      <c r="F141" s="64"/>
      <c r="G141" s="64"/>
      <c r="H141" s="64"/>
      <c r="I141" s="96"/>
      <c r="J141" s="34"/>
      <c r="K141" s="34"/>
      <c r="L141" s="34"/>
      <c r="M141" s="34"/>
      <c r="N141" s="34"/>
      <c r="O141" s="34"/>
    </row>
    <row r="142" spans="2:15" ht="12.75" customHeight="1">
      <c r="B142" s="95"/>
      <c r="C142" s="64"/>
      <c r="D142" s="64"/>
      <c r="E142" s="64"/>
      <c r="F142" s="64"/>
      <c r="G142" s="64"/>
      <c r="H142" s="64"/>
      <c r="I142" s="96"/>
      <c r="J142" s="34"/>
      <c r="K142" s="34"/>
      <c r="L142" s="34"/>
      <c r="M142" s="34"/>
      <c r="N142" s="34"/>
      <c r="O142" s="34"/>
    </row>
    <row r="143" spans="2:15" ht="12.75" customHeight="1">
      <c r="B143" s="95"/>
      <c r="C143" s="64"/>
      <c r="D143" s="64"/>
      <c r="E143" s="64"/>
      <c r="F143" s="64"/>
      <c r="G143" s="64"/>
      <c r="H143" s="64"/>
      <c r="I143" s="96"/>
      <c r="J143" s="34"/>
      <c r="K143" s="34"/>
      <c r="L143" s="34"/>
      <c r="M143" s="34"/>
      <c r="N143" s="34"/>
      <c r="O143" s="34"/>
    </row>
    <row r="144" spans="2:15" ht="12.75" customHeight="1">
      <c r="B144" s="95"/>
      <c r="C144" s="64"/>
      <c r="D144" s="64"/>
      <c r="E144" s="64"/>
      <c r="F144" s="64"/>
      <c r="G144" s="64"/>
      <c r="H144" s="64"/>
      <c r="I144" s="96"/>
      <c r="J144" s="34"/>
      <c r="K144" s="34"/>
      <c r="L144" s="34"/>
      <c r="M144" s="34"/>
      <c r="N144" s="34"/>
      <c r="O144" s="34"/>
    </row>
    <row r="145" spans="2:15" ht="12.75" customHeight="1">
      <c r="B145" s="95"/>
      <c r="C145" s="64"/>
      <c r="D145" s="64"/>
      <c r="E145" s="64"/>
      <c r="F145" s="64"/>
      <c r="G145" s="64"/>
      <c r="H145" s="64"/>
      <c r="I145" s="96"/>
      <c r="J145" s="34"/>
      <c r="K145" s="34"/>
      <c r="L145" s="34"/>
      <c r="M145" s="34"/>
      <c r="N145" s="34"/>
      <c r="O145" s="34"/>
    </row>
    <row r="146" spans="2:15" ht="12.75" customHeight="1">
      <c r="B146" s="95"/>
      <c r="C146" s="64"/>
      <c r="D146" s="64"/>
      <c r="E146" s="64"/>
      <c r="F146" s="64"/>
      <c r="G146" s="64"/>
      <c r="H146" s="64"/>
      <c r="I146" s="96"/>
      <c r="J146" s="34"/>
      <c r="K146" s="34"/>
      <c r="L146" s="34"/>
      <c r="M146" s="34"/>
      <c r="N146" s="34"/>
      <c r="O146" s="34"/>
    </row>
    <row r="147" spans="2:15" ht="12.75" customHeight="1">
      <c r="B147" s="95"/>
      <c r="C147" s="64"/>
      <c r="D147" s="64"/>
      <c r="E147" s="64"/>
      <c r="F147" s="64"/>
      <c r="G147" s="64"/>
      <c r="H147" s="64"/>
      <c r="I147" s="96"/>
      <c r="J147" s="34"/>
      <c r="K147" s="34"/>
      <c r="L147" s="34"/>
      <c r="M147" s="34"/>
      <c r="N147" s="34"/>
      <c r="O147" s="34"/>
    </row>
    <row r="148" spans="2:15" ht="12.75" customHeight="1">
      <c r="B148" s="95"/>
      <c r="C148" s="64"/>
      <c r="D148" s="64"/>
      <c r="E148" s="64"/>
      <c r="F148" s="64"/>
      <c r="G148" s="64"/>
      <c r="H148" s="64"/>
      <c r="I148" s="96"/>
      <c r="J148" s="34"/>
      <c r="K148" s="34"/>
      <c r="L148" s="34"/>
      <c r="M148" s="34"/>
      <c r="N148" s="34"/>
      <c r="O148" s="34"/>
    </row>
    <row r="149" spans="2:15" ht="12.75" customHeight="1">
      <c r="B149" s="95"/>
      <c r="C149" s="64"/>
      <c r="D149" s="64"/>
      <c r="E149" s="64"/>
      <c r="F149" s="64"/>
      <c r="G149" s="64"/>
      <c r="H149" s="64"/>
      <c r="I149" s="96"/>
      <c r="J149" s="34"/>
      <c r="K149" s="34"/>
      <c r="L149" s="34"/>
      <c r="M149" s="34"/>
      <c r="N149" s="34"/>
      <c r="O149" s="34"/>
    </row>
    <row r="150" spans="2:15" ht="12.75" customHeight="1">
      <c r="B150" s="95"/>
      <c r="C150" s="64"/>
      <c r="D150" s="64"/>
      <c r="E150" s="64"/>
      <c r="F150" s="64"/>
      <c r="G150" s="64"/>
      <c r="H150" s="64"/>
      <c r="I150" s="96"/>
      <c r="J150" s="34"/>
      <c r="K150" s="34"/>
      <c r="L150" s="34"/>
      <c r="M150" s="34"/>
      <c r="N150" s="34"/>
      <c r="O150" s="34"/>
    </row>
    <row r="151" spans="2:15" ht="12.75" customHeight="1">
      <c r="B151" s="95"/>
      <c r="C151" s="64"/>
      <c r="D151" s="64"/>
      <c r="E151" s="64"/>
      <c r="F151" s="64"/>
      <c r="G151" s="64"/>
      <c r="H151" s="64"/>
      <c r="I151" s="96"/>
      <c r="J151" s="34"/>
      <c r="K151" s="34"/>
      <c r="L151" s="34"/>
      <c r="M151" s="34"/>
      <c r="N151" s="34"/>
      <c r="O151" s="34"/>
    </row>
    <row r="152" spans="2:15" ht="12.75" customHeight="1">
      <c r="B152" s="95"/>
      <c r="C152" s="64"/>
      <c r="D152" s="64"/>
      <c r="E152" s="64"/>
      <c r="F152" s="64"/>
      <c r="G152" s="64"/>
      <c r="H152" s="64"/>
      <c r="I152" s="96"/>
      <c r="J152" s="34"/>
      <c r="K152" s="34"/>
      <c r="L152" s="34"/>
      <c r="M152" s="34"/>
      <c r="N152" s="34"/>
      <c r="O152" s="34"/>
    </row>
    <row r="153" spans="2:15" ht="12.75" customHeight="1">
      <c r="B153" s="95"/>
      <c r="C153" s="64"/>
      <c r="D153" s="64"/>
      <c r="E153" s="64"/>
      <c r="F153" s="64"/>
      <c r="G153" s="64"/>
      <c r="H153" s="64"/>
      <c r="I153" s="96"/>
      <c r="J153" s="34"/>
      <c r="K153" s="34"/>
      <c r="L153" s="34"/>
      <c r="M153" s="34"/>
      <c r="N153" s="34"/>
      <c r="O153" s="34"/>
    </row>
    <row r="154" spans="2:15" ht="12.75" customHeight="1">
      <c r="B154" s="95"/>
      <c r="C154" s="64"/>
      <c r="D154" s="64"/>
      <c r="E154" s="64"/>
      <c r="F154" s="64"/>
      <c r="G154" s="64"/>
      <c r="H154" s="64"/>
      <c r="I154" s="96"/>
      <c r="J154" s="34"/>
      <c r="K154" s="34"/>
      <c r="L154" s="34"/>
      <c r="M154" s="34"/>
      <c r="N154" s="34"/>
      <c r="O154" s="34"/>
    </row>
    <row r="155" spans="2:15" ht="12.75" customHeight="1">
      <c r="B155" s="95"/>
      <c r="C155" s="64"/>
      <c r="D155" s="64"/>
      <c r="E155" s="64"/>
      <c r="F155" s="64"/>
      <c r="G155" s="64"/>
      <c r="H155" s="64"/>
      <c r="I155" s="96"/>
      <c r="J155" s="34"/>
      <c r="K155" s="34"/>
      <c r="L155" s="34"/>
      <c r="M155" s="34"/>
      <c r="N155" s="34"/>
      <c r="O155" s="34"/>
    </row>
    <row r="156" spans="2:15" ht="12.75" customHeight="1">
      <c r="B156" s="95"/>
      <c r="C156" s="64"/>
      <c r="D156" s="64"/>
      <c r="E156" s="64"/>
      <c r="F156" s="64"/>
      <c r="G156" s="64"/>
      <c r="H156" s="64"/>
      <c r="I156" s="96"/>
      <c r="J156" s="34"/>
      <c r="K156" s="34"/>
      <c r="L156" s="34"/>
      <c r="M156" s="34"/>
      <c r="N156" s="34"/>
      <c r="O156" s="34"/>
    </row>
    <row r="157" spans="2:15" ht="12.75" customHeight="1">
      <c r="B157" s="95"/>
      <c r="C157" s="64"/>
      <c r="D157" s="64"/>
      <c r="E157" s="64"/>
      <c r="F157" s="64"/>
      <c r="G157" s="64"/>
      <c r="H157" s="64"/>
      <c r="I157" s="96"/>
      <c r="J157" s="34"/>
      <c r="K157" s="34"/>
      <c r="L157" s="34"/>
      <c r="M157" s="34"/>
      <c r="N157" s="34"/>
      <c r="O157" s="34"/>
    </row>
    <row r="158" spans="2:15" ht="12.75" customHeight="1">
      <c r="B158" s="95"/>
      <c r="C158" s="64"/>
      <c r="D158" s="64"/>
      <c r="E158" s="64"/>
      <c r="F158" s="64"/>
      <c r="G158" s="64"/>
      <c r="H158" s="64"/>
      <c r="I158" s="96"/>
      <c r="J158" s="34"/>
      <c r="K158" s="34"/>
      <c r="L158" s="34"/>
      <c r="M158" s="34"/>
      <c r="N158" s="34"/>
      <c r="O158" s="34"/>
    </row>
    <row r="159" spans="2:15" ht="12.75" customHeight="1">
      <c r="B159" s="95"/>
      <c r="C159" s="64"/>
      <c r="D159" s="64"/>
      <c r="E159" s="64"/>
      <c r="F159" s="64"/>
      <c r="G159" s="64"/>
      <c r="H159" s="64"/>
      <c r="I159" s="96"/>
      <c r="J159" s="34"/>
      <c r="K159" s="34"/>
      <c r="L159" s="34"/>
      <c r="M159" s="34"/>
      <c r="N159" s="34"/>
      <c r="O159" s="34"/>
    </row>
    <row r="160" spans="2:15" ht="12.75" customHeight="1">
      <c r="B160" s="95"/>
      <c r="C160" s="64"/>
      <c r="D160" s="64"/>
      <c r="E160" s="64"/>
      <c r="F160" s="64"/>
      <c r="G160" s="64"/>
      <c r="H160" s="64"/>
      <c r="I160" s="96"/>
      <c r="J160" s="34"/>
      <c r="K160" s="34"/>
      <c r="L160" s="34"/>
      <c r="M160" s="34"/>
      <c r="N160" s="34"/>
      <c r="O160" s="34"/>
    </row>
    <row r="161" spans="2:15" ht="12.75" customHeight="1">
      <c r="B161" s="100"/>
      <c r="C161" s="101"/>
      <c r="D161" s="101"/>
      <c r="E161" s="101"/>
      <c r="F161" s="101"/>
      <c r="G161" s="101"/>
      <c r="H161" s="101"/>
      <c r="I161" s="150"/>
      <c r="J161" s="34"/>
      <c r="K161" s="34"/>
      <c r="L161" s="34"/>
      <c r="M161" s="34"/>
      <c r="N161" s="34"/>
      <c r="O161" s="34"/>
    </row>
    <row r="162" spans="2:15" ht="12.75" customHeight="1">
      <c r="B162" s="34"/>
      <c r="C162" s="34"/>
      <c r="D162" s="34"/>
      <c r="E162" s="34"/>
      <c r="F162" s="34"/>
      <c r="G162" s="34"/>
      <c r="H162" s="34"/>
      <c r="I162" s="34"/>
      <c r="J162" s="34"/>
      <c r="K162" s="34"/>
      <c r="L162" s="34"/>
      <c r="M162" s="34"/>
      <c r="N162" s="34"/>
      <c r="O162" s="34"/>
    </row>
    <row r="163" spans="2:15" ht="12.75" customHeight="1">
      <c r="B163" s="34"/>
      <c r="C163" s="34"/>
      <c r="D163" s="34"/>
      <c r="E163" s="34"/>
      <c r="F163" s="34"/>
      <c r="G163" s="34"/>
      <c r="H163" s="34"/>
      <c r="I163" s="34"/>
      <c r="J163" s="34"/>
      <c r="K163" s="34"/>
      <c r="L163" s="34"/>
      <c r="M163" s="34"/>
      <c r="N163" s="34"/>
      <c r="O163" s="34"/>
    </row>
    <row r="164" spans="2:15" ht="12.75" customHeight="1">
      <c r="B164" s="34"/>
      <c r="C164" s="34"/>
      <c r="D164" s="34"/>
      <c r="E164" s="34"/>
      <c r="F164" s="34"/>
      <c r="G164" s="34"/>
      <c r="H164" s="34"/>
      <c r="I164" s="34"/>
      <c r="J164" s="34"/>
      <c r="K164" s="34"/>
      <c r="L164" s="34"/>
      <c r="M164" s="34"/>
      <c r="N164" s="34"/>
      <c r="O164" s="34"/>
    </row>
    <row r="165" spans="2:15" ht="12.75" customHeight="1"/>
    <row r="166" spans="2:15" ht="12.75" customHeight="1"/>
    <row r="167" spans="2:15" ht="12.75" customHeight="1"/>
    <row r="168" spans="2:15" ht="12.75" customHeight="1"/>
    <row r="169" spans="2:15" ht="12.75" customHeight="1"/>
    <row r="170" spans="2:15" ht="12.75" customHeight="1"/>
    <row r="171" spans="2:15" ht="12.75" customHeight="1"/>
    <row r="172" spans="2:15" ht="12.75" customHeight="1"/>
    <row r="173" spans="2:15" ht="12.75" customHeight="1"/>
    <row r="174" spans="2:15" ht="12.75" customHeight="1"/>
    <row r="175" spans="2:15" ht="12.75" customHeight="1"/>
    <row r="176" spans="2:1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5:D15"/>
    <mergeCell ref="C16:D16"/>
  </mergeCells>
  <conditionalFormatting sqref="E26">
    <cfRule type="cellIs" dxfId="1" priority="1" stopIfTrue="1" operator="greaterThanOrEqual">
      <formula>100</formula>
    </cfRule>
    <cfRule type="cellIs" dxfId="0" priority="2" stopIfTrue="1" operator="lessThan">
      <formula>100</formula>
    </cfRule>
  </conditionalFormatting>
  <dataValidations count="3">
    <dataValidation type="list" allowBlank="1" showInputMessage="1" showErrorMessage="1" prompt="Select Material" sqref="C5" xr:uid="{00000000-0002-0000-2400-000000000000}">
      <formula1>Tube_Type</formula1>
    </dataValidation>
    <dataValidation type="list" allowBlank="1" showInputMessage="1" showErrorMessage="1" prompt="Select Material" sqref="C12:D12" xr:uid="{00000000-0002-0000-2400-000001000000}">
      <formula1>Materials</formula1>
    </dataValidation>
    <dataValidation type="list" allowBlank="1" showInputMessage="1" showErrorMessage="1" prompt="Select Material" sqref="C4" xr:uid="{00000000-0002-0000-2400-000002000000}">
      <formula1>"Steel,Aluminium 1,Aluminium 2"</formula1>
    </dataValidation>
  </dataValidations>
  <pageMargins left="0.75" right="0.75" top="1" bottom="1" header="0" footer="0"/>
  <pageSetup paperSize="9"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9999"/>
  </sheetPr>
  <dimension ref="A1:AI1000"/>
  <sheetViews>
    <sheetView showGridLines="0" workbookViewId="0"/>
  </sheetViews>
  <sheetFormatPr baseColWidth="10" defaultColWidth="12.5703125" defaultRowHeight="15" customHeight="1"/>
  <cols>
    <col min="1" max="3" width="5" customWidth="1"/>
    <col min="4" max="4" width="6.5703125" customWidth="1"/>
    <col min="5" max="35" width="5" customWidth="1"/>
  </cols>
  <sheetData>
    <row r="1" spans="1:35" ht="12.75" customHeight="1">
      <c r="A1" s="617" t="s">
        <v>856</v>
      </c>
      <c r="B1" s="598"/>
      <c r="C1" s="598"/>
      <c r="D1" s="598"/>
      <c r="E1" s="598"/>
      <c r="F1" s="598"/>
      <c r="G1" s="598"/>
      <c r="H1" s="598"/>
      <c r="I1" s="598"/>
      <c r="J1" s="598"/>
      <c r="K1" s="598"/>
      <c r="L1" s="598"/>
      <c r="M1" s="598"/>
      <c r="N1" s="598"/>
      <c r="O1" s="598"/>
      <c r="P1" s="598"/>
      <c r="Q1" s="598"/>
      <c r="R1" s="598"/>
      <c r="S1" s="598"/>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5" t="str">
        <f>IF('Cover Sheet'!D14:J14&gt;0,'Cover Sheet'!D14:J14,"")</f>
        <v>Ecole Centrale Lyon</v>
      </c>
      <c r="E3" s="601"/>
      <c r="F3" s="601"/>
      <c r="G3" s="601"/>
      <c r="H3" s="601"/>
      <c r="I3" s="601"/>
      <c r="J3" s="601"/>
      <c r="K3" s="67" t="s">
        <v>47</v>
      </c>
      <c r="O3" s="635" t="str">
        <f>IF('Cover Sheet'!O14:S14&gt;0,'Cover Sheet'!O14:S14,"")</f>
        <v>81 FSCH/FSS/FSF</v>
      </c>
      <c r="P3" s="601"/>
      <c r="Q3" s="601"/>
      <c r="R3" s="601"/>
      <c r="S3" s="601"/>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55" t="s">
        <v>857</v>
      </c>
      <c r="B5" s="595"/>
      <c r="C5" s="595"/>
      <c r="D5" s="595"/>
      <c r="E5" s="595"/>
      <c r="F5" s="595"/>
      <c r="G5" s="595"/>
      <c r="H5" s="595"/>
      <c r="I5" s="595"/>
      <c r="J5" s="595"/>
      <c r="K5" s="595"/>
      <c r="L5" s="595"/>
      <c r="M5" s="595"/>
      <c r="N5" s="595"/>
      <c r="O5" s="595"/>
      <c r="P5" s="595"/>
      <c r="Q5" s="595"/>
      <c r="R5" s="595"/>
      <c r="S5" s="595"/>
      <c r="T5" s="95"/>
      <c r="U5" s="64"/>
      <c r="V5" s="64"/>
      <c r="W5" s="64"/>
      <c r="X5" s="64"/>
      <c r="Y5" s="64"/>
      <c r="Z5" s="64"/>
      <c r="AA5" s="64"/>
      <c r="AB5" s="64"/>
      <c r="AC5" s="64"/>
      <c r="AD5" s="64"/>
      <c r="AE5" s="64"/>
      <c r="AF5" s="64"/>
      <c r="AG5" s="64"/>
      <c r="AH5" s="64"/>
      <c r="AI5" s="64"/>
    </row>
    <row r="6" spans="1:35" ht="12.75" customHeight="1">
      <c r="A6" s="597"/>
      <c r="B6" s="598"/>
      <c r="C6" s="598"/>
      <c r="D6" s="598"/>
      <c r="E6" s="598"/>
      <c r="F6" s="598"/>
      <c r="G6" s="598"/>
      <c r="H6" s="598"/>
      <c r="I6" s="598"/>
      <c r="J6" s="598"/>
      <c r="K6" s="598"/>
      <c r="L6" s="598"/>
      <c r="M6" s="598"/>
      <c r="N6" s="598"/>
      <c r="O6" s="598"/>
      <c r="P6" s="598"/>
      <c r="Q6" s="598"/>
      <c r="R6" s="598"/>
      <c r="S6" s="598"/>
      <c r="T6" s="95"/>
      <c r="U6" s="64"/>
      <c r="V6" s="64"/>
      <c r="W6" s="64"/>
      <c r="X6" s="64"/>
      <c r="Y6" s="64"/>
      <c r="Z6" s="64"/>
      <c r="AA6" s="64"/>
      <c r="AB6" s="64"/>
      <c r="AC6" s="64"/>
      <c r="AD6" s="64"/>
      <c r="AE6" s="64"/>
      <c r="AF6" s="64"/>
      <c r="AG6" s="64"/>
      <c r="AH6" s="64"/>
      <c r="AI6" s="64"/>
    </row>
    <row r="7" spans="1:35" ht="12.75" customHeight="1">
      <c r="A7" s="515" t="s">
        <v>252</v>
      </c>
      <c r="B7" s="516"/>
      <c r="C7" s="516"/>
      <c r="D7" s="516"/>
      <c r="E7" s="517"/>
      <c r="F7" s="517"/>
      <c r="G7" s="517"/>
      <c r="H7" s="517"/>
      <c r="I7" s="517"/>
      <c r="J7" s="517"/>
      <c r="K7" s="517"/>
      <c r="L7" s="517"/>
      <c r="M7" s="517"/>
      <c r="N7" s="517"/>
      <c r="O7" s="517"/>
      <c r="P7" s="517"/>
      <c r="Q7" s="517"/>
      <c r="R7" s="517"/>
      <c r="S7" s="518"/>
      <c r="T7" s="95"/>
      <c r="U7" s="64"/>
      <c r="V7" s="64"/>
      <c r="W7" s="64"/>
      <c r="X7" s="64"/>
      <c r="Y7" s="64"/>
      <c r="Z7" s="64"/>
      <c r="AA7" s="64"/>
      <c r="AB7" s="64"/>
      <c r="AC7" s="64"/>
      <c r="AD7" s="64"/>
      <c r="AE7" s="64"/>
      <c r="AF7" s="64"/>
      <c r="AG7" s="64"/>
      <c r="AH7" s="64"/>
      <c r="AI7" s="64"/>
    </row>
    <row r="8" spans="1:35" ht="12.75" customHeight="1">
      <c r="A8" s="519"/>
      <c r="B8" s="520"/>
      <c r="C8" s="520"/>
      <c r="D8" s="520"/>
      <c r="E8" s="520"/>
      <c r="F8" s="520"/>
      <c r="G8" s="520"/>
      <c r="H8" s="520"/>
      <c r="I8" s="520"/>
      <c r="J8" s="520"/>
      <c r="K8" s="520"/>
      <c r="L8" s="520"/>
      <c r="M8" s="520"/>
      <c r="N8" s="520"/>
      <c r="O8" s="520"/>
      <c r="P8" s="520"/>
      <c r="Q8" s="520"/>
      <c r="R8" s="520"/>
      <c r="S8" s="521"/>
      <c r="T8" s="95"/>
      <c r="U8" s="64"/>
      <c r="V8" s="64"/>
      <c r="W8" s="64"/>
      <c r="X8" s="64"/>
      <c r="Y8" s="64"/>
      <c r="Z8" s="64"/>
      <c r="AA8" s="64"/>
      <c r="AB8" s="64"/>
      <c r="AC8" s="64"/>
      <c r="AD8" s="64"/>
      <c r="AE8" s="64"/>
      <c r="AF8" s="64"/>
      <c r="AG8" s="64"/>
      <c r="AH8" s="64"/>
      <c r="AI8" s="64"/>
    </row>
    <row r="9" spans="1:35" ht="12.75" customHeight="1">
      <c r="A9" s="519"/>
      <c r="B9" s="520"/>
      <c r="C9" s="520"/>
      <c r="D9" s="520"/>
      <c r="E9" s="520"/>
      <c r="F9" s="520"/>
      <c r="G9" s="520"/>
      <c r="H9" s="520"/>
      <c r="I9" s="520"/>
      <c r="J9" s="520"/>
      <c r="K9" s="520"/>
      <c r="L9" s="520"/>
      <c r="M9" s="520"/>
      <c r="N9" s="520"/>
      <c r="O9" s="520"/>
      <c r="P9" s="520"/>
      <c r="Q9" s="520"/>
      <c r="R9" s="520"/>
      <c r="S9" s="521"/>
      <c r="T9" s="95"/>
      <c r="U9" s="64"/>
      <c r="V9" s="64"/>
      <c r="W9" s="64"/>
      <c r="X9" s="64"/>
      <c r="Y9" s="64"/>
      <c r="Z9" s="64"/>
      <c r="AA9" s="64"/>
      <c r="AB9" s="64"/>
      <c r="AC9" s="64"/>
      <c r="AD9" s="64"/>
      <c r="AE9" s="64"/>
      <c r="AF9" s="64"/>
      <c r="AG9" s="64"/>
      <c r="AH9" s="64"/>
      <c r="AI9" s="64"/>
    </row>
    <row r="10" spans="1:35" ht="12.75" customHeight="1">
      <c r="A10" s="519"/>
      <c r="B10" s="520"/>
      <c r="C10" s="520"/>
      <c r="D10" s="520"/>
      <c r="E10" s="520"/>
      <c r="F10" s="520"/>
      <c r="G10" s="520"/>
      <c r="H10" s="520"/>
      <c r="I10" s="520"/>
      <c r="J10" s="520"/>
      <c r="K10" s="520"/>
      <c r="L10" s="520"/>
      <c r="M10" s="520"/>
      <c r="N10" s="520"/>
      <c r="O10" s="520"/>
      <c r="P10" s="520"/>
      <c r="Q10" s="520"/>
      <c r="R10" s="520"/>
      <c r="S10" s="521"/>
      <c r="T10" s="95"/>
      <c r="U10" s="64"/>
      <c r="V10" s="64"/>
      <c r="W10" s="64"/>
      <c r="X10" s="64"/>
      <c r="Y10" s="64"/>
      <c r="Z10" s="64"/>
      <c r="AA10" s="64"/>
      <c r="AB10" s="64"/>
      <c r="AC10" s="64"/>
      <c r="AD10" s="64"/>
      <c r="AE10" s="64"/>
      <c r="AF10" s="64"/>
      <c r="AG10" s="64"/>
      <c r="AH10" s="64"/>
      <c r="AI10" s="64"/>
    </row>
    <row r="11" spans="1:35" ht="12.75" customHeight="1">
      <c r="A11" s="519"/>
      <c r="B11" s="520"/>
      <c r="C11" s="520"/>
      <c r="D11" s="520"/>
      <c r="E11" s="520"/>
      <c r="F11" s="520"/>
      <c r="G11" s="520"/>
      <c r="H11" s="520"/>
      <c r="I11" s="520"/>
      <c r="J11" s="520"/>
      <c r="K11" s="520"/>
      <c r="L11" s="520"/>
      <c r="M11" s="520"/>
      <c r="N11" s="520"/>
      <c r="O11" s="520"/>
      <c r="P11" s="520"/>
      <c r="Q11" s="520"/>
      <c r="R11" s="520"/>
      <c r="S11" s="521"/>
      <c r="T11" s="95"/>
      <c r="U11" s="64"/>
      <c r="V11" s="64"/>
      <c r="W11" s="64"/>
      <c r="X11" s="64"/>
      <c r="Y11" s="64"/>
      <c r="Z11" s="64"/>
      <c r="AA11" s="64"/>
      <c r="AB11" s="64"/>
      <c r="AC11" s="64"/>
      <c r="AD11" s="64"/>
      <c r="AE11" s="64"/>
      <c r="AF11" s="64"/>
      <c r="AG11" s="64"/>
      <c r="AH11" s="64"/>
      <c r="AI11" s="64"/>
    </row>
    <row r="12" spans="1:35" ht="12.75" customHeight="1">
      <c r="A12" s="519"/>
      <c r="B12" s="520"/>
      <c r="C12" s="520"/>
      <c r="D12" s="520"/>
      <c r="E12" s="520"/>
      <c r="F12" s="520"/>
      <c r="G12" s="520"/>
      <c r="H12" s="520"/>
      <c r="I12" s="520"/>
      <c r="J12" s="520"/>
      <c r="K12" s="520"/>
      <c r="L12" s="520"/>
      <c r="M12" s="520"/>
      <c r="N12" s="520"/>
      <c r="O12" s="520"/>
      <c r="P12" s="520"/>
      <c r="Q12" s="520"/>
      <c r="R12" s="520"/>
      <c r="S12" s="521"/>
      <c r="T12" s="95"/>
      <c r="U12" s="64"/>
      <c r="V12" s="64"/>
      <c r="W12" s="64"/>
      <c r="X12" s="64"/>
      <c r="Y12" s="64"/>
      <c r="Z12" s="64"/>
      <c r="AA12" s="64"/>
      <c r="AB12" s="64"/>
      <c r="AC12" s="64"/>
      <c r="AD12" s="64"/>
      <c r="AE12" s="64"/>
      <c r="AF12" s="64"/>
      <c r="AG12" s="64"/>
      <c r="AH12" s="64"/>
      <c r="AI12" s="64"/>
    </row>
    <row r="13" spans="1:35" ht="12.75" customHeight="1">
      <c r="A13" s="519"/>
      <c r="B13" s="520"/>
      <c r="C13" s="520"/>
      <c r="D13" s="520"/>
      <c r="E13" s="520"/>
      <c r="F13" s="520"/>
      <c r="G13" s="520"/>
      <c r="H13" s="520"/>
      <c r="I13" s="520"/>
      <c r="J13" s="520"/>
      <c r="K13" s="520"/>
      <c r="L13" s="520"/>
      <c r="M13" s="520"/>
      <c r="N13" s="520"/>
      <c r="O13" s="520"/>
      <c r="P13" s="520"/>
      <c r="Q13" s="520"/>
      <c r="R13" s="520"/>
      <c r="S13" s="521"/>
      <c r="T13" s="95"/>
      <c r="U13" s="64"/>
      <c r="V13" s="64"/>
      <c r="W13" s="64"/>
      <c r="X13" s="64"/>
      <c r="Y13" s="64"/>
      <c r="Z13" s="64"/>
      <c r="AA13" s="64"/>
      <c r="AB13" s="64"/>
      <c r="AC13" s="64"/>
      <c r="AD13" s="64"/>
      <c r="AE13" s="64"/>
      <c r="AF13" s="64"/>
      <c r="AG13" s="64"/>
      <c r="AH13" s="64"/>
      <c r="AI13" s="64"/>
    </row>
    <row r="14" spans="1:35" ht="12.75" customHeight="1">
      <c r="A14" s="519"/>
      <c r="B14" s="520"/>
      <c r="C14" s="520"/>
      <c r="D14" s="520"/>
      <c r="E14" s="520"/>
      <c r="F14" s="520"/>
      <c r="G14" s="520"/>
      <c r="H14" s="520"/>
      <c r="I14" s="520"/>
      <c r="J14" s="520"/>
      <c r="K14" s="520"/>
      <c r="L14" s="520"/>
      <c r="M14" s="520"/>
      <c r="N14" s="520"/>
      <c r="O14" s="520"/>
      <c r="P14" s="520"/>
      <c r="Q14" s="520"/>
      <c r="R14" s="520"/>
      <c r="S14" s="521"/>
      <c r="T14" s="95"/>
      <c r="U14" s="64"/>
      <c r="V14" s="64"/>
      <c r="W14" s="64"/>
      <c r="X14" s="64"/>
      <c r="Y14" s="64"/>
      <c r="Z14" s="64"/>
      <c r="AA14" s="64"/>
      <c r="AB14" s="64"/>
      <c r="AC14" s="64"/>
      <c r="AD14" s="64"/>
      <c r="AE14" s="64"/>
      <c r="AF14" s="64"/>
      <c r="AG14" s="64"/>
      <c r="AH14" s="64"/>
      <c r="AI14" s="64"/>
    </row>
    <row r="15" spans="1:35" ht="12.75" customHeight="1">
      <c r="A15" s="519"/>
      <c r="B15" s="520"/>
      <c r="C15" s="520"/>
      <c r="D15" s="520"/>
      <c r="E15" s="520"/>
      <c r="F15" s="520"/>
      <c r="G15" s="520"/>
      <c r="H15" s="520"/>
      <c r="I15" s="520"/>
      <c r="J15" s="520"/>
      <c r="K15" s="520"/>
      <c r="L15" s="520"/>
      <c r="M15" s="520"/>
      <c r="N15" s="520"/>
      <c r="O15" s="520"/>
      <c r="P15" s="520"/>
      <c r="Q15" s="520"/>
      <c r="R15" s="520"/>
      <c r="S15" s="521"/>
      <c r="T15" s="95"/>
      <c r="U15" s="64"/>
      <c r="V15" s="64"/>
      <c r="W15" s="64"/>
      <c r="X15" s="64"/>
      <c r="Y15" s="64"/>
      <c r="Z15" s="64"/>
      <c r="AA15" s="64"/>
      <c r="AB15" s="64"/>
      <c r="AC15" s="64"/>
      <c r="AD15" s="64"/>
      <c r="AE15" s="64"/>
      <c r="AF15" s="64"/>
      <c r="AG15" s="64"/>
      <c r="AH15" s="64"/>
      <c r="AI15" s="64"/>
    </row>
    <row r="16" spans="1:35" ht="12.75" customHeight="1">
      <c r="A16" s="519"/>
      <c r="B16" s="520"/>
      <c r="C16" s="520"/>
      <c r="D16" s="520"/>
      <c r="E16" s="520"/>
      <c r="F16" s="520"/>
      <c r="G16" s="520"/>
      <c r="H16" s="520"/>
      <c r="I16" s="520"/>
      <c r="J16" s="520"/>
      <c r="K16" s="520"/>
      <c r="L16" s="520"/>
      <c r="M16" s="520"/>
      <c r="N16" s="520"/>
      <c r="O16" s="520"/>
      <c r="P16" s="520"/>
      <c r="Q16" s="520"/>
      <c r="R16" s="520"/>
      <c r="S16" s="521"/>
      <c r="T16" s="95"/>
      <c r="U16" s="64"/>
      <c r="V16" s="64"/>
      <c r="W16" s="64"/>
      <c r="X16" s="64"/>
      <c r="Y16" s="64"/>
      <c r="Z16" s="64"/>
      <c r="AA16" s="64"/>
      <c r="AB16" s="64"/>
      <c r="AC16" s="64"/>
      <c r="AD16" s="64"/>
      <c r="AE16" s="64"/>
      <c r="AF16" s="64"/>
      <c r="AG16" s="64"/>
      <c r="AH16" s="64"/>
      <c r="AI16" s="64"/>
    </row>
    <row r="17" spans="1:35" ht="12.75" customHeight="1">
      <c r="A17" s="519"/>
      <c r="B17" s="520"/>
      <c r="C17" s="520"/>
      <c r="D17" s="520"/>
      <c r="E17" s="520"/>
      <c r="F17" s="520"/>
      <c r="G17" s="520"/>
      <c r="H17" s="520"/>
      <c r="I17" s="520"/>
      <c r="J17" s="520"/>
      <c r="K17" s="520"/>
      <c r="L17" s="520"/>
      <c r="M17" s="520"/>
      <c r="N17" s="520"/>
      <c r="O17" s="520"/>
      <c r="P17" s="520"/>
      <c r="Q17" s="520"/>
      <c r="R17" s="520"/>
      <c r="S17" s="521"/>
      <c r="T17" s="95"/>
      <c r="U17" s="64"/>
      <c r="V17" s="64"/>
      <c r="W17" s="64"/>
      <c r="X17" s="64"/>
      <c r="Y17" s="64"/>
      <c r="Z17" s="64"/>
      <c r="AA17" s="64"/>
      <c r="AB17" s="64"/>
      <c r="AC17" s="64"/>
      <c r="AD17" s="64"/>
      <c r="AE17" s="64"/>
      <c r="AF17" s="64"/>
      <c r="AG17" s="64"/>
      <c r="AH17" s="64"/>
      <c r="AI17" s="64"/>
    </row>
    <row r="18" spans="1:35" ht="12.75" customHeight="1">
      <c r="A18" s="519"/>
      <c r="B18" s="520"/>
      <c r="C18" s="520"/>
      <c r="D18" s="520"/>
      <c r="E18" s="520"/>
      <c r="F18" s="520"/>
      <c r="G18" s="520"/>
      <c r="H18" s="520"/>
      <c r="I18" s="520"/>
      <c r="J18" s="520"/>
      <c r="K18" s="520"/>
      <c r="L18" s="520"/>
      <c r="M18" s="520"/>
      <c r="N18" s="520"/>
      <c r="O18" s="520"/>
      <c r="P18" s="520"/>
      <c r="Q18" s="520"/>
      <c r="R18" s="520"/>
      <c r="S18" s="521"/>
      <c r="T18" s="95"/>
      <c r="U18" s="64"/>
      <c r="V18" s="64"/>
      <c r="W18" s="64"/>
      <c r="X18" s="64"/>
      <c r="Y18" s="64"/>
      <c r="Z18" s="64"/>
      <c r="AA18" s="64"/>
      <c r="AB18" s="64"/>
      <c r="AC18" s="64"/>
      <c r="AD18" s="64"/>
      <c r="AE18" s="64"/>
      <c r="AF18" s="64"/>
      <c r="AG18" s="64"/>
      <c r="AH18" s="64"/>
      <c r="AI18" s="64"/>
    </row>
    <row r="19" spans="1:35" ht="12.75" customHeight="1">
      <c r="A19" s="519"/>
      <c r="B19" s="520"/>
      <c r="C19" s="520"/>
      <c r="D19" s="520"/>
      <c r="E19" s="520"/>
      <c r="F19" s="520"/>
      <c r="G19" s="520"/>
      <c r="H19" s="520"/>
      <c r="I19" s="520"/>
      <c r="J19" s="520"/>
      <c r="K19" s="520"/>
      <c r="L19" s="520"/>
      <c r="M19" s="520"/>
      <c r="N19" s="520"/>
      <c r="O19" s="520"/>
      <c r="P19" s="520"/>
      <c r="Q19" s="520"/>
      <c r="R19" s="520"/>
      <c r="S19" s="521"/>
      <c r="T19" s="95"/>
      <c r="U19" s="64"/>
      <c r="V19" s="64"/>
      <c r="W19" s="64"/>
      <c r="X19" s="64"/>
      <c r="Y19" s="64"/>
      <c r="Z19" s="64"/>
      <c r="AA19" s="64"/>
      <c r="AB19" s="64"/>
      <c r="AC19" s="64"/>
      <c r="AD19" s="64"/>
      <c r="AE19" s="64"/>
      <c r="AF19" s="64"/>
      <c r="AG19" s="64"/>
      <c r="AH19" s="64"/>
      <c r="AI19" s="64"/>
    </row>
    <row r="20" spans="1:35" ht="12.75" customHeight="1">
      <c r="A20" s="519"/>
      <c r="B20" s="520"/>
      <c r="C20" s="520"/>
      <c r="D20" s="520"/>
      <c r="E20" s="520"/>
      <c r="F20" s="520"/>
      <c r="G20" s="520"/>
      <c r="H20" s="520"/>
      <c r="I20" s="520"/>
      <c r="J20" s="520"/>
      <c r="K20" s="520"/>
      <c r="L20" s="520"/>
      <c r="M20" s="520"/>
      <c r="N20" s="520"/>
      <c r="O20" s="520"/>
      <c r="P20" s="520"/>
      <c r="Q20" s="520"/>
      <c r="R20" s="520"/>
      <c r="S20" s="521"/>
      <c r="T20" s="95"/>
      <c r="U20" s="64"/>
      <c r="V20" s="64"/>
      <c r="W20" s="64"/>
      <c r="X20" s="64"/>
      <c r="Y20" s="64"/>
      <c r="Z20" s="64"/>
      <c r="AA20" s="64"/>
      <c r="AB20" s="64"/>
      <c r="AC20" s="64"/>
      <c r="AD20" s="64"/>
      <c r="AE20" s="64"/>
      <c r="AF20" s="64"/>
      <c r="AG20" s="64"/>
      <c r="AH20" s="64"/>
      <c r="AI20" s="64"/>
    </row>
    <row r="21" spans="1:35" ht="12.75" customHeight="1">
      <c r="A21" s="519"/>
      <c r="B21" s="520"/>
      <c r="C21" s="520"/>
      <c r="D21" s="520"/>
      <c r="E21" s="520"/>
      <c r="F21" s="520"/>
      <c r="G21" s="520"/>
      <c r="H21" s="520"/>
      <c r="I21" s="520"/>
      <c r="J21" s="520"/>
      <c r="K21" s="520"/>
      <c r="L21" s="520"/>
      <c r="M21" s="520"/>
      <c r="N21" s="520"/>
      <c r="O21" s="520"/>
      <c r="P21" s="520"/>
      <c r="Q21" s="520"/>
      <c r="R21" s="520"/>
      <c r="S21" s="521"/>
      <c r="T21" s="95"/>
      <c r="U21" s="64"/>
      <c r="V21" s="64"/>
      <c r="W21" s="64"/>
      <c r="X21" s="64"/>
      <c r="Y21" s="64"/>
      <c r="Z21" s="64"/>
      <c r="AA21" s="64"/>
      <c r="AB21" s="64"/>
      <c r="AC21" s="64"/>
      <c r="AD21" s="64"/>
      <c r="AE21" s="64"/>
      <c r="AF21" s="64"/>
      <c r="AG21" s="64"/>
      <c r="AH21" s="64"/>
      <c r="AI21" s="64"/>
    </row>
    <row r="22" spans="1:35" ht="12.75" customHeight="1">
      <c r="A22" s="519"/>
      <c r="B22" s="520"/>
      <c r="C22" s="520"/>
      <c r="D22" s="520"/>
      <c r="E22" s="520"/>
      <c r="F22" s="520"/>
      <c r="G22" s="520"/>
      <c r="H22" s="520"/>
      <c r="I22" s="520"/>
      <c r="J22" s="520"/>
      <c r="K22" s="520"/>
      <c r="L22" s="520"/>
      <c r="M22" s="520"/>
      <c r="N22" s="520"/>
      <c r="O22" s="520"/>
      <c r="P22" s="520"/>
      <c r="Q22" s="520"/>
      <c r="R22" s="520"/>
      <c r="S22" s="521"/>
      <c r="T22" s="95"/>
      <c r="U22" s="64"/>
      <c r="V22" s="64"/>
      <c r="W22" s="64"/>
      <c r="X22" s="64"/>
      <c r="Y22" s="64"/>
      <c r="Z22" s="64"/>
      <c r="AA22" s="64"/>
      <c r="AB22" s="64"/>
      <c r="AC22" s="64"/>
      <c r="AD22" s="64"/>
      <c r="AE22" s="64"/>
      <c r="AF22" s="64"/>
      <c r="AG22" s="64"/>
      <c r="AH22" s="64"/>
      <c r="AI22" s="64"/>
    </row>
    <row r="23" spans="1:35" ht="12.75" customHeight="1">
      <c r="A23" s="519"/>
      <c r="B23" s="520"/>
      <c r="C23" s="520"/>
      <c r="D23" s="520"/>
      <c r="E23" s="520"/>
      <c r="F23" s="520"/>
      <c r="G23" s="520"/>
      <c r="H23" s="520"/>
      <c r="I23" s="520"/>
      <c r="J23" s="520"/>
      <c r="K23" s="520"/>
      <c r="L23" s="520"/>
      <c r="M23" s="520"/>
      <c r="N23" s="520"/>
      <c r="O23" s="520"/>
      <c r="P23" s="520"/>
      <c r="Q23" s="520"/>
      <c r="R23" s="520"/>
      <c r="S23" s="521"/>
      <c r="T23" s="95"/>
      <c r="U23" s="64"/>
      <c r="V23" s="64"/>
      <c r="W23" s="64"/>
      <c r="X23" s="64"/>
      <c r="Y23" s="64"/>
      <c r="Z23" s="64"/>
      <c r="AA23" s="64"/>
      <c r="AB23" s="64"/>
      <c r="AC23" s="64"/>
      <c r="AD23" s="64"/>
      <c r="AE23" s="64"/>
      <c r="AF23" s="64"/>
      <c r="AG23" s="64"/>
      <c r="AH23" s="64"/>
      <c r="AI23" s="64"/>
    </row>
    <row r="24" spans="1:35" ht="12.75" customHeight="1">
      <c r="A24" s="519"/>
      <c r="B24" s="520"/>
      <c r="C24" s="520"/>
      <c r="D24" s="520"/>
      <c r="E24" s="520"/>
      <c r="F24" s="520"/>
      <c r="G24" s="520"/>
      <c r="H24" s="520"/>
      <c r="I24" s="520"/>
      <c r="J24" s="520"/>
      <c r="K24" s="520"/>
      <c r="L24" s="520"/>
      <c r="M24" s="520"/>
      <c r="N24" s="520"/>
      <c r="O24" s="520"/>
      <c r="P24" s="520"/>
      <c r="Q24" s="520"/>
      <c r="R24" s="520"/>
      <c r="S24" s="521"/>
      <c r="T24" s="95"/>
      <c r="U24" s="64"/>
      <c r="V24" s="64"/>
      <c r="W24" s="64"/>
      <c r="X24" s="64"/>
      <c r="Y24" s="64"/>
      <c r="Z24" s="64"/>
      <c r="AA24" s="64"/>
      <c r="AB24" s="64"/>
      <c r="AC24" s="64"/>
      <c r="AD24" s="64"/>
      <c r="AE24" s="64"/>
      <c r="AF24" s="64"/>
      <c r="AG24" s="64"/>
      <c r="AH24" s="64"/>
      <c r="AI24" s="64"/>
    </row>
    <row r="25" spans="1:35" ht="12.75" customHeight="1">
      <c r="A25" s="519"/>
      <c r="B25" s="520"/>
      <c r="C25" s="520"/>
      <c r="D25" s="520"/>
      <c r="E25" s="520"/>
      <c r="F25" s="520"/>
      <c r="G25" s="520"/>
      <c r="H25" s="520"/>
      <c r="I25" s="520"/>
      <c r="J25" s="520"/>
      <c r="K25" s="520"/>
      <c r="L25" s="520"/>
      <c r="M25" s="520"/>
      <c r="N25" s="520"/>
      <c r="O25" s="520"/>
      <c r="P25" s="520"/>
      <c r="Q25" s="520"/>
      <c r="R25" s="520"/>
      <c r="S25" s="521"/>
      <c r="T25" s="95"/>
      <c r="U25" s="64"/>
      <c r="V25" s="64"/>
      <c r="W25" s="64"/>
      <c r="X25" s="64"/>
      <c r="Y25" s="64"/>
      <c r="Z25" s="64"/>
      <c r="AA25" s="64"/>
      <c r="AB25" s="64"/>
      <c r="AC25" s="64"/>
      <c r="AD25" s="64"/>
      <c r="AE25" s="64"/>
      <c r="AF25" s="64"/>
      <c r="AG25" s="64"/>
      <c r="AH25" s="64"/>
      <c r="AI25" s="64"/>
    </row>
    <row r="26" spans="1:35" ht="12.75" customHeight="1">
      <c r="A26" s="519"/>
      <c r="B26" s="520"/>
      <c r="C26" s="520"/>
      <c r="D26" s="520"/>
      <c r="E26" s="520"/>
      <c r="F26" s="520"/>
      <c r="G26" s="520"/>
      <c r="H26" s="520"/>
      <c r="I26" s="520"/>
      <c r="J26" s="520"/>
      <c r="K26" s="520"/>
      <c r="L26" s="520"/>
      <c r="M26" s="520"/>
      <c r="N26" s="520"/>
      <c r="O26" s="520"/>
      <c r="P26" s="520"/>
      <c r="Q26" s="520"/>
      <c r="R26" s="520"/>
      <c r="S26" s="521"/>
      <c r="T26" s="95"/>
      <c r="U26" s="64"/>
      <c r="V26" s="64"/>
      <c r="W26" s="64"/>
      <c r="X26" s="64"/>
      <c r="Y26" s="64"/>
      <c r="Z26" s="64"/>
      <c r="AA26" s="64"/>
      <c r="AB26" s="64"/>
      <c r="AC26" s="64"/>
      <c r="AD26" s="64"/>
      <c r="AE26" s="64"/>
      <c r="AF26" s="64"/>
      <c r="AG26" s="64"/>
      <c r="AH26" s="64"/>
      <c r="AI26" s="64"/>
    </row>
    <row r="27" spans="1:35" ht="12.75" customHeight="1">
      <c r="A27" s="519"/>
      <c r="B27" s="520"/>
      <c r="C27" s="520"/>
      <c r="D27" s="520"/>
      <c r="E27" s="520"/>
      <c r="F27" s="520"/>
      <c r="G27" s="520"/>
      <c r="H27" s="520"/>
      <c r="I27" s="520"/>
      <c r="J27" s="520"/>
      <c r="K27" s="520"/>
      <c r="L27" s="520"/>
      <c r="M27" s="520"/>
      <c r="N27" s="520"/>
      <c r="O27" s="520"/>
      <c r="P27" s="520"/>
      <c r="Q27" s="520"/>
      <c r="R27" s="520"/>
      <c r="S27" s="521"/>
      <c r="T27" s="95"/>
      <c r="U27" s="64"/>
      <c r="V27" s="64"/>
      <c r="W27" s="64"/>
      <c r="X27" s="64"/>
      <c r="Y27" s="64"/>
      <c r="Z27" s="64"/>
      <c r="AA27" s="64"/>
      <c r="AB27" s="64"/>
      <c r="AC27" s="64"/>
      <c r="AD27" s="64"/>
      <c r="AE27" s="64"/>
      <c r="AF27" s="64"/>
      <c r="AG27" s="64"/>
      <c r="AH27" s="64"/>
      <c r="AI27" s="64"/>
    </row>
    <row r="28" spans="1:35" ht="12.75" customHeight="1">
      <c r="A28" s="519"/>
      <c r="B28" s="520"/>
      <c r="C28" s="520"/>
      <c r="D28" s="520"/>
      <c r="E28" s="520"/>
      <c r="F28" s="520"/>
      <c r="G28" s="520"/>
      <c r="H28" s="520"/>
      <c r="I28" s="520"/>
      <c r="J28" s="520"/>
      <c r="K28" s="520"/>
      <c r="L28" s="520"/>
      <c r="M28" s="520"/>
      <c r="N28" s="520"/>
      <c r="O28" s="520"/>
      <c r="P28" s="520"/>
      <c r="Q28" s="520"/>
      <c r="R28" s="520"/>
      <c r="S28" s="521"/>
      <c r="T28" s="95"/>
      <c r="U28" s="64"/>
      <c r="V28" s="64"/>
      <c r="W28" s="64"/>
      <c r="X28" s="64"/>
      <c r="Y28" s="64"/>
      <c r="Z28" s="64"/>
      <c r="AA28" s="64"/>
      <c r="AB28" s="64"/>
      <c r="AC28" s="64"/>
      <c r="AD28" s="64"/>
      <c r="AE28" s="64"/>
      <c r="AF28" s="64"/>
      <c r="AG28" s="64"/>
      <c r="AH28" s="64"/>
      <c r="AI28" s="64"/>
    </row>
    <row r="29" spans="1:35" ht="12.75" customHeight="1">
      <c r="A29" s="519"/>
      <c r="B29" s="520"/>
      <c r="C29" s="520"/>
      <c r="D29" s="520"/>
      <c r="E29" s="520"/>
      <c r="F29" s="520"/>
      <c r="G29" s="520"/>
      <c r="H29" s="520"/>
      <c r="I29" s="520"/>
      <c r="J29" s="520"/>
      <c r="K29" s="520"/>
      <c r="L29" s="520"/>
      <c r="M29" s="520"/>
      <c r="N29" s="520"/>
      <c r="O29" s="520"/>
      <c r="P29" s="520"/>
      <c r="Q29" s="520"/>
      <c r="R29" s="520"/>
      <c r="S29" s="521"/>
      <c r="T29" s="95"/>
      <c r="U29" s="64"/>
      <c r="V29" s="64"/>
      <c r="W29" s="64"/>
      <c r="X29" s="64"/>
      <c r="Y29" s="64"/>
      <c r="Z29" s="64"/>
      <c r="AA29" s="64"/>
      <c r="AB29" s="64"/>
      <c r="AC29" s="64"/>
      <c r="AD29" s="64"/>
      <c r="AE29" s="64"/>
      <c r="AF29" s="64"/>
      <c r="AG29" s="64"/>
      <c r="AH29" s="64"/>
      <c r="AI29" s="64"/>
    </row>
    <row r="30" spans="1:35" ht="12.75" customHeight="1">
      <c r="A30" s="519"/>
      <c r="B30" s="520"/>
      <c r="C30" s="520"/>
      <c r="D30" s="520"/>
      <c r="E30" s="520"/>
      <c r="F30" s="520"/>
      <c r="G30" s="520"/>
      <c r="H30" s="520"/>
      <c r="I30" s="520"/>
      <c r="J30" s="520"/>
      <c r="K30" s="520"/>
      <c r="L30" s="520"/>
      <c r="M30" s="520"/>
      <c r="N30" s="520"/>
      <c r="O30" s="520"/>
      <c r="P30" s="520"/>
      <c r="Q30" s="520"/>
      <c r="R30" s="520"/>
      <c r="S30" s="521"/>
      <c r="T30" s="95"/>
      <c r="U30" s="64"/>
      <c r="V30" s="64"/>
      <c r="W30" s="64"/>
      <c r="X30" s="64"/>
      <c r="Y30" s="64"/>
      <c r="Z30" s="64"/>
      <c r="AA30" s="64"/>
      <c r="AB30" s="64"/>
      <c r="AC30" s="64"/>
      <c r="AD30" s="64"/>
      <c r="AE30" s="64"/>
      <c r="AF30" s="64"/>
      <c r="AG30" s="64"/>
      <c r="AH30" s="64"/>
      <c r="AI30" s="64"/>
    </row>
    <row r="31" spans="1:35" ht="12.75" customHeight="1">
      <c r="A31" s="519"/>
      <c r="B31" s="520"/>
      <c r="C31" s="520"/>
      <c r="D31" s="520"/>
      <c r="E31" s="520"/>
      <c r="F31" s="520"/>
      <c r="G31" s="520"/>
      <c r="H31" s="520"/>
      <c r="I31" s="520"/>
      <c r="J31" s="520"/>
      <c r="K31" s="520"/>
      <c r="L31" s="520"/>
      <c r="M31" s="520"/>
      <c r="N31" s="520"/>
      <c r="O31" s="520"/>
      <c r="P31" s="520"/>
      <c r="Q31" s="520"/>
      <c r="R31" s="520"/>
      <c r="S31" s="521"/>
      <c r="T31" s="95"/>
      <c r="U31" s="64"/>
      <c r="V31" s="64"/>
      <c r="W31" s="64"/>
      <c r="X31" s="64"/>
      <c r="Y31" s="64"/>
      <c r="Z31" s="64"/>
      <c r="AA31" s="64"/>
      <c r="AB31" s="64"/>
      <c r="AC31" s="64"/>
      <c r="AD31" s="64"/>
      <c r="AE31" s="64"/>
      <c r="AF31" s="64"/>
      <c r="AG31" s="64"/>
      <c r="AH31" s="64"/>
      <c r="AI31" s="64"/>
    </row>
    <row r="32" spans="1:35" ht="12.75" customHeight="1">
      <c r="A32" s="519"/>
      <c r="B32" s="520"/>
      <c r="C32" s="520"/>
      <c r="D32" s="520"/>
      <c r="E32" s="520"/>
      <c r="F32" s="520"/>
      <c r="G32" s="520"/>
      <c r="H32" s="520"/>
      <c r="I32" s="520"/>
      <c r="J32" s="520"/>
      <c r="K32" s="520"/>
      <c r="L32" s="520"/>
      <c r="M32" s="520"/>
      <c r="N32" s="520"/>
      <c r="O32" s="520"/>
      <c r="P32" s="520"/>
      <c r="Q32" s="520"/>
      <c r="R32" s="520"/>
      <c r="S32" s="521"/>
      <c r="T32" s="95"/>
      <c r="U32" s="64"/>
      <c r="V32" s="64"/>
      <c r="W32" s="64"/>
      <c r="X32" s="64"/>
      <c r="Y32" s="64"/>
      <c r="Z32" s="64"/>
      <c r="AA32" s="64"/>
      <c r="AB32" s="64"/>
      <c r="AC32" s="64"/>
      <c r="AD32" s="64"/>
      <c r="AE32" s="64"/>
      <c r="AF32" s="64"/>
      <c r="AG32" s="64"/>
      <c r="AH32" s="64"/>
      <c r="AI32" s="64"/>
    </row>
    <row r="33" spans="1:35" ht="12.75" customHeight="1">
      <c r="A33" s="519"/>
      <c r="B33" s="520"/>
      <c r="C33" s="520"/>
      <c r="D33" s="520"/>
      <c r="E33" s="520"/>
      <c r="F33" s="520"/>
      <c r="G33" s="520"/>
      <c r="H33" s="520"/>
      <c r="I33" s="520"/>
      <c r="J33" s="520"/>
      <c r="K33" s="520"/>
      <c r="L33" s="520"/>
      <c r="M33" s="520"/>
      <c r="N33" s="520"/>
      <c r="O33" s="520"/>
      <c r="P33" s="520"/>
      <c r="Q33" s="520"/>
      <c r="R33" s="520"/>
      <c r="S33" s="521"/>
      <c r="T33" s="95"/>
      <c r="U33" s="64"/>
      <c r="V33" s="64"/>
      <c r="W33" s="64"/>
      <c r="X33" s="64"/>
      <c r="Y33" s="64"/>
      <c r="Z33" s="64"/>
      <c r="AA33" s="64"/>
      <c r="AB33" s="64"/>
      <c r="AC33" s="64"/>
      <c r="AD33" s="64"/>
      <c r="AE33" s="64"/>
      <c r="AF33" s="64"/>
      <c r="AG33" s="64"/>
      <c r="AH33" s="64"/>
      <c r="AI33" s="64"/>
    </row>
    <row r="34" spans="1:35" ht="12.75" customHeight="1">
      <c r="A34" s="519"/>
      <c r="B34" s="520"/>
      <c r="C34" s="520"/>
      <c r="D34" s="520"/>
      <c r="E34" s="520"/>
      <c r="F34" s="520"/>
      <c r="G34" s="520"/>
      <c r="H34" s="520"/>
      <c r="I34" s="520"/>
      <c r="J34" s="520"/>
      <c r="K34" s="520"/>
      <c r="L34" s="520"/>
      <c r="M34" s="520"/>
      <c r="N34" s="520"/>
      <c r="O34" s="520"/>
      <c r="P34" s="520"/>
      <c r="Q34" s="520"/>
      <c r="R34" s="520"/>
      <c r="S34" s="521"/>
      <c r="T34" s="95"/>
      <c r="U34" s="64"/>
      <c r="V34" s="64"/>
      <c r="W34" s="64"/>
      <c r="X34" s="64"/>
      <c r="Y34" s="64"/>
      <c r="Z34" s="64"/>
      <c r="AA34" s="64"/>
      <c r="AB34" s="64"/>
      <c r="AC34" s="64"/>
      <c r="AD34" s="64"/>
      <c r="AE34" s="64"/>
      <c r="AF34" s="64"/>
      <c r="AG34" s="64"/>
      <c r="AH34" s="64"/>
      <c r="AI34" s="64"/>
    </row>
    <row r="35" spans="1:35" ht="12.75" customHeight="1">
      <c r="A35" s="519"/>
      <c r="B35" s="520"/>
      <c r="C35" s="520"/>
      <c r="D35" s="520"/>
      <c r="E35" s="520"/>
      <c r="F35" s="520"/>
      <c r="G35" s="520"/>
      <c r="H35" s="520"/>
      <c r="I35" s="520"/>
      <c r="J35" s="520"/>
      <c r="K35" s="520"/>
      <c r="L35" s="520"/>
      <c r="M35" s="520"/>
      <c r="N35" s="520"/>
      <c r="O35" s="520"/>
      <c r="P35" s="520"/>
      <c r="Q35" s="520"/>
      <c r="R35" s="520"/>
      <c r="S35" s="521"/>
      <c r="T35" s="95"/>
      <c r="U35" s="64"/>
      <c r="V35" s="64"/>
      <c r="W35" s="64"/>
      <c r="X35" s="64"/>
      <c r="Y35" s="64"/>
      <c r="Z35" s="64"/>
      <c r="AA35" s="64"/>
      <c r="AB35" s="64"/>
      <c r="AC35" s="64"/>
      <c r="AD35" s="64"/>
      <c r="AE35" s="64"/>
      <c r="AF35" s="64"/>
      <c r="AG35" s="64"/>
      <c r="AH35" s="64"/>
      <c r="AI35" s="64"/>
    </row>
    <row r="36" spans="1:35" ht="12.75" customHeight="1">
      <c r="A36" s="519"/>
      <c r="B36" s="520"/>
      <c r="C36" s="520"/>
      <c r="D36" s="520"/>
      <c r="E36" s="520"/>
      <c r="F36" s="520"/>
      <c r="G36" s="520"/>
      <c r="H36" s="520"/>
      <c r="I36" s="520"/>
      <c r="J36" s="520"/>
      <c r="K36" s="520"/>
      <c r="L36" s="520"/>
      <c r="M36" s="520"/>
      <c r="N36" s="520"/>
      <c r="O36" s="520"/>
      <c r="P36" s="520"/>
      <c r="Q36" s="520"/>
      <c r="R36" s="520"/>
      <c r="S36" s="521"/>
      <c r="T36" s="95"/>
      <c r="U36" s="64"/>
      <c r="V36" s="64"/>
      <c r="W36" s="64"/>
      <c r="X36" s="64"/>
      <c r="Y36" s="64"/>
      <c r="Z36" s="64"/>
      <c r="AA36" s="64"/>
      <c r="AB36" s="64"/>
      <c r="AC36" s="64"/>
      <c r="AD36" s="64"/>
      <c r="AE36" s="64"/>
      <c r="AF36" s="64"/>
      <c r="AG36" s="64"/>
      <c r="AH36" s="64"/>
      <c r="AI36" s="64"/>
    </row>
    <row r="37" spans="1:35" ht="12.75" customHeight="1">
      <c r="A37" s="519"/>
      <c r="B37" s="520"/>
      <c r="C37" s="520"/>
      <c r="D37" s="520"/>
      <c r="E37" s="520"/>
      <c r="F37" s="520"/>
      <c r="G37" s="520"/>
      <c r="H37" s="520"/>
      <c r="I37" s="520"/>
      <c r="J37" s="520"/>
      <c r="K37" s="520"/>
      <c r="L37" s="520"/>
      <c r="M37" s="520"/>
      <c r="N37" s="520"/>
      <c r="O37" s="520"/>
      <c r="P37" s="520"/>
      <c r="Q37" s="520"/>
      <c r="R37" s="520"/>
      <c r="S37" s="521"/>
      <c r="T37" s="95"/>
      <c r="U37" s="64"/>
      <c r="V37" s="64"/>
      <c r="W37" s="64"/>
      <c r="X37" s="64"/>
      <c r="Y37" s="64"/>
      <c r="Z37" s="64"/>
      <c r="AA37" s="64"/>
      <c r="AB37" s="64"/>
      <c r="AC37" s="64"/>
      <c r="AD37" s="64"/>
      <c r="AE37" s="64"/>
      <c r="AF37" s="64"/>
      <c r="AG37" s="64"/>
      <c r="AH37" s="64"/>
      <c r="AI37" s="64"/>
    </row>
    <row r="38" spans="1:35" ht="12.75" customHeight="1">
      <c r="A38" s="519"/>
      <c r="B38" s="520"/>
      <c r="C38" s="520"/>
      <c r="D38" s="520"/>
      <c r="E38" s="520"/>
      <c r="F38" s="520"/>
      <c r="G38" s="520"/>
      <c r="H38" s="520"/>
      <c r="I38" s="520"/>
      <c r="J38" s="520"/>
      <c r="K38" s="520"/>
      <c r="L38" s="520"/>
      <c r="M38" s="520"/>
      <c r="N38" s="520"/>
      <c r="O38" s="520"/>
      <c r="P38" s="520"/>
      <c r="Q38" s="520"/>
      <c r="R38" s="520"/>
      <c r="S38" s="521"/>
      <c r="T38" s="95"/>
      <c r="U38" s="64"/>
      <c r="V38" s="64"/>
      <c r="W38" s="64"/>
      <c r="X38" s="64"/>
      <c r="Y38" s="64"/>
      <c r="Z38" s="64"/>
      <c r="AA38" s="64"/>
      <c r="AB38" s="64"/>
      <c r="AC38" s="64"/>
      <c r="AD38" s="64"/>
      <c r="AE38" s="64"/>
      <c r="AF38" s="64"/>
      <c r="AG38" s="64"/>
      <c r="AH38" s="64"/>
      <c r="AI38" s="64"/>
    </row>
    <row r="39" spans="1:35" ht="12.75" customHeight="1">
      <c r="A39" s="519"/>
      <c r="B39" s="520"/>
      <c r="C39" s="520"/>
      <c r="D39" s="520"/>
      <c r="E39" s="520"/>
      <c r="F39" s="520"/>
      <c r="G39" s="520"/>
      <c r="H39" s="520"/>
      <c r="I39" s="520"/>
      <c r="J39" s="520"/>
      <c r="K39" s="520"/>
      <c r="L39" s="520"/>
      <c r="M39" s="520"/>
      <c r="N39" s="520"/>
      <c r="O39" s="520"/>
      <c r="P39" s="520"/>
      <c r="Q39" s="520"/>
      <c r="R39" s="520"/>
      <c r="S39" s="521"/>
      <c r="T39" s="95"/>
      <c r="U39" s="64"/>
      <c r="V39" s="64"/>
      <c r="W39" s="64"/>
      <c r="X39" s="64"/>
      <c r="Y39" s="64"/>
      <c r="Z39" s="64"/>
      <c r="AA39" s="64"/>
      <c r="AB39" s="64"/>
      <c r="AC39" s="64"/>
      <c r="AD39" s="64"/>
      <c r="AE39" s="64"/>
      <c r="AF39" s="64"/>
      <c r="AG39" s="64"/>
      <c r="AH39" s="64"/>
      <c r="AI39" s="64"/>
    </row>
    <row r="40" spans="1:35" ht="12.75" customHeight="1">
      <c r="A40" s="519"/>
      <c r="B40" s="520"/>
      <c r="C40" s="520"/>
      <c r="D40" s="520"/>
      <c r="E40" s="520"/>
      <c r="F40" s="520"/>
      <c r="G40" s="520"/>
      <c r="H40" s="520"/>
      <c r="I40" s="520"/>
      <c r="J40" s="520"/>
      <c r="K40" s="520"/>
      <c r="L40" s="520"/>
      <c r="M40" s="520"/>
      <c r="N40" s="520"/>
      <c r="O40" s="520"/>
      <c r="P40" s="520"/>
      <c r="Q40" s="520"/>
      <c r="R40" s="520"/>
      <c r="S40" s="521"/>
      <c r="T40" s="95"/>
      <c r="U40" s="64"/>
      <c r="V40" s="64"/>
      <c r="W40" s="64"/>
      <c r="X40" s="64"/>
      <c r="Y40" s="64"/>
      <c r="Z40" s="64"/>
      <c r="AA40" s="64"/>
      <c r="AB40" s="64"/>
      <c r="AC40" s="64"/>
      <c r="AD40" s="64"/>
      <c r="AE40" s="64"/>
      <c r="AF40" s="64"/>
      <c r="AG40" s="64"/>
      <c r="AH40" s="64"/>
      <c r="AI40" s="64"/>
    </row>
    <row r="41" spans="1:35" ht="12.75" customHeight="1">
      <c r="A41" s="519"/>
      <c r="B41" s="520"/>
      <c r="C41" s="520"/>
      <c r="D41" s="520"/>
      <c r="E41" s="520"/>
      <c r="F41" s="520"/>
      <c r="G41" s="520"/>
      <c r="H41" s="520"/>
      <c r="I41" s="520"/>
      <c r="J41" s="520"/>
      <c r="K41" s="520"/>
      <c r="L41" s="520"/>
      <c r="M41" s="520"/>
      <c r="N41" s="520"/>
      <c r="O41" s="520"/>
      <c r="P41" s="520"/>
      <c r="Q41" s="520"/>
      <c r="R41" s="520"/>
      <c r="S41" s="521"/>
      <c r="T41" s="95"/>
      <c r="U41" s="64"/>
      <c r="V41" s="64"/>
      <c r="W41" s="64"/>
      <c r="X41" s="64"/>
      <c r="Y41" s="64"/>
      <c r="Z41" s="64"/>
      <c r="AA41" s="64"/>
      <c r="AB41" s="64"/>
      <c r="AC41" s="64"/>
      <c r="AD41" s="64"/>
      <c r="AE41" s="64"/>
      <c r="AF41" s="64"/>
      <c r="AG41" s="64"/>
      <c r="AH41" s="64"/>
      <c r="AI41" s="64"/>
    </row>
    <row r="42" spans="1:35" ht="12.75" customHeight="1">
      <c r="A42" s="519"/>
      <c r="B42" s="520"/>
      <c r="C42" s="520"/>
      <c r="D42" s="520"/>
      <c r="E42" s="520"/>
      <c r="F42" s="520"/>
      <c r="G42" s="520"/>
      <c r="H42" s="520"/>
      <c r="I42" s="520"/>
      <c r="J42" s="520"/>
      <c r="K42" s="520"/>
      <c r="L42" s="520"/>
      <c r="M42" s="520"/>
      <c r="N42" s="520"/>
      <c r="O42" s="520"/>
      <c r="P42" s="520"/>
      <c r="Q42" s="520"/>
      <c r="R42" s="520"/>
      <c r="S42" s="521"/>
      <c r="T42" s="95"/>
      <c r="U42" s="64"/>
      <c r="V42" s="64"/>
      <c r="W42" s="64"/>
      <c r="X42" s="64"/>
      <c r="Y42" s="64"/>
      <c r="Z42" s="64"/>
      <c r="AA42" s="64"/>
      <c r="AB42" s="64"/>
      <c r="AC42" s="64"/>
      <c r="AD42" s="64"/>
      <c r="AE42" s="64"/>
      <c r="AF42" s="64"/>
      <c r="AG42" s="64"/>
      <c r="AH42" s="64"/>
      <c r="AI42" s="64"/>
    </row>
    <row r="43" spans="1:35" ht="12.75" customHeight="1">
      <c r="A43" s="519"/>
      <c r="B43" s="520"/>
      <c r="C43" s="520"/>
      <c r="D43" s="520"/>
      <c r="E43" s="520"/>
      <c r="F43" s="520"/>
      <c r="G43" s="520"/>
      <c r="H43" s="520"/>
      <c r="I43" s="520"/>
      <c r="J43" s="520"/>
      <c r="K43" s="520"/>
      <c r="L43" s="520"/>
      <c r="M43" s="520"/>
      <c r="N43" s="520"/>
      <c r="O43" s="520"/>
      <c r="P43" s="520"/>
      <c r="Q43" s="520"/>
      <c r="R43" s="520"/>
      <c r="S43" s="521"/>
      <c r="T43" s="95"/>
      <c r="U43" s="64"/>
      <c r="V43" s="64"/>
      <c r="W43" s="64"/>
      <c r="X43" s="64"/>
      <c r="Y43" s="64"/>
      <c r="Z43" s="64"/>
      <c r="AA43" s="64"/>
      <c r="AB43" s="64"/>
      <c r="AC43" s="64"/>
      <c r="AD43" s="64"/>
      <c r="AE43" s="64"/>
      <c r="AF43" s="64"/>
      <c r="AG43" s="64"/>
      <c r="AH43" s="64"/>
      <c r="AI43" s="64"/>
    </row>
    <row r="44" spans="1:35" ht="12.75" customHeight="1">
      <c r="A44" s="519"/>
      <c r="B44" s="520"/>
      <c r="C44" s="520"/>
      <c r="D44" s="520"/>
      <c r="E44" s="520"/>
      <c r="F44" s="520"/>
      <c r="G44" s="520"/>
      <c r="H44" s="520"/>
      <c r="I44" s="520"/>
      <c r="J44" s="520"/>
      <c r="K44" s="520"/>
      <c r="L44" s="520"/>
      <c r="M44" s="520"/>
      <c r="N44" s="520"/>
      <c r="O44" s="520"/>
      <c r="P44" s="520"/>
      <c r="Q44" s="520"/>
      <c r="R44" s="520"/>
      <c r="S44" s="521"/>
      <c r="T44" s="95"/>
      <c r="U44" s="64"/>
      <c r="V44" s="64"/>
      <c r="W44" s="64"/>
      <c r="X44" s="64"/>
      <c r="Y44" s="64"/>
      <c r="Z44" s="64"/>
      <c r="AA44" s="64"/>
      <c r="AB44" s="64"/>
      <c r="AC44" s="64"/>
      <c r="AD44" s="64"/>
      <c r="AE44" s="64"/>
      <c r="AF44" s="64"/>
      <c r="AG44" s="64"/>
      <c r="AH44" s="64"/>
      <c r="AI44" s="64"/>
    </row>
    <row r="45" spans="1:35" ht="12.75" customHeight="1">
      <c r="A45" s="519"/>
      <c r="B45" s="520"/>
      <c r="C45" s="520"/>
      <c r="D45" s="520"/>
      <c r="E45" s="520"/>
      <c r="F45" s="520"/>
      <c r="G45" s="520"/>
      <c r="H45" s="520"/>
      <c r="I45" s="520"/>
      <c r="J45" s="520"/>
      <c r="K45" s="520"/>
      <c r="L45" s="520"/>
      <c r="M45" s="520"/>
      <c r="N45" s="520"/>
      <c r="O45" s="520"/>
      <c r="P45" s="520"/>
      <c r="Q45" s="520"/>
      <c r="R45" s="520"/>
      <c r="S45" s="521"/>
      <c r="T45" s="95"/>
      <c r="U45" s="64"/>
      <c r="V45" s="64"/>
      <c r="W45" s="64"/>
      <c r="X45" s="64"/>
      <c r="Y45" s="64"/>
      <c r="Z45" s="64"/>
      <c r="AA45" s="64"/>
      <c r="AB45" s="64"/>
      <c r="AC45" s="64"/>
      <c r="AD45" s="64"/>
      <c r="AE45" s="64"/>
      <c r="AF45" s="64"/>
      <c r="AG45" s="64"/>
      <c r="AH45" s="64"/>
      <c r="AI45" s="64"/>
    </row>
    <row r="46" spans="1:35" ht="12.75" customHeight="1">
      <c r="A46" s="519"/>
      <c r="B46" s="520"/>
      <c r="C46" s="520"/>
      <c r="D46" s="520"/>
      <c r="E46" s="520"/>
      <c r="F46" s="520"/>
      <c r="G46" s="520"/>
      <c r="H46" s="520"/>
      <c r="I46" s="520"/>
      <c r="J46" s="520"/>
      <c r="K46" s="520"/>
      <c r="L46" s="520"/>
      <c r="M46" s="520"/>
      <c r="N46" s="520"/>
      <c r="O46" s="520"/>
      <c r="P46" s="520"/>
      <c r="Q46" s="520"/>
      <c r="R46" s="520"/>
      <c r="S46" s="521"/>
      <c r="T46" s="95"/>
      <c r="U46" s="64"/>
      <c r="V46" s="64"/>
      <c r="W46" s="64"/>
      <c r="X46" s="64"/>
      <c r="Y46" s="64"/>
      <c r="Z46" s="64"/>
      <c r="AA46" s="64"/>
      <c r="AB46" s="64"/>
      <c r="AC46" s="64"/>
      <c r="AD46" s="64"/>
      <c r="AE46" s="64"/>
      <c r="AF46" s="64"/>
      <c r="AG46" s="64"/>
      <c r="AH46" s="64"/>
      <c r="AI46" s="64"/>
    </row>
    <row r="47" spans="1:35" ht="12.75" customHeight="1">
      <c r="A47" s="519"/>
      <c r="B47" s="520"/>
      <c r="C47" s="520"/>
      <c r="D47" s="520"/>
      <c r="E47" s="520"/>
      <c r="F47" s="520"/>
      <c r="G47" s="520"/>
      <c r="H47" s="520"/>
      <c r="I47" s="520"/>
      <c r="J47" s="520"/>
      <c r="K47" s="520"/>
      <c r="L47" s="520"/>
      <c r="M47" s="520"/>
      <c r="N47" s="520"/>
      <c r="O47" s="520"/>
      <c r="P47" s="520"/>
      <c r="Q47" s="520"/>
      <c r="R47" s="520"/>
      <c r="S47" s="521"/>
      <c r="T47" s="95"/>
      <c r="U47" s="64"/>
      <c r="V47" s="64"/>
      <c r="W47" s="64"/>
      <c r="X47" s="64"/>
      <c r="Y47" s="64"/>
      <c r="Z47" s="64"/>
      <c r="AA47" s="64"/>
      <c r="AB47" s="64"/>
      <c r="AC47" s="64"/>
      <c r="AD47" s="64"/>
      <c r="AE47" s="64"/>
      <c r="AF47" s="64"/>
      <c r="AG47" s="64"/>
      <c r="AH47" s="64"/>
      <c r="AI47" s="64"/>
    </row>
    <row r="48" spans="1:35" ht="12.75" customHeight="1">
      <c r="A48" s="519"/>
      <c r="B48" s="520"/>
      <c r="C48" s="520"/>
      <c r="D48" s="520"/>
      <c r="E48" s="520"/>
      <c r="F48" s="520"/>
      <c r="G48" s="520"/>
      <c r="H48" s="520"/>
      <c r="I48" s="520"/>
      <c r="J48" s="520"/>
      <c r="K48" s="520"/>
      <c r="L48" s="520"/>
      <c r="M48" s="520"/>
      <c r="N48" s="520"/>
      <c r="O48" s="520"/>
      <c r="P48" s="520"/>
      <c r="Q48" s="520"/>
      <c r="R48" s="520"/>
      <c r="S48" s="521"/>
      <c r="T48" s="95"/>
      <c r="U48" s="64"/>
      <c r="V48" s="64"/>
      <c r="W48" s="64"/>
      <c r="X48" s="64"/>
      <c r="Y48" s="64"/>
      <c r="Z48" s="64"/>
      <c r="AA48" s="64"/>
      <c r="AB48" s="64"/>
      <c r="AC48" s="64"/>
      <c r="AD48" s="64"/>
      <c r="AE48" s="64"/>
      <c r="AF48" s="64"/>
      <c r="AG48" s="64"/>
      <c r="AH48" s="64"/>
      <c r="AI48" s="64"/>
    </row>
    <row r="49" spans="1:35" ht="12.75" customHeight="1">
      <c r="A49" s="519"/>
      <c r="B49" s="520"/>
      <c r="C49" s="520"/>
      <c r="D49" s="520"/>
      <c r="E49" s="520"/>
      <c r="F49" s="520"/>
      <c r="G49" s="520"/>
      <c r="H49" s="520"/>
      <c r="I49" s="520"/>
      <c r="J49" s="520"/>
      <c r="K49" s="520"/>
      <c r="L49" s="520"/>
      <c r="M49" s="520"/>
      <c r="N49" s="520"/>
      <c r="O49" s="520"/>
      <c r="P49" s="520"/>
      <c r="Q49" s="520"/>
      <c r="R49" s="520"/>
      <c r="S49" s="521"/>
      <c r="T49" s="95"/>
      <c r="U49" s="64"/>
      <c r="V49" s="64"/>
      <c r="W49" s="64"/>
      <c r="X49" s="64"/>
      <c r="Y49" s="64"/>
      <c r="Z49" s="64"/>
      <c r="AA49" s="64"/>
      <c r="AB49" s="64"/>
      <c r="AC49" s="64"/>
      <c r="AD49" s="64"/>
      <c r="AE49" s="64"/>
      <c r="AF49" s="64"/>
      <c r="AG49" s="64"/>
      <c r="AH49" s="64"/>
      <c r="AI49" s="64"/>
    </row>
    <row r="50" spans="1:35" ht="12.75" customHeight="1">
      <c r="A50" s="519"/>
      <c r="B50" s="520"/>
      <c r="C50" s="520"/>
      <c r="D50" s="520"/>
      <c r="E50" s="520"/>
      <c r="F50" s="520"/>
      <c r="G50" s="520"/>
      <c r="H50" s="520"/>
      <c r="I50" s="520"/>
      <c r="J50" s="520"/>
      <c r="K50" s="520"/>
      <c r="L50" s="520"/>
      <c r="M50" s="520"/>
      <c r="N50" s="520"/>
      <c r="O50" s="520"/>
      <c r="P50" s="520"/>
      <c r="Q50" s="520"/>
      <c r="R50" s="520"/>
      <c r="S50" s="521"/>
      <c r="T50" s="95"/>
      <c r="U50" s="64"/>
      <c r="V50" s="64"/>
      <c r="W50" s="64"/>
      <c r="X50" s="64"/>
      <c r="Y50" s="64"/>
      <c r="Z50" s="64"/>
      <c r="AA50" s="64"/>
      <c r="AB50" s="64"/>
      <c r="AC50" s="64"/>
      <c r="AD50" s="64"/>
      <c r="AE50" s="64"/>
      <c r="AF50" s="64"/>
      <c r="AG50" s="64"/>
      <c r="AH50" s="64"/>
      <c r="AI50" s="64"/>
    </row>
    <row r="51" spans="1:35" ht="12.75" customHeight="1">
      <c r="A51" s="519"/>
      <c r="B51" s="520"/>
      <c r="C51" s="520"/>
      <c r="D51" s="520"/>
      <c r="E51" s="520"/>
      <c r="F51" s="520"/>
      <c r="G51" s="520"/>
      <c r="H51" s="520"/>
      <c r="I51" s="520"/>
      <c r="J51" s="520"/>
      <c r="K51" s="520"/>
      <c r="L51" s="520"/>
      <c r="M51" s="520"/>
      <c r="N51" s="520"/>
      <c r="O51" s="520"/>
      <c r="P51" s="520"/>
      <c r="Q51" s="520"/>
      <c r="R51" s="520"/>
      <c r="S51" s="521"/>
      <c r="T51" s="95"/>
      <c r="U51" s="64"/>
      <c r="V51" s="64"/>
      <c r="W51" s="64"/>
      <c r="X51" s="64"/>
      <c r="Y51" s="64"/>
      <c r="Z51" s="64"/>
      <c r="AA51" s="64"/>
      <c r="AB51" s="64"/>
      <c r="AC51" s="64"/>
      <c r="AD51" s="64"/>
      <c r="AE51" s="64"/>
      <c r="AF51" s="64"/>
      <c r="AG51" s="64"/>
      <c r="AH51" s="64"/>
      <c r="AI51" s="64"/>
    </row>
    <row r="52" spans="1:35" ht="12.75" customHeight="1">
      <c r="A52" s="519"/>
      <c r="B52" s="520"/>
      <c r="C52" s="520"/>
      <c r="D52" s="520"/>
      <c r="E52" s="520"/>
      <c r="F52" s="520"/>
      <c r="G52" s="520"/>
      <c r="H52" s="520"/>
      <c r="I52" s="520"/>
      <c r="J52" s="520"/>
      <c r="K52" s="520"/>
      <c r="L52" s="520"/>
      <c r="M52" s="520"/>
      <c r="N52" s="520"/>
      <c r="O52" s="520"/>
      <c r="P52" s="520"/>
      <c r="Q52" s="520"/>
      <c r="R52" s="520"/>
      <c r="S52" s="521"/>
      <c r="T52" s="95"/>
      <c r="U52" s="64"/>
      <c r="V52" s="64"/>
      <c r="W52" s="64"/>
      <c r="X52" s="64"/>
      <c r="Y52" s="64"/>
      <c r="Z52" s="64"/>
      <c r="AA52" s="64"/>
      <c r="AB52" s="64"/>
      <c r="AC52" s="64"/>
      <c r="AD52" s="64"/>
      <c r="AE52" s="64"/>
      <c r="AF52" s="64"/>
      <c r="AG52" s="64"/>
      <c r="AH52" s="64"/>
      <c r="AI52" s="64"/>
    </row>
    <row r="53" spans="1:35" ht="12.75" customHeight="1">
      <c r="A53" s="519"/>
      <c r="B53" s="520"/>
      <c r="C53" s="520"/>
      <c r="D53" s="520"/>
      <c r="E53" s="520"/>
      <c r="F53" s="520"/>
      <c r="G53" s="520"/>
      <c r="H53" s="520"/>
      <c r="I53" s="520"/>
      <c r="J53" s="520"/>
      <c r="K53" s="520"/>
      <c r="L53" s="520"/>
      <c r="M53" s="520"/>
      <c r="N53" s="520"/>
      <c r="O53" s="520"/>
      <c r="P53" s="520"/>
      <c r="Q53" s="520"/>
      <c r="R53" s="520"/>
      <c r="S53" s="521"/>
      <c r="T53" s="95"/>
      <c r="U53" s="64"/>
      <c r="V53" s="64"/>
      <c r="W53" s="64"/>
      <c r="X53" s="64"/>
      <c r="Y53" s="64"/>
      <c r="Z53" s="64"/>
      <c r="AA53" s="64"/>
      <c r="AB53" s="64"/>
      <c r="AC53" s="64"/>
      <c r="AD53" s="64"/>
      <c r="AE53" s="64"/>
      <c r="AF53" s="64"/>
      <c r="AG53" s="64"/>
      <c r="AH53" s="64"/>
      <c r="AI53" s="64"/>
    </row>
    <row r="54" spans="1:35" ht="12.75" customHeight="1">
      <c r="A54" s="519"/>
      <c r="B54" s="520"/>
      <c r="C54" s="520"/>
      <c r="D54" s="520"/>
      <c r="E54" s="520"/>
      <c r="F54" s="520"/>
      <c r="G54" s="520"/>
      <c r="H54" s="520"/>
      <c r="I54" s="520"/>
      <c r="J54" s="520"/>
      <c r="K54" s="520"/>
      <c r="L54" s="520"/>
      <c r="M54" s="520"/>
      <c r="N54" s="520"/>
      <c r="O54" s="520"/>
      <c r="P54" s="520"/>
      <c r="Q54" s="520"/>
      <c r="R54" s="520"/>
      <c r="S54" s="521"/>
      <c r="T54" s="95"/>
      <c r="U54" s="64"/>
      <c r="V54" s="64"/>
      <c r="W54" s="64"/>
      <c r="X54" s="64"/>
      <c r="Y54" s="64"/>
      <c r="Z54" s="64"/>
      <c r="AA54" s="64"/>
      <c r="AB54" s="64"/>
      <c r="AC54" s="64"/>
      <c r="AD54" s="64"/>
      <c r="AE54" s="64"/>
      <c r="AF54" s="64"/>
      <c r="AG54" s="64"/>
      <c r="AH54" s="64"/>
      <c r="AI54" s="64"/>
    </row>
    <row r="55" spans="1:35" ht="12.75" customHeight="1">
      <c r="A55" s="519"/>
      <c r="B55" s="520"/>
      <c r="C55" s="520"/>
      <c r="D55" s="520"/>
      <c r="E55" s="520"/>
      <c r="F55" s="520"/>
      <c r="G55" s="520"/>
      <c r="H55" s="520"/>
      <c r="I55" s="520"/>
      <c r="J55" s="520"/>
      <c r="K55" s="520"/>
      <c r="L55" s="520"/>
      <c r="M55" s="520"/>
      <c r="N55" s="520"/>
      <c r="O55" s="520"/>
      <c r="P55" s="520"/>
      <c r="Q55" s="520"/>
      <c r="R55" s="520"/>
      <c r="S55" s="521"/>
      <c r="T55" s="95"/>
      <c r="U55" s="64"/>
      <c r="V55" s="64"/>
      <c r="W55" s="64"/>
      <c r="X55" s="64"/>
      <c r="Y55" s="64"/>
      <c r="Z55" s="64"/>
      <c r="AA55" s="64"/>
      <c r="AB55" s="64"/>
      <c r="AC55" s="64"/>
      <c r="AD55" s="64"/>
      <c r="AE55" s="64"/>
      <c r="AF55" s="64"/>
      <c r="AG55" s="64"/>
      <c r="AH55" s="64"/>
      <c r="AI55" s="64"/>
    </row>
    <row r="56" spans="1:35" ht="12.75" customHeight="1">
      <c r="A56" s="519"/>
      <c r="B56" s="520"/>
      <c r="C56" s="520"/>
      <c r="D56" s="520"/>
      <c r="E56" s="520"/>
      <c r="F56" s="520"/>
      <c r="G56" s="520"/>
      <c r="H56" s="520"/>
      <c r="I56" s="520"/>
      <c r="J56" s="520"/>
      <c r="K56" s="520"/>
      <c r="L56" s="520"/>
      <c r="M56" s="520"/>
      <c r="N56" s="520"/>
      <c r="O56" s="520"/>
      <c r="P56" s="520"/>
      <c r="Q56" s="520"/>
      <c r="R56" s="520"/>
      <c r="S56" s="521"/>
      <c r="T56" s="95"/>
      <c r="U56" s="64"/>
      <c r="V56" s="64"/>
      <c r="W56" s="64"/>
      <c r="X56" s="64"/>
      <c r="Y56" s="64"/>
      <c r="Z56" s="64"/>
      <c r="AA56" s="64"/>
      <c r="AB56" s="64"/>
      <c r="AC56" s="64"/>
      <c r="AD56" s="64"/>
      <c r="AE56" s="64"/>
      <c r="AF56" s="64"/>
      <c r="AG56" s="64"/>
      <c r="AH56" s="64"/>
      <c r="AI56" s="64"/>
    </row>
    <row r="57" spans="1:35" ht="12.75" customHeight="1">
      <c r="A57" s="519"/>
      <c r="B57" s="520"/>
      <c r="C57" s="520"/>
      <c r="D57" s="520"/>
      <c r="E57" s="520"/>
      <c r="F57" s="520"/>
      <c r="G57" s="520"/>
      <c r="H57" s="520"/>
      <c r="I57" s="520"/>
      <c r="J57" s="520"/>
      <c r="K57" s="520"/>
      <c r="L57" s="520"/>
      <c r="M57" s="520"/>
      <c r="N57" s="520"/>
      <c r="O57" s="520"/>
      <c r="P57" s="520"/>
      <c r="Q57" s="520"/>
      <c r="R57" s="520"/>
      <c r="S57" s="521"/>
      <c r="T57" s="95"/>
      <c r="U57" s="64"/>
      <c r="V57" s="64"/>
      <c r="W57" s="64"/>
      <c r="X57" s="64"/>
      <c r="Y57" s="64"/>
      <c r="Z57" s="64"/>
      <c r="AA57" s="64"/>
      <c r="AB57" s="64"/>
      <c r="AC57" s="64"/>
      <c r="AD57" s="64"/>
      <c r="AE57" s="64"/>
      <c r="AF57" s="64"/>
      <c r="AG57" s="64"/>
      <c r="AH57" s="64"/>
      <c r="AI57" s="64"/>
    </row>
    <row r="58" spans="1:35" ht="12.75" customHeight="1">
      <c r="A58" s="519"/>
      <c r="B58" s="520"/>
      <c r="C58" s="520"/>
      <c r="D58" s="520"/>
      <c r="E58" s="520"/>
      <c r="F58" s="520"/>
      <c r="G58" s="520"/>
      <c r="H58" s="520"/>
      <c r="I58" s="520"/>
      <c r="J58" s="520"/>
      <c r="K58" s="520"/>
      <c r="L58" s="520"/>
      <c r="M58" s="520"/>
      <c r="N58" s="520"/>
      <c r="O58" s="520"/>
      <c r="P58" s="520"/>
      <c r="Q58" s="520"/>
      <c r="R58" s="520"/>
      <c r="S58" s="521"/>
      <c r="T58" s="95"/>
      <c r="U58" s="64"/>
      <c r="V58" s="64"/>
      <c r="W58" s="64"/>
      <c r="X58" s="64"/>
      <c r="Y58" s="64"/>
      <c r="Z58" s="64"/>
      <c r="AA58" s="64"/>
      <c r="AB58" s="64"/>
      <c r="AC58" s="64"/>
      <c r="AD58" s="64"/>
      <c r="AE58" s="64"/>
      <c r="AF58" s="64"/>
      <c r="AG58" s="64"/>
      <c r="AH58" s="64"/>
      <c r="AI58" s="64"/>
    </row>
    <row r="59" spans="1:35" ht="12.75" customHeight="1">
      <c r="A59" s="519"/>
      <c r="B59" s="520"/>
      <c r="C59" s="520"/>
      <c r="D59" s="520"/>
      <c r="E59" s="520"/>
      <c r="F59" s="520"/>
      <c r="G59" s="520"/>
      <c r="H59" s="520"/>
      <c r="I59" s="520"/>
      <c r="J59" s="520"/>
      <c r="K59" s="520"/>
      <c r="L59" s="520"/>
      <c r="M59" s="520"/>
      <c r="N59" s="520"/>
      <c r="O59" s="520"/>
      <c r="P59" s="520"/>
      <c r="Q59" s="520"/>
      <c r="R59" s="520"/>
      <c r="S59" s="521"/>
      <c r="T59" s="95"/>
      <c r="U59" s="64"/>
      <c r="V59" s="64"/>
      <c r="W59" s="64"/>
      <c r="X59" s="64"/>
      <c r="Y59" s="64"/>
      <c r="Z59" s="64"/>
      <c r="AA59" s="64"/>
      <c r="AB59" s="64"/>
      <c r="AC59" s="64"/>
      <c r="AD59" s="64"/>
      <c r="AE59" s="64"/>
      <c r="AF59" s="64"/>
      <c r="AG59" s="64"/>
      <c r="AH59" s="64"/>
      <c r="AI59" s="64"/>
    </row>
    <row r="60" spans="1:35" ht="12.75" customHeight="1">
      <c r="A60" s="519"/>
      <c r="B60" s="520"/>
      <c r="C60" s="520"/>
      <c r="D60" s="520"/>
      <c r="E60" s="520"/>
      <c r="F60" s="520"/>
      <c r="G60" s="520"/>
      <c r="H60" s="520"/>
      <c r="I60" s="520"/>
      <c r="J60" s="520"/>
      <c r="K60" s="520"/>
      <c r="L60" s="520"/>
      <c r="M60" s="520"/>
      <c r="N60" s="520"/>
      <c r="O60" s="520"/>
      <c r="P60" s="520"/>
      <c r="Q60" s="520"/>
      <c r="R60" s="520"/>
      <c r="S60" s="521"/>
      <c r="T60" s="95"/>
      <c r="U60" s="64"/>
      <c r="V60" s="64"/>
      <c r="W60" s="64"/>
      <c r="X60" s="64"/>
      <c r="Y60" s="64"/>
      <c r="Z60" s="64"/>
      <c r="AA60" s="64"/>
      <c r="AB60" s="64"/>
      <c r="AC60" s="64"/>
      <c r="AD60" s="64"/>
      <c r="AE60" s="64"/>
      <c r="AF60" s="64"/>
      <c r="AG60" s="64"/>
      <c r="AH60" s="64"/>
      <c r="AI60" s="64"/>
    </row>
    <row r="61" spans="1:35" ht="12.75" customHeight="1">
      <c r="A61" s="519"/>
      <c r="B61" s="520"/>
      <c r="C61" s="520"/>
      <c r="D61" s="520"/>
      <c r="E61" s="520"/>
      <c r="F61" s="520"/>
      <c r="G61" s="520"/>
      <c r="H61" s="520"/>
      <c r="I61" s="520"/>
      <c r="J61" s="520"/>
      <c r="K61" s="520"/>
      <c r="L61" s="520"/>
      <c r="M61" s="520"/>
      <c r="N61" s="520"/>
      <c r="O61" s="520"/>
      <c r="P61" s="520"/>
      <c r="Q61" s="520"/>
      <c r="R61" s="520"/>
      <c r="S61" s="521"/>
      <c r="T61" s="95"/>
      <c r="U61" s="64"/>
      <c r="V61" s="64"/>
      <c r="W61" s="64"/>
      <c r="X61" s="64"/>
      <c r="Y61" s="64"/>
      <c r="Z61" s="64"/>
      <c r="AA61" s="64"/>
      <c r="AB61" s="64"/>
      <c r="AC61" s="64"/>
      <c r="AD61" s="64"/>
      <c r="AE61" s="64"/>
      <c r="AF61" s="64"/>
      <c r="AG61" s="64"/>
      <c r="AH61" s="64"/>
      <c r="AI61" s="64"/>
    </row>
    <row r="62" spans="1:35" ht="12.75" customHeight="1">
      <c r="A62" s="519"/>
      <c r="B62" s="520"/>
      <c r="C62" s="520"/>
      <c r="D62" s="520"/>
      <c r="E62" s="520"/>
      <c r="F62" s="520"/>
      <c r="G62" s="520"/>
      <c r="H62" s="520"/>
      <c r="I62" s="520"/>
      <c r="J62" s="520"/>
      <c r="K62" s="520"/>
      <c r="L62" s="520"/>
      <c r="M62" s="520"/>
      <c r="N62" s="520"/>
      <c r="O62" s="520"/>
      <c r="P62" s="520"/>
      <c r="Q62" s="520"/>
      <c r="R62" s="520"/>
      <c r="S62" s="521"/>
      <c r="T62" s="95"/>
      <c r="U62" s="64"/>
      <c r="V62" s="64"/>
      <c r="W62" s="64"/>
      <c r="X62" s="64"/>
      <c r="Y62" s="64"/>
      <c r="Z62" s="64"/>
      <c r="AA62" s="64"/>
      <c r="AB62" s="64"/>
      <c r="AC62" s="64"/>
      <c r="AD62" s="64"/>
      <c r="AE62" s="64"/>
      <c r="AF62" s="64"/>
      <c r="AG62" s="64"/>
      <c r="AH62" s="64"/>
      <c r="AI62" s="64"/>
    </row>
    <row r="63" spans="1:35" ht="12.75" customHeight="1">
      <c r="A63" s="522"/>
      <c r="B63" s="523"/>
      <c r="C63" s="523"/>
      <c r="D63" s="523"/>
      <c r="E63" s="523"/>
      <c r="F63" s="523"/>
      <c r="G63" s="523"/>
      <c r="H63" s="523"/>
      <c r="I63" s="523"/>
      <c r="J63" s="523"/>
      <c r="K63" s="523"/>
      <c r="L63" s="523"/>
      <c r="M63" s="523"/>
      <c r="N63" s="523"/>
      <c r="O63" s="523"/>
      <c r="P63" s="523"/>
      <c r="Q63" s="523"/>
      <c r="R63" s="523"/>
      <c r="S63" s="524"/>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A1:S1"/>
    <mergeCell ref="D3:J3"/>
    <mergeCell ref="O3:S3"/>
    <mergeCell ref="A5:S6"/>
  </mergeCells>
  <pageMargins left="0.39370078740157483" right="0.39370078740157483" top="0.39370078740157483" bottom="0.39370078740157483" header="0" footer="0"/>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9999"/>
  </sheetPr>
  <dimension ref="A1:AI1000"/>
  <sheetViews>
    <sheetView showGridLines="0" workbookViewId="0"/>
  </sheetViews>
  <sheetFormatPr baseColWidth="10" defaultColWidth="12.5703125" defaultRowHeight="15" customHeight="1"/>
  <cols>
    <col min="1" max="3" width="5" customWidth="1"/>
    <col min="4" max="4" width="6.5703125" customWidth="1"/>
    <col min="5" max="35" width="5" customWidth="1"/>
  </cols>
  <sheetData>
    <row r="1" spans="1:35" ht="12.75" customHeight="1">
      <c r="A1" s="617" t="s">
        <v>856</v>
      </c>
      <c r="B1" s="598"/>
      <c r="C1" s="598"/>
      <c r="D1" s="598"/>
      <c r="E1" s="598"/>
      <c r="F1" s="598"/>
      <c r="G1" s="598"/>
      <c r="H1" s="598"/>
      <c r="I1" s="598"/>
      <c r="J1" s="598"/>
      <c r="K1" s="598"/>
      <c r="L1" s="598"/>
      <c r="M1" s="598"/>
      <c r="N1" s="598"/>
      <c r="O1" s="598"/>
      <c r="P1" s="598"/>
      <c r="Q1" s="598"/>
      <c r="R1" s="598"/>
      <c r="S1" s="598"/>
      <c r="T1" s="142" t="s">
        <v>858</v>
      </c>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5" t="str">
        <f>IF('Cover Sheet'!D14:J14&gt;0,'Cover Sheet'!D14:J14,"")</f>
        <v>Ecole Centrale Lyon</v>
      </c>
      <c r="E3" s="601"/>
      <c r="F3" s="601"/>
      <c r="G3" s="601"/>
      <c r="H3" s="601"/>
      <c r="I3" s="601"/>
      <c r="J3" s="601"/>
      <c r="K3" s="67" t="s">
        <v>47</v>
      </c>
      <c r="O3" s="635" t="str">
        <f>IF('Cover Sheet'!O14:S14&gt;0,'Cover Sheet'!O14:S14,"")</f>
        <v>81 FSCH/FSS/FSF</v>
      </c>
      <c r="P3" s="601"/>
      <c r="Q3" s="601"/>
      <c r="R3" s="601"/>
      <c r="S3" s="601"/>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57" t="s">
        <v>859</v>
      </c>
      <c r="B5" s="595"/>
      <c r="C5" s="595"/>
      <c r="D5" s="595"/>
      <c r="E5" s="595"/>
      <c r="F5" s="595"/>
      <c r="G5" s="595"/>
      <c r="H5" s="595"/>
      <c r="I5" s="595"/>
      <c r="J5" s="595"/>
      <c r="K5" s="595"/>
      <c r="L5" s="595"/>
      <c r="M5" s="595"/>
      <c r="N5" s="595"/>
      <c r="O5" s="595"/>
      <c r="P5" s="595"/>
      <c r="Q5" s="595"/>
      <c r="R5" s="595"/>
      <c r="S5" s="758"/>
      <c r="T5" s="95"/>
      <c r="U5" s="64"/>
      <c r="V5" s="64"/>
      <c r="W5" s="64"/>
      <c r="X5" s="64"/>
      <c r="Y5" s="64"/>
      <c r="Z5" s="64"/>
      <c r="AA5" s="64"/>
      <c r="AB5" s="64"/>
      <c r="AC5" s="64"/>
      <c r="AD5" s="64"/>
      <c r="AE5" s="64"/>
      <c r="AF5" s="64"/>
      <c r="AG5" s="64"/>
      <c r="AH5" s="64"/>
      <c r="AI5" s="64"/>
    </row>
    <row r="6" spans="1:35" ht="12.75" customHeight="1">
      <c r="A6" s="759"/>
      <c r="B6" s="760"/>
      <c r="C6" s="760"/>
      <c r="D6" s="760"/>
      <c r="E6" s="760"/>
      <c r="F6" s="760"/>
      <c r="G6" s="760"/>
      <c r="H6" s="760"/>
      <c r="I6" s="760"/>
      <c r="J6" s="760"/>
      <c r="K6" s="760"/>
      <c r="L6" s="760"/>
      <c r="M6" s="760"/>
      <c r="N6" s="760"/>
      <c r="O6" s="760"/>
      <c r="P6" s="760"/>
      <c r="Q6" s="760"/>
      <c r="R6" s="760"/>
      <c r="S6" s="761"/>
      <c r="T6" s="95"/>
      <c r="U6" s="64"/>
      <c r="V6" s="64"/>
      <c r="W6" s="64"/>
      <c r="X6" s="64"/>
      <c r="Y6" s="64"/>
      <c r="Z6" s="64"/>
      <c r="AA6" s="64"/>
      <c r="AB6" s="64"/>
      <c r="AC6" s="64"/>
      <c r="AD6" s="64"/>
      <c r="AE6" s="64"/>
      <c r="AF6" s="64"/>
      <c r="AG6" s="64"/>
      <c r="AH6" s="64"/>
      <c r="AI6" s="64"/>
    </row>
    <row r="7" spans="1:35" ht="12.75" customHeight="1">
      <c r="A7" s="515" t="s">
        <v>252</v>
      </c>
      <c r="B7" s="516"/>
      <c r="C7" s="516"/>
      <c r="D7" s="516"/>
      <c r="E7" s="517"/>
      <c r="F7" s="517"/>
      <c r="G7" s="517"/>
      <c r="H7" s="517"/>
      <c r="I7" s="517"/>
      <c r="J7" s="517"/>
      <c r="K7" s="517"/>
      <c r="L7" s="517"/>
      <c r="M7" s="517"/>
      <c r="N7" s="517"/>
      <c r="O7" s="517"/>
      <c r="P7" s="517"/>
      <c r="Q7" s="517"/>
      <c r="R7" s="517"/>
      <c r="S7" s="518"/>
      <c r="T7" s="95"/>
      <c r="U7" s="64"/>
      <c r="V7" s="64"/>
      <c r="W7" s="64"/>
      <c r="X7" s="64"/>
      <c r="Y7" s="64"/>
      <c r="Z7" s="64"/>
      <c r="AA7" s="64"/>
      <c r="AB7" s="64"/>
      <c r="AC7" s="64"/>
      <c r="AD7" s="64"/>
      <c r="AE7" s="64"/>
      <c r="AF7" s="64"/>
      <c r="AG7" s="64"/>
      <c r="AH7" s="64"/>
      <c r="AI7" s="64"/>
    </row>
    <row r="8" spans="1:35" ht="12.75" customHeight="1">
      <c r="A8" s="762" t="s">
        <v>860</v>
      </c>
      <c r="B8" s="582"/>
      <c r="C8" s="582"/>
      <c r="D8" s="582"/>
      <c r="E8" s="582"/>
      <c r="F8" s="583"/>
      <c r="G8" s="520"/>
      <c r="H8" s="520"/>
      <c r="I8" s="520"/>
      <c r="J8" s="520"/>
      <c r="K8" s="520"/>
      <c r="L8" s="520"/>
      <c r="M8" s="520"/>
      <c r="N8" s="520"/>
      <c r="O8" s="520"/>
      <c r="P8" s="520"/>
      <c r="Q8" s="520"/>
      <c r="R8" s="520"/>
      <c r="S8" s="521"/>
      <c r="T8" s="95"/>
      <c r="U8" s="64"/>
      <c r="V8" s="64"/>
      <c r="W8" s="64"/>
      <c r="X8" s="64"/>
      <c r="Y8" s="64"/>
      <c r="Z8" s="64"/>
      <c r="AA8" s="64"/>
      <c r="AB8" s="64"/>
      <c r="AC8" s="64"/>
      <c r="AD8" s="64"/>
      <c r="AE8" s="64"/>
      <c r="AF8" s="64"/>
      <c r="AG8" s="64"/>
      <c r="AH8" s="64"/>
      <c r="AI8" s="64"/>
    </row>
    <row r="9" spans="1:35" ht="12.75" customHeight="1">
      <c r="A9" s="519"/>
      <c r="B9" s="520"/>
      <c r="C9" s="520"/>
      <c r="D9" s="520"/>
      <c r="E9" s="520"/>
      <c r="F9" s="520"/>
      <c r="G9" s="520"/>
      <c r="H9" s="520"/>
      <c r="I9" s="520"/>
      <c r="J9" s="520"/>
      <c r="K9" s="520"/>
      <c r="L9" s="520"/>
      <c r="M9" s="520"/>
      <c r="N9" s="520"/>
      <c r="O9" s="520"/>
      <c r="P9" s="520"/>
      <c r="Q9" s="520"/>
      <c r="R9" s="520"/>
      <c r="S9" s="521"/>
      <c r="T9" s="95"/>
      <c r="U9" s="64"/>
      <c r="V9" s="64"/>
      <c r="W9" s="64"/>
      <c r="X9" s="64"/>
      <c r="Y9" s="64"/>
      <c r="Z9" s="64"/>
      <c r="AA9" s="64"/>
      <c r="AB9" s="64"/>
      <c r="AC9" s="64"/>
      <c r="AD9" s="64"/>
      <c r="AE9" s="64"/>
      <c r="AF9" s="64"/>
      <c r="AG9" s="64"/>
      <c r="AH9" s="64"/>
      <c r="AI9" s="64"/>
    </row>
    <row r="10" spans="1:35" ht="12.75" customHeight="1">
      <c r="A10" s="519"/>
      <c r="B10" s="520"/>
      <c r="C10" s="520"/>
      <c r="D10" s="520"/>
      <c r="E10" s="520"/>
      <c r="F10" s="520"/>
      <c r="G10" s="520"/>
      <c r="H10" s="520"/>
      <c r="I10" s="520"/>
      <c r="J10" s="520"/>
      <c r="K10" s="520"/>
      <c r="L10" s="520"/>
      <c r="M10" s="520"/>
      <c r="N10" s="756" t="s">
        <v>861</v>
      </c>
      <c r="O10" s="582"/>
      <c r="P10" s="582"/>
      <c r="Q10" s="583"/>
      <c r="R10" s="520"/>
      <c r="S10" s="521"/>
      <c r="T10" s="95"/>
      <c r="U10" s="64"/>
      <c r="V10" s="64"/>
      <c r="W10" s="64"/>
      <c r="X10" s="64"/>
      <c r="Y10" s="64"/>
      <c r="Z10" s="64"/>
      <c r="AA10" s="64"/>
      <c r="AB10" s="64"/>
      <c r="AC10" s="64"/>
      <c r="AD10" s="64"/>
      <c r="AE10" s="64"/>
      <c r="AF10" s="64"/>
      <c r="AG10" s="64"/>
      <c r="AH10" s="64"/>
      <c r="AI10" s="64"/>
    </row>
    <row r="11" spans="1:35" ht="12.75" customHeight="1">
      <c r="A11" s="519"/>
      <c r="B11" s="520"/>
      <c r="C11" s="520"/>
      <c r="D11" s="520"/>
      <c r="E11" s="520"/>
      <c r="F11" s="520"/>
      <c r="G11" s="520"/>
      <c r="H11" s="520"/>
      <c r="I11" s="520"/>
      <c r="J11" s="520"/>
      <c r="K11" s="520"/>
      <c r="L11" s="520"/>
      <c r="M11" s="520"/>
      <c r="N11" s="756" t="s">
        <v>862</v>
      </c>
      <c r="O11" s="582"/>
      <c r="P11" s="582"/>
      <c r="Q11" s="583"/>
      <c r="R11" s="520"/>
      <c r="S11" s="521"/>
      <c r="T11" s="95"/>
      <c r="U11" s="64"/>
      <c r="V11" s="64"/>
      <c r="W11" s="64"/>
      <c r="X11" s="64"/>
      <c r="Y11" s="64"/>
      <c r="Z11" s="64"/>
      <c r="AA11" s="64"/>
      <c r="AB11" s="64"/>
      <c r="AC11" s="64"/>
      <c r="AD11" s="64"/>
      <c r="AE11" s="64"/>
      <c r="AF11" s="64"/>
      <c r="AG11" s="64"/>
      <c r="AH11" s="64"/>
      <c r="AI11" s="64"/>
    </row>
    <row r="12" spans="1:35" ht="12.75" customHeight="1">
      <c r="A12" s="519"/>
      <c r="B12" s="520"/>
      <c r="C12" s="520"/>
      <c r="D12" s="520"/>
      <c r="E12" s="520"/>
      <c r="F12" s="520"/>
      <c r="G12" s="520"/>
      <c r="H12" s="520"/>
      <c r="I12" s="520"/>
      <c r="J12" s="520"/>
      <c r="K12" s="520"/>
      <c r="L12" s="520"/>
      <c r="M12" s="520"/>
      <c r="N12" s="520"/>
      <c r="O12" s="520"/>
      <c r="P12" s="520"/>
      <c r="Q12" s="520"/>
      <c r="R12" s="520"/>
      <c r="S12" s="521"/>
      <c r="T12" s="95"/>
      <c r="U12" s="64"/>
      <c r="V12" s="64"/>
      <c r="W12" s="64"/>
      <c r="X12" s="64"/>
      <c r="Y12" s="64"/>
      <c r="Z12" s="64"/>
      <c r="AA12" s="64"/>
      <c r="AB12" s="64"/>
      <c r="AC12" s="64"/>
      <c r="AD12" s="64"/>
      <c r="AE12" s="64"/>
      <c r="AF12" s="64"/>
      <c r="AG12" s="64"/>
      <c r="AH12" s="64"/>
      <c r="AI12" s="64"/>
    </row>
    <row r="13" spans="1:35" ht="12.75" customHeight="1">
      <c r="A13" s="519"/>
      <c r="B13" s="520"/>
      <c r="C13" s="520"/>
      <c r="D13" s="520"/>
      <c r="E13" s="520"/>
      <c r="F13" s="520"/>
      <c r="G13" s="520"/>
      <c r="H13" s="520"/>
      <c r="I13" s="520"/>
      <c r="J13" s="520"/>
      <c r="K13" s="520"/>
      <c r="L13" s="520"/>
      <c r="M13" s="520"/>
      <c r="N13" s="520"/>
      <c r="O13" s="520"/>
      <c r="P13" s="520"/>
      <c r="Q13" s="520"/>
      <c r="R13" s="520"/>
      <c r="S13" s="521"/>
      <c r="T13" s="95"/>
      <c r="U13" s="64"/>
      <c r="V13" s="64"/>
      <c r="W13" s="64"/>
      <c r="X13" s="64"/>
      <c r="Y13" s="64"/>
      <c r="Z13" s="64"/>
      <c r="AA13" s="64"/>
      <c r="AB13" s="64"/>
      <c r="AC13" s="64"/>
      <c r="AD13" s="64"/>
      <c r="AE13" s="64"/>
      <c r="AF13" s="64"/>
      <c r="AG13" s="64"/>
      <c r="AH13" s="64"/>
      <c r="AI13" s="64"/>
    </row>
    <row r="14" spans="1:35" ht="12.75" customHeight="1">
      <c r="A14" s="519"/>
      <c r="B14" s="520"/>
      <c r="C14" s="520"/>
      <c r="D14" s="520"/>
      <c r="E14" s="520"/>
      <c r="F14" s="520"/>
      <c r="G14" s="520"/>
      <c r="H14" s="520"/>
      <c r="I14" s="520"/>
      <c r="J14" s="520"/>
      <c r="K14" s="520"/>
      <c r="L14" s="520"/>
      <c r="M14" s="520"/>
      <c r="N14" s="520"/>
      <c r="O14" s="520"/>
      <c r="P14" s="520"/>
      <c r="Q14" s="520"/>
      <c r="R14" s="520"/>
      <c r="S14" s="521"/>
      <c r="T14" s="95"/>
      <c r="U14" s="64"/>
      <c r="V14" s="64"/>
      <c r="W14" s="64"/>
      <c r="X14" s="64"/>
      <c r="Y14" s="64"/>
      <c r="Z14" s="64"/>
      <c r="AA14" s="64"/>
      <c r="AB14" s="64"/>
      <c r="AC14" s="64"/>
      <c r="AD14" s="64"/>
      <c r="AE14" s="64"/>
      <c r="AF14" s="64"/>
      <c r="AG14" s="64"/>
      <c r="AH14" s="64"/>
      <c r="AI14" s="64"/>
    </row>
    <row r="15" spans="1:35" ht="12.75" customHeight="1">
      <c r="A15" s="519"/>
      <c r="B15" s="520"/>
      <c r="C15" s="520"/>
      <c r="D15" s="520"/>
      <c r="E15" s="520"/>
      <c r="F15" s="520"/>
      <c r="G15" s="520"/>
      <c r="H15" s="520"/>
      <c r="I15" s="520"/>
      <c r="J15" s="520"/>
      <c r="K15" s="520"/>
      <c r="L15" s="520"/>
      <c r="M15" s="520"/>
      <c r="N15" s="520"/>
      <c r="O15" s="520"/>
      <c r="P15" s="520"/>
      <c r="Q15" s="520"/>
      <c r="R15" s="520"/>
      <c r="S15" s="521"/>
      <c r="T15" s="95"/>
      <c r="U15" s="64"/>
      <c r="V15" s="64"/>
      <c r="W15" s="64"/>
      <c r="X15" s="64"/>
      <c r="Y15" s="64"/>
      <c r="Z15" s="64"/>
      <c r="AA15" s="64"/>
      <c r="AB15" s="64"/>
      <c r="AC15" s="64"/>
      <c r="AD15" s="64"/>
      <c r="AE15" s="64"/>
      <c r="AF15" s="64"/>
      <c r="AG15" s="64"/>
      <c r="AH15" s="64"/>
      <c r="AI15" s="64"/>
    </row>
    <row r="16" spans="1:35" ht="12.75" customHeight="1">
      <c r="A16" s="519"/>
      <c r="B16" s="520"/>
      <c r="C16" s="520"/>
      <c r="D16" s="520"/>
      <c r="E16" s="520"/>
      <c r="F16" s="520"/>
      <c r="G16" s="520"/>
      <c r="H16" s="520"/>
      <c r="I16" s="520"/>
      <c r="J16" s="520"/>
      <c r="K16" s="520"/>
      <c r="L16" s="520"/>
      <c r="M16" s="520"/>
      <c r="N16" s="520"/>
      <c r="O16" s="520"/>
      <c r="P16" s="520"/>
      <c r="Q16" s="520"/>
      <c r="R16" s="520"/>
      <c r="S16" s="521"/>
      <c r="T16" s="95"/>
      <c r="U16" s="64"/>
      <c r="V16" s="64"/>
      <c r="W16" s="64"/>
      <c r="X16" s="64"/>
      <c r="Y16" s="64"/>
      <c r="Z16" s="64"/>
      <c r="AA16" s="64"/>
      <c r="AB16" s="64"/>
      <c r="AC16" s="64"/>
      <c r="AD16" s="64"/>
      <c r="AE16" s="64"/>
      <c r="AF16" s="64"/>
      <c r="AG16" s="64"/>
      <c r="AH16" s="64"/>
      <c r="AI16" s="64"/>
    </row>
    <row r="17" spans="1:35" ht="12.75" customHeight="1">
      <c r="A17" s="519"/>
      <c r="B17" s="520"/>
      <c r="C17" s="520"/>
      <c r="D17" s="520"/>
      <c r="E17" s="520"/>
      <c r="F17" s="520"/>
      <c r="G17" s="520"/>
      <c r="H17" s="520"/>
      <c r="I17" s="520"/>
      <c r="J17" s="520"/>
      <c r="K17" s="520"/>
      <c r="L17" s="520"/>
      <c r="M17" s="520"/>
      <c r="N17" s="520"/>
      <c r="O17" s="520"/>
      <c r="P17" s="520"/>
      <c r="Q17" s="520"/>
      <c r="R17" s="520"/>
      <c r="S17" s="521"/>
      <c r="T17" s="95"/>
      <c r="U17" s="64"/>
      <c r="V17" s="64"/>
      <c r="W17" s="64"/>
      <c r="X17" s="64"/>
      <c r="Y17" s="64"/>
      <c r="Z17" s="64"/>
      <c r="AA17" s="64"/>
      <c r="AB17" s="64"/>
      <c r="AC17" s="64"/>
      <c r="AD17" s="64"/>
      <c r="AE17" s="64"/>
      <c r="AF17" s="64"/>
      <c r="AG17" s="64"/>
      <c r="AH17" s="64"/>
      <c r="AI17" s="64"/>
    </row>
    <row r="18" spans="1:35" ht="12.75" customHeight="1">
      <c r="A18" s="519"/>
      <c r="B18" s="520"/>
      <c r="C18" s="520"/>
      <c r="D18" s="520"/>
      <c r="E18" s="520"/>
      <c r="F18" s="520"/>
      <c r="G18" s="520"/>
      <c r="H18" s="520"/>
      <c r="I18" s="520"/>
      <c r="J18" s="520"/>
      <c r="K18" s="520"/>
      <c r="L18" s="520"/>
      <c r="M18" s="520"/>
      <c r="N18" s="520"/>
      <c r="O18" s="520"/>
      <c r="P18" s="520"/>
      <c r="Q18" s="520"/>
      <c r="R18" s="520"/>
      <c r="S18" s="521"/>
      <c r="T18" s="95"/>
      <c r="U18" s="64"/>
      <c r="V18" s="64"/>
      <c r="W18" s="64"/>
      <c r="X18" s="64"/>
      <c r="Y18" s="64"/>
      <c r="Z18" s="64"/>
      <c r="AA18" s="64"/>
      <c r="AB18" s="64"/>
      <c r="AC18" s="64"/>
      <c r="AD18" s="64"/>
      <c r="AE18" s="64"/>
      <c r="AF18" s="64"/>
      <c r="AG18" s="64"/>
      <c r="AH18" s="64"/>
      <c r="AI18" s="64"/>
    </row>
    <row r="19" spans="1:35" ht="12.75" customHeight="1">
      <c r="A19" s="519"/>
      <c r="B19" s="520"/>
      <c r="C19" s="520"/>
      <c r="D19" s="520"/>
      <c r="E19" s="520"/>
      <c r="F19" s="520"/>
      <c r="G19" s="520"/>
      <c r="H19" s="520"/>
      <c r="I19" s="520"/>
      <c r="J19" s="520"/>
      <c r="K19" s="520"/>
      <c r="L19" s="520"/>
      <c r="M19" s="520"/>
      <c r="N19" s="520"/>
      <c r="O19" s="520"/>
      <c r="P19" s="520"/>
      <c r="Q19" s="520"/>
      <c r="R19" s="520"/>
      <c r="S19" s="521"/>
      <c r="T19" s="95"/>
      <c r="U19" s="64"/>
      <c r="V19" s="64"/>
      <c r="W19" s="64"/>
      <c r="X19" s="64"/>
      <c r="Y19" s="64"/>
      <c r="Z19" s="64"/>
      <c r="AA19" s="64"/>
      <c r="AB19" s="64"/>
      <c r="AC19" s="64"/>
      <c r="AD19" s="64"/>
      <c r="AE19" s="64"/>
      <c r="AF19" s="64"/>
      <c r="AG19" s="64"/>
      <c r="AH19" s="64"/>
      <c r="AI19" s="64"/>
    </row>
    <row r="20" spans="1:35" ht="12.75" customHeight="1">
      <c r="A20" s="519"/>
      <c r="B20" s="520"/>
      <c r="C20" s="520"/>
      <c r="D20" s="520"/>
      <c r="E20" s="520"/>
      <c r="F20" s="520"/>
      <c r="G20" s="520"/>
      <c r="H20" s="520"/>
      <c r="I20" s="520"/>
      <c r="J20" s="520"/>
      <c r="K20" s="520"/>
      <c r="L20" s="520"/>
      <c r="M20" s="520"/>
      <c r="N20" s="520"/>
      <c r="O20" s="520"/>
      <c r="P20" s="520"/>
      <c r="Q20" s="520"/>
      <c r="R20" s="520"/>
      <c r="S20" s="521"/>
      <c r="T20" s="95"/>
      <c r="U20" s="64"/>
      <c r="V20" s="64"/>
      <c r="W20" s="64"/>
      <c r="X20" s="64"/>
      <c r="Y20" s="64"/>
      <c r="Z20" s="64"/>
      <c r="AA20" s="64"/>
      <c r="AB20" s="64"/>
      <c r="AC20" s="64"/>
      <c r="AD20" s="64"/>
      <c r="AE20" s="64"/>
      <c r="AF20" s="64"/>
      <c r="AG20" s="64"/>
      <c r="AH20" s="64"/>
      <c r="AI20" s="64"/>
    </row>
    <row r="21" spans="1:35" ht="12.75" customHeight="1">
      <c r="A21" s="519"/>
      <c r="B21" s="520"/>
      <c r="C21" s="520"/>
      <c r="D21" s="520"/>
      <c r="E21" s="520"/>
      <c r="F21" s="520"/>
      <c r="G21" s="520"/>
      <c r="H21" s="520"/>
      <c r="I21" s="520"/>
      <c r="J21" s="520"/>
      <c r="K21" s="520"/>
      <c r="L21" s="520"/>
      <c r="M21" s="520"/>
      <c r="N21" s="520"/>
      <c r="O21" s="520"/>
      <c r="P21" s="520"/>
      <c r="Q21" s="520"/>
      <c r="R21" s="520"/>
      <c r="S21" s="521"/>
      <c r="T21" s="95"/>
      <c r="U21" s="64"/>
      <c r="V21" s="64"/>
      <c r="W21" s="64"/>
      <c r="X21" s="64"/>
      <c r="Y21" s="64"/>
      <c r="Z21" s="64"/>
      <c r="AA21" s="64"/>
      <c r="AB21" s="64"/>
      <c r="AC21" s="64"/>
      <c r="AD21" s="64"/>
      <c r="AE21" s="64"/>
      <c r="AF21" s="64"/>
      <c r="AG21" s="64"/>
      <c r="AH21" s="64"/>
      <c r="AI21" s="64"/>
    </row>
    <row r="22" spans="1:35" ht="12.75" customHeight="1">
      <c r="A22" s="519"/>
      <c r="B22" s="520"/>
      <c r="C22" s="520"/>
      <c r="D22" s="520"/>
      <c r="E22" s="520"/>
      <c r="F22" s="520"/>
      <c r="G22" s="520"/>
      <c r="H22" s="520"/>
      <c r="I22" s="520"/>
      <c r="J22" s="520"/>
      <c r="K22" s="520"/>
      <c r="L22" s="520"/>
      <c r="M22" s="520"/>
      <c r="N22" s="520"/>
      <c r="O22" s="520"/>
      <c r="P22" s="520"/>
      <c r="Q22" s="520"/>
      <c r="R22" s="520"/>
      <c r="S22" s="521"/>
      <c r="T22" s="95"/>
      <c r="U22" s="64"/>
      <c r="V22" s="64"/>
      <c r="W22" s="64"/>
      <c r="X22" s="64"/>
      <c r="Y22" s="64"/>
      <c r="Z22" s="64"/>
      <c r="AA22" s="64"/>
      <c r="AB22" s="64"/>
      <c r="AC22" s="64"/>
      <c r="AD22" s="64"/>
      <c r="AE22" s="64"/>
      <c r="AF22" s="64"/>
      <c r="AG22" s="64"/>
      <c r="AH22" s="64"/>
      <c r="AI22" s="64"/>
    </row>
    <row r="23" spans="1:35" ht="12.75" customHeight="1">
      <c r="A23" s="519"/>
      <c r="B23" s="520"/>
      <c r="C23" s="520"/>
      <c r="D23" s="520"/>
      <c r="E23" s="520"/>
      <c r="F23" s="520"/>
      <c r="G23" s="520"/>
      <c r="H23" s="520"/>
      <c r="I23" s="520"/>
      <c r="J23" s="520"/>
      <c r="K23" s="520"/>
      <c r="L23" s="520"/>
      <c r="M23" s="520"/>
      <c r="N23" s="520"/>
      <c r="O23" s="520"/>
      <c r="P23" s="520"/>
      <c r="Q23" s="520"/>
      <c r="R23" s="520"/>
      <c r="S23" s="521"/>
      <c r="T23" s="95"/>
      <c r="U23" s="64"/>
      <c r="V23" s="64"/>
      <c r="W23" s="64"/>
      <c r="X23" s="64"/>
      <c r="Y23" s="64"/>
      <c r="Z23" s="64"/>
      <c r="AA23" s="64"/>
      <c r="AB23" s="64"/>
      <c r="AC23" s="64"/>
      <c r="AD23" s="64"/>
      <c r="AE23" s="64"/>
      <c r="AF23" s="64"/>
      <c r="AG23" s="64"/>
      <c r="AH23" s="64"/>
      <c r="AI23" s="64"/>
    </row>
    <row r="24" spans="1:35" ht="12.75" customHeight="1">
      <c r="A24" s="519"/>
      <c r="B24" s="520"/>
      <c r="C24" s="520"/>
      <c r="D24" s="520"/>
      <c r="E24" s="520"/>
      <c r="F24" s="520"/>
      <c r="G24" s="520"/>
      <c r="H24" s="520"/>
      <c r="I24" s="520"/>
      <c r="J24" s="520"/>
      <c r="K24" s="520"/>
      <c r="L24" s="520"/>
      <c r="M24" s="520"/>
      <c r="N24" s="520"/>
      <c r="O24" s="520"/>
      <c r="P24" s="520"/>
      <c r="Q24" s="520"/>
      <c r="R24" s="520"/>
      <c r="S24" s="521"/>
      <c r="T24" s="95"/>
      <c r="U24" s="64"/>
      <c r="V24" s="64"/>
      <c r="W24" s="64"/>
      <c r="X24" s="64"/>
      <c r="Y24" s="64"/>
      <c r="Z24" s="64"/>
      <c r="AA24" s="64"/>
      <c r="AB24" s="64"/>
      <c r="AC24" s="64"/>
      <c r="AD24" s="64"/>
      <c r="AE24" s="64"/>
      <c r="AF24" s="64"/>
      <c r="AG24" s="64"/>
      <c r="AH24" s="64"/>
      <c r="AI24" s="64"/>
    </row>
    <row r="25" spans="1:35" ht="12.75" customHeight="1">
      <c r="A25" s="519"/>
      <c r="B25" s="520"/>
      <c r="C25" s="520"/>
      <c r="D25" s="520"/>
      <c r="E25" s="520"/>
      <c r="F25" s="520"/>
      <c r="G25" s="520"/>
      <c r="H25" s="520"/>
      <c r="I25" s="520"/>
      <c r="J25" s="520"/>
      <c r="K25" s="520"/>
      <c r="L25" s="520"/>
      <c r="M25" s="520"/>
      <c r="N25" s="520"/>
      <c r="O25" s="520"/>
      <c r="P25" s="520"/>
      <c r="Q25" s="520"/>
      <c r="R25" s="520"/>
      <c r="S25" s="521"/>
      <c r="T25" s="95"/>
      <c r="U25" s="64"/>
      <c r="V25" s="64"/>
      <c r="W25" s="64"/>
      <c r="X25" s="64"/>
      <c r="Y25" s="64"/>
      <c r="Z25" s="64"/>
      <c r="AA25" s="64"/>
      <c r="AB25" s="64"/>
      <c r="AC25" s="64"/>
      <c r="AD25" s="64"/>
      <c r="AE25" s="64"/>
      <c r="AF25" s="64"/>
      <c r="AG25" s="64"/>
      <c r="AH25" s="64"/>
      <c r="AI25" s="64"/>
    </row>
    <row r="26" spans="1:35" ht="12.75" customHeight="1">
      <c r="A26" s="519"/>
      <c r="B26" s="520"/>
      <c r="C26" s="520"/>
      <c r="D26" s="520"/>
      <c r="E26" s="520"/>
      <c r="F26" s="520"/>
      <c r="G26" s="520"/>
      <c r="H26" s="520"/>
      <c r="I26" s="520"/>
      <c r="J26" s="520"/>
      <c r="K26" s="520"/>
      <c r="L26" s="520"/>
      <c r="M26" s="520"/>
      <c r="N26" s="520"/>
      <c r="O26" s="520"/>
      <c r="P26" s="520"/>
      <c r="Q26" s="520"/>
      <c r="R26" s="520"/>
      <c r="S26" s="521"/>
      <c r="T26" s="95"/>
      <c r="U26" s="64"/>
      <c r="V26" s="64"/>
      <c r="W26" s="64"/>
      <c r="X26" s="64"/>
      <c r="Y26" s="64"/>
      <c r="Z26" s="64"/>
      <c r="AA26" s="64"/>
      <c r="AB26" s="64"/>
      <c r="AC26" s="64"/>
      <c r="AD26" s="64"/>
      <c r="AE26" s="64"/>
      <c r="AF26" s="64"/>
      <c r="AG26" s="64"/>
      <c r="AH26" s="64"/>
      <c r="AI26" s="64"/>
    </row>
    <row r="27" spans="1:35" ht="12.75" customHeight="1">
      <c r="A27" s="519"/>
      <c r="B27" s="520"/>
      <c r="C27" s="520"/>
      <c r="D27" s="520"/>
      <c r="E27" s="520"/>
      <c r="F27" s="520"/>
      <c r="G27" s="520"/>
      <c r="H27" s="520"/>
      <c r="I27" s="520"/>
      <c r="J27" s="520"/>
      <c r="K27" s="520"/>
      <c r="L27" s="520"/>
      <c r="M27" s="520"/>
      <c r="N27" s="520"/>
      <c r="O27" s="520"/>
      <c r="P27" s="520"/>
      <c r="Q27" s="520"/>
      <c r="R27" s="520"/>
      <c r="S27" s="521"/>
      <c r="T27" s="95"/>
      <c r="U27" s="64"/>
      <c r="V27" s="64"/>
      <c r="W27" s="64"/>
      <c r="X27" s="64"/>
      <c r="Y27" s="64"/>
      <c r="Z27" s="64"/>
      <c r="AA27" s="64"/>
      <c r="AB27" s="64"/>
      <c r="AC27" s="64"/>
      <c r="AD27" s="64"/>
      <c r="AE27" s="64"/>
      <c r="AF27" s="64"/>
      <c r="AG27" s="64"/>
      <c r="AH27" s="64"/>
      <c r="AI27" s="64"/>
    </row>
    <row r="28" spans="1:35" ht="12.75" customHeight="1">
      <c r="A28" s="519"/>
      <c r="B28" s="520"/>
      <c r="C28" s="520"/>
      <c r="D28" s="520"/>
      <c r="E28" s="520"/>
      <c r="F28" s="520"/>
      <c r="G28" s="520"/>
      <c r="H28" s="520"/>
      <c r="I28" s="520"/>
      <c r="J28" s="520"/>
      <c r="K28" s="520"/>
      <c r="L28" s="520"/>
      <c r="M28" s="520"/>
      <c r="N28" s="520"/>
      <c r="O28" s="520"/>
      <c r="P28" s="520"/>
      <c r="Q28" s="520"/>
      <c r="R28" s="520"/>
      <c r="S28" s="521"/>
      <c r="T28" s="95"/>
      <c r="U28" s="64"/>
      <c r="V28" s="64"/>
      <c r="W28" s="64"/>
      <c r="X28" s="64"/>
      <c r="Y28" s="64"/>
      <c r="Z28" s="64"/>
      <c r="AA28" s="64"/>
      <c r="AB28" s="64"/>
      <c r="AC28" s="64"/>
      <c r="AD28" s="64"/>
      <c r="AE28" s="64"/>
      <c r="AF28" s="64"/>
      <c r="AG28" s="64"/>
      <c r="AH28" s="64"/>
      <c r="AI28" s="64"/>
    </row>
    <row r="29" spans="1:35" ht="12.75" customHeight="1">
      <c r="A29" s="519"/>
      <c r="B29" s="520"/>
      <c r="C29" s="520"/>
      <c r="D29" s="520"/>
      <c r="E29" s="520"/>
      <c r="F29" s="520"/>
      <c r="G29" s="520"/>
      <c r="H29" s="520"/>
      <c r="I29" s="520"/>
      <c r="J29" s="520"/>
      <c r="K29" s="520"/>
      <c r="L29" s="520"/>
      <c r="M29" s="520"/>
      <c r="N29" s="520"/>
      <c r="O29" s="520"/>
      <c r="P29" s="520"/>
      <c r="Q29" s="520"/>
      <c r="R29" s="520"/>
      <c r="S29" s="521"/>
      <c r="T29" s="95"/>
      <c r="U29" s="64"/>
      <c r="V29" s="64"/>
      <c r="W29" s="64"/>
      <c r="X29" s="64"/>
      <c r="Y29" s="64"/>
      <c r="Z29" s="64"/>
      <c r="AA29" s="64"/>
      <c r="AB29" s="64"/>
      <c r="AC29" s="64"/>
      <c r="AD29" s="64"/>
      <c r="AE29" s="64"/>
      <c r="AF29" s="64"/>
      <c r="AG29" s="64"/>
      <c r="AH29" s="64"/>
      <c r="AI29" s="64"/>
    </row>
    <row r="30" spans="1:35" ht="12.75" customHeight="1">
      <c r="A30" s="519"/>
      <c r="B30" s="520"/>
      <c r="C30" s="520"/>
      <c r="D30" s="520"/>
      <c r="E30" s="520"/>
      <c r="F30" s="520"/>
      <c r="G30" s="520"/>
      <c r="H30" s="520"/>
      <c r="I30" s="520"/>
      <c r="J30" s="520"/>
      <c r="K30" s="520"/>
      <c r="L30" s="520"/>
      <c r="M30" s="520"/>
      <c r="N30" s="520"/>
      <c r="O30" s="520"/>
      <c r="P30" s="520"/>
      <c r="Q30" s="520"/>
      <c r="R30" s="520"/>
      <c r="S30" s="521"/>
      <c r="T30" s="95"/>
      <c r="U30" s="64"/>
      <c r="V30" s="64"/>
      <c r="W30" s="64"/>
      <c r="X30" s="64"/>
      <c r="Y30" s="64"/>
      <c r="Z30" s="64"/>
      <c r="AA30" s="64"/>
      <c r="AB30" s="64"/>
      <c r="AC30" s="64"/>
      <c r="AD30" s="64"/>
      <c r="AE30" s="64"/>
      <c r="AF30" s="64"/>
      <c r="AG30" s="64"/>
      <c r="AH30" s="64"/>
      <c r="AI30" s="64"/>
    </row>
    <row r="31" spans="1:35" ht="12.75" customHeight="1">
      <c r="A31" s="519"/>
      <c r="B31" s="520"/>
      <c r="C31" s="520"/>
      <c r="D31" s="520"/>
      <c r="E31" s="520"/>
      <c r="F31" s="520"/>
      <c r="G31" s="520"/>
      <c r="H31" s="520"/>
      <c r="I31" s="520"/>
      <c r="J31" s="520"/>
      <c r="K31" s="520"/>
      <c r="L31" s="520"/>
      <c r="M31" s="520"/>
      <c r="N31" s="520"/>
      <c r="O31" s="520"/>
      <c r="P31" s="520"/>
      <c r="Q31" s="520"/>
      <c r="R31" s="520"/>
      <c r="S31" s="521"/>
      <c r="T31" s="95"/>
      <c r="U31" s="64"/>
      <c r="V31" s="64"/>
      <c r="W31" s="64"/>
      <c r="X31" s="64"/>
      <c r="Y31" s="64"/>
      <c r="Z31" s="64"/>
      <c r="AA31" s="64"/>
      <c r="AB31" s="64"/>
      <c r="AC31" s="64"/>
      <c r="AD31" s="64"/>
      <c r="AE31" s="64"/>
      <c r="AF31" s="64"/>
      <c r="AG31" s="64"/>
      <c r="AH31" s="64"/>
      <c r="AI31" s="64"/>
    </row>
    <row r="32" spans="1:35" ht="12.75" customHeight="1">
      <c r="A32" s="519"/>
      <c r="B32" s="520"/>
      <c r="C32" s="520"/>
      <c r="D32" s="520"/>
      <c r="E32" s="520"/>
      <c r="F32" s="520"/>
      <c r="G32" s="520"/>
      <c r="H32" s="520"/>
      <c r="I32" s="520"/>
      <c r="J32" s="520"/>
      <c r="K32" s="520"/>
      <c r="L32" s="520"/>
      <c r="M32" s="520"/>
      <c r="N32" s="520"/>
      <c r="O32" s="520"/>
      <c r="P32" s="520"/>
      <c r="Q32" s="520"/>
      <c r="R32" s="520"/>
      <c r="S32" s="521"/>
      <c r="T32" s="95"/>
      <c r="U32" s="64"/>
      <c r="V32" s="64"/>
      <c r="W32" s="64"/>
      <c r="X32" s="64"/>
      <c r="Y32" s="64"/>
      <c r="Z32" s="64"/>
      <c r="AA32" s="64"/>
      <c r="AB32" s="64"/>
      <c r="AC32" s="64"/>
      <c r="AD32" s="64"/>
      <c r="AE32" s="64"/>
      <c r="AF32" s="64"/>
      <c r="AG32" s="64"/>
      <c r="AH32" s="64"/>
      <c r="AI32" s="64"/>
    </row>
    <row r="33" spans="1:35" ht="12.75" customHeight="1">
      <c r="A33" s="519"/>
      <c r="B33" s="520"/>
      <c r="C33" s="520"/>
      <c r="D33" s="520"/>
      <c r="E33" s="520"/>
      <c r="F33" s="520"/>
      <c r="G33" s="520"/>
      <c r="H33" s="520"/>
      <c r="I33" s="520"/>
      <c r="J33" s="520"/>
      <c r="K33" s="520"/>
      <c r="L33" s="520"/>
      <c r="M33" s="520"/>
      <c r="N33" s="520"/>
      <c r="O33" s="520"/>
      <c r="P33" s="520"/>
      <c r="Q33" s="520"/>
      <c r="R33" s="520"/>
      <c r="S33" s="521"/>
      <c r="T33" s="95"/>
      <c r="U33" s="64"/>
      <c r="V33" s="64"/>
      <c r="W33" s="64"/>
      <c r="X33" s="64"/>
      <c r="Y33" s="64"/>
      <c r="Z33" s="64"/>
      <c r="AA33" s="64"/>
      <c r="AB33" s="64"/>
      <c r="AC33" s="64"/>
      <c r="AD33" s="64"/>
      <c r="AE33" s="64"/>
      <c r="AF33" s="64"/>
      <c r="AG33" s="64"/>
      <c r="AH33" s="64"/>
      <c r="AI33" s="64"/>
    </row>
    <row r="34" spans="1:35" ht="12.75" customHeight="1">
      <c r="A34" s="519"/>
      <c r="B34" s="520"/>
      <c r="C34" s="520"/>
      <c r="D34" s="520"/>
      <c r="E34" s="520"/>
      <c r="F34" s="520"/>
      <c r="G34" s="520"/>
      <c r="H34" s="520"/>
      <c r="I34" s="520"/>
      <c r="J34" s="520"/>
      <c r="K34" s="520"/>
      <c r="L34" s="520"/>
      <c r="M34" s="520"/>
      <c r="N34" s="520"/>
      <c r="O34" s="520"/>
      <c r="P34" s="520"/>
      <c r="Q34" s="520"/>
      <c r="R34" s="520"/>
      <c r="S34" s="521"/>
      <c r="T34" s="95"/>
      <c r="U34" s="64"/>
      <c r="V34" s="64"/>
      <c r="W34" s="64"/>
      <c r="X34" s="64"/>
      <c r="Y34" s="64"/>
      <c r="Z34" s="64"/>
      <c r="AA34" s="64"/>
      <c r="AB34" s="64"/>
      <c r="AC34" s="64"/>
      <c r="AD34" s="64"/>
      <c r="AE34" s="64"/>
      <c r="AF34" s="64"/>
      <c r="AG34" s="64"/>
      <c r="AH34" s="64"/>
      <c r="AI34" s="64"/>
    </row>
    <row r="35" spans="1:35" ht="12.75" customHeight="1">
      <c r="A35" s="519"/>
      <c r="B35" s="520"/>
      <c r="C35" s="520"/>
      <c r="D35" s="520"/>
      <c r="E35" s="520"/>
      <c r="F35" s="520"/>
      <c r="G35" s="520"/>
      <c r="H35" s="520"/>
      <c r="I35" s="520"/>
      <c r="J35" s="520"/>
      <c r="K35" s="520"/>
      <c r="L35" s="520"/>
      <c r="M35" s="520"/>
      <c r="N35" s="520"/>
      <c r="O35" s="520"/>
      <c r="P35" s="520"/>
      <c r="Q35" s="520"/>
      <c r="R35" s="520"/>
      <c r="S35" s="521"/>
      <c r="T35" s="95"/>
      <c r="U35" s="64"/>
      <c r="V35" s="64"/>
      <c r="W35" s="64"/>
      <c r="X35" s="64"/>
      <c r="Y35" s="64"/>
      <c r="Z35" s="64"/>
      <c r="AA35" s="64"/>
      <c r="AB35" s="64"/>
      <c r="AC35" s="64"/>
      <c r="AD35" s="64"/>
      <c r="AE35" s="64"/>
      <c r="AF35" s="64"/>
      <c r="AG35" s="64"/>
      <c r="AH35" s="64"/>
      <c r="AI35" s="64"/>
    </row>
    <row r="36" spans="1:35" ht="12.75" customHeight="1">
      <c r="A36" s="519"/>
      <c r="B36" s="520"/>
      <c r="C36" s="520"/>
      <c r="D36" s="520"/>
      <c r="E36" s="520"/>
      <c r="F36" s="520"/>
      <c r="G36" s="520"/>
      <c r="H36" s="520"/>
      <c r="I36" s="520"/>
      <c r="J36" s="520"/>
      <c r="K36" s="520"/>
      <c r="L36" s="520"/>
      <c r="M36" s="520"/>
      <c r="N36" s="520"/>
      <c r="O36" s="520"/>
      <c r="P36" s="520"/>
      <c r="Q36" s="520"/>
      <c r="R36" s="520"/>
      <c r="S36" s="521"/>
      <c r="T36" s="95"/>
      <c r="U36" s="64"/>
      <c r="V36" s="64"/>
      <c r="W36" s="64"/>
      <c r="X36" s="64"/>
      <c r="Y36" s="64"/>
      <c r="Z36" s="64"/>
      <c r="AA36" s="64"/>
      <c r="AB36" s="64"/>
      <c r="AC36" s="64"/>
      <c r="AD36" s="64"/>
      <c r="AE36" s="64"/>
      <c r="AF36" s="64"/>
      <c r="AG36" s="64"/>
      <c r="AH36" s="64"/>
      <c r="AI36" s="64"/>
    </row>
    <row r="37" spans="1:35" ht="12.75" customHeight="1">
      <c r="A37" s="519"/>
      <c r="B37" s="520"/>
      <c r="C37" s="520"/>
      <c r="D37" s="520"/>
      <c r="E37" s="520"/>
      <c r="F37" s="520"/>
      <c r="G37" s="520"/>
      <c r="H37" s="520"/>
      <c r="I37" s="520"/>
      <c r="J37" s="520"/>
      <c r="K37" s="520"/>
      <c r="L37" s="520"/>
      <c r="M37" s="520"/>
      <c r="N37" s="520"/>
      <c r="O37" s="520"/>
      <c r="P37" s="520"/>
      <c r="Q37" s="520"/>
      <c r="R37" s="520"/>
      <c r="S37" s="521"/>
      <c r="T37" s="95"/>
      <c r="U37" s="64"/>
      <c r="V37" s="64"/>
      <c r="W37" s="64"/>
      <c r="X37" s="64"/>
      <c r="Y37" s="64"/>
      <c r="Z37" s="64"/>
      <c r="AA37" s="64"/>
      <c r="AB37" s="64"/>
      <c r="AC37" s="64"/>
      <c r="AD37" s="64"/>
      <c r="AE37" s="64"/>
      <c r="AF37" s="64"/>
      <c r="AG37" s="64"/>
      <c r="AH37" s="64"/>
      <c r="AI37" s="64"/>
    </row>
    <row r="38" spans="1:35" ht="12.75" customHeight="1">
      <c r="A38" s="519"/>
      <c r="B38" s="520"/>
      <c r="C38" s="520"/>
      <c r="D38" s="520"/>
      <c r="E38" s="520"/>
      <c r="F38" s="520"/>
      <c r="G38" s="520"/>
      <c r="H38" s="520"/>
      <c r="I38" s="520"/>
      <c r="J38" s="520"/>
      <c r="K38" s="520"/>
      <c r="L38" s="520"/>
      <c r="M38" s="520"/>
      <c r="N38" s="520"/>
      <c r="O38" s="520"/>
      <c r="P38" s="520"/>
      <c r="Q38" s="520"/>
      <c r="R38" s="520"/>
      <c r="S38" s="521"/>
      <c r="T38" s="95"/>
      <c r="U38" s="64"/>
      <c r="V38" s="64"/>
      <c r="W38" s="64"/>
      <c r="X38" s="64"/>
      <c r="Y38" s="64"/>
      <c r="Z38" s="64"/>
      <c r="AA38" s="64"/>
      <c r="AB38" s="64"/>
      <c r="AC38" s="64"/>
      <c r="AD38" s="64"/>
      <c r="AE38" s="64"/>
      <c r="AF38" s="64"/>
      <c r="AG38" s="64"/>
      <c r="AH38" s="64"/>
      <c r="AI38" s="64"/>
    </row>
    <row r="39" spans="1:35" ht="12.75" customHeight="1">
      <c r="A39" s="519"/>
      <c r="B39" s="520"/>
      <c r="C39" s="520"/>
      <c r="D39" s="520"/>
      <c r="E39" s="520"/>
      <c r="F39" s="520"/>
      <c r="G39" s="520"/>
      <c r="H39" s="520"/>
      <c r="I39" s="520"/>
      <c r="J39" s="520"/>
      <c r="K39" s="520"/>
      <c r="L39" s="520"/>
      <c r="M39" s="520"/>
      <c r="N39" s="520"/>
      <c r="O39" s="520"/>
      <c r="P39" s="520"/>
      <c r="Q39" s="520"/>
      <c r="R39" s="520"/>
      <c r="S39" s="521"/>
      <c r="T39" s="95"/>
      <c r="U39" s="64"/>
      <c r="V39" s="64"/>
      <c r="W39" s="64"/>
      <c r="X39" s="64"/>
      <c r="Y39" s="64"/>
      <c r="Z39" s="64"/>
      <c r="AA39" s="64"/>
      <c r="AB39" s="64"/>
      <c r="AC39" s="64"/>
      <c r="AD39" s="64"/>
      <c r="AE39" s="64"/>
      <c r="AF39" s="64"/>
      <c r="AG39" s="64"/>
      <c r="AH39" s="64"/>
      <c r="AI39" s="64"/>
    </row>
    <row r="40" spans="1:35" ht="12.75" customHeight="1">
      <c r="A40" s="519"/>
      <c r="B40" s="520"/>
      <c r="C40" s="520"/>
      <c r="D40" s="520"/>
      <c r="E40" s="520"/>
      <c r="F40" s="520"/>
      <c r="G40" s="520"/>
      <c r="H40" s="520"/>
      <c r="I40" s="520"/>
      <c r="J40" s="520"/>
      <c r="K40" s="520"/>
      <c r="L40" s="520"/>
      <c r="M40" s="520"/>
      <c r="N40" s="520"/>
      <c r="O40" s="520"/>
      <c r="P40" s="520"/>
      <c r="Q40" s="520"/>
      <c r="R40" s="520"/>
      <c r="S40" s="521"/>
      <c r="T40" s="95"/>
      <c r="U40" s="64"/>
      <c r="V40" s="64"/>
      <c r="W40" s="64"/>
      <c r="X40" s="64"/>
      <c r="Y40" s="64"/>
      <c r="Z40" s="64"/>
      <c r="AA40" s="64"/>
      <c r="AB40" s="64"/>
      <c r="AC40" s="64"/>
      <c r="AD40" s="64"/>
      <c r="AE40" s="64"/>
      <c r="AF40" s="64"/>
      <c r="AG40" s="64"/>
      <c r="AH40" s="64"/>
      <c r="AI40" s="64"/>
    </row>
    <row r="41" spans="1:35" ht="12.75" customHeight="1">
      <c r="A41" s="519"/>
      <c r="B41" s="520"/>
      <c r="C41" s="520"/>
      <c r="D41" s="520"/>
      <c r="E41" s="520"/>
      <c r="F41" s="520"/>
      <c r="G41" s="520"/>
      <c r="H41" s="520"/>
      <c r="I41" s="520"/>
      <c r="J41" s="520"/>
      <c r="K41" s="520"/>
      <c r="L41" s="520"/>
      <c r="M41" s="520"/>
      <c r="N41" s="520"/>
      <c r="O41" s="520"/>
      <c r="P41" s="520"/>
      <c r="Q41" s="520"/>
      <c r="R41" s="520"/>
      <c r="S41" s="521"/>
      <c r="T41" s="95"/>
      <c r="U41" s="64"/>
      <c r="V41" s="64"/>
      <c r="W41" s="64"/>
      <c r="X41" s="64"/>
      <c r="Y41" s="64"/>
      <c r="Z41" s="64"/>
      <c r="AA41" s="64"/>
      <c r="AB41" s="64"/>
      <c r="AC41" s="64"/>
      <c r="AD41" s="64"/>
      <c r="AE41" s="64"/>
      <c r="AF41" s="64"/>
      <c r="AG41" s="64"/>
      <c r="AH41" s="64"/>
      <c r="AI41" s="64"/>
    </row>
    <row r="42" spans="1:35" ht="12.75" customHeight="1">
      <c r="A42" s="519"/>
      <c r="B42" s="520"/>
      <c r="C42" s="520"/>
      <c r="D42" s="520"/>
      <c r="E42" s="520"/>
      <c r="F42" s="520"/>
      <c r="G42" s="520"/>
      <c r="H42" s="520"/>
      <c r="I42" s="520"/>
      <c r="J42" s="520"/>
      <c r="K42" s="520"/>
      <c r="L42" s="520"/>
      <c r="M42" s="520"/>
      <c r="N42" s="520"/>
      <c r="O42" s="520"/>
      <c r="P42" s="520"/>
      <c r="Q42" s="520"/>
      <c r="R42" s="520"/>
      <c r="S42" s="521"/>
      <c r="T42" s="95"/>
      <c r="U42" s="64"/>
      <c r="V42" s="64"/>
      <c r="W42" s="64"/>
      <c r="X42" s="64"/>
      <c r="Y42" s="64"/>
      <c r="Z42" s="64"/>
      <c r="AA42" s="64"/>
      <c r="AB42" s="64"/>
      <c r="AC42" s="64"/>
      <c r="AD42" s="64"/>
      <c r="AE42" s="64"/>
      <c r="AF42" s="64"/>
      <c r="AG42" s="64"/>
      <c r="AH42" s="64"/>
      <c r="AI42" s="64"/>
    </row>
    <row r="43" spans="1:35" ht="12.75" customHeight="1">
      <c r="A43" s="519"/>
      <c r="B43" s="520"/>
      <c r="C43" s="520"/>
      <c r="D43" s="520"/>
      <c r="E43" s="520"/>
      <c r="F43" s="520"/>
      <c r="G43" s="520"/>
      <c r="H43" s="520"/>
      <c r="I43" s="520"/>
      <c r="J43" s="520"/>
      <c r="K43" s="520"/>
      <c r="L43" s="520"/>
      <c r="M43" s="520"/>
      <c r="N43" s="520"/>
      <c r="O43" s="520"/>
      <c r="P43" s="520"/>
      <c r="Q43" s="520"/>
      <c r="R43" s="520"/>
      <c r="S43" s="521"/>
      <c r="T43" s="95"/>
      <c r="U43" s="64"/>
      <c r="V43" s="64"/>
      <c r="W43" s="64"/>
      <c r="X43" s="64"/>
      <c r="Y43" s="64"/>
      <c r="Z43" s="64"/>
      <c r="AA43" s="64"/>
      <c r="AB43" s="64"/>
      <c r="AC43" s="64"/>
      <c r="AD43" s="64"/>
      <c r="AE43" s="64"/>
      <c r="AF43" s="64"/>
      <c r="AG43" s="64"/>
      <c r="AH43" s="64"/>
      <c r="AI43" s="64"/>
    </row>
    <row r="44" spans="1:35" ht="12.75" customHeight="1">
      <c r="A44" s="519"/>
      <c r="B44" s="520"/>
      <c r="C44" s="520"/>
      <c r="D44" s="520"/>
      <c r="E44" s="520"/>
      <c r="F44" s="520"/>
      <c r="G44" s="520"/>
      <c r="H44" s="520"/>
      <c r="I44" s="520"/>
      <c r="J44" s="520"/>
      <c r="K44" s="520"/>
      <c r="L44" s="520"/>
      <c r="M44" s="520"/>
      <c r="N44" s="520"/>
      <c r="O44" s="520"/>
      <c r="P44" s="520"/>
      <c r="Q44" s="520"/>
      <c r="R44" s="520"/>
      <c r="S44" s="521"/>
      <c r="T44" s="95"/>
      <c r="U44" s="64"/>
      <c r="V44" s="64"/>
      <c r="W44" s="64"/>
      <c r="X44" s="64"/>
      <c r="Y44" s="64"/>
      <c r="Z44" s="64"/>
      <c r="AA44" s="64"/>
      <c r="AB44" s="64"/>
      <c r="AC44" s="64"/>
      <c r="AD44" s="64"/>
      <c r="AE44" s="64"/>
      <c r="AF44" s="64"/>
      <c r="AG44" s="64"/>
      <c r="AH44" s="64"/>
      <c r="AI44" s="64"/>
    </row>
    <row r="45" spans="1:35" ht="12.75" customHeight="1">
      <c r="A45" s="519"/>
      <c r="B45" s="520"/>
      <c r="C45" s="520"/>
      <c r="D45" s="520"/>
      <c r="E45" s="520"/>
      <c r="F45" s="520"/>
      <c r="G45" s="520"/>
      <c r="H45" s="520"/>
      <c r="I45" s="520"/>
      <c r="J45" s="520"/>
      <c r="K45" s="520"/>
      <c r="L45" s="520"/>
      <c r="M45" s="520"/>
      <c r="N45" s="520"/>
      <c r="O45" s="520"/>
      <c r="P45" s="520"/>
      <c r="Q45" s="520"/>
      <c r="R45" s="520"/>
      <c r="S45" s="521"/>
      <c r="T45" s="95"/>
      <c r="U45" s="64"/>
      <c r="V45" s="64"/>
      <c r="W45" s="64"/>
      <c r="X45" s="64"/>
      <c r="Y45" s="64"/>
      <c r="Z45" s="64"/>
      <c r="AA45" s="64"/>
      <c r="AB45" s="64"/>
      <c r="AC45" s="64"/>
      <c r="AD45" s="64"/>
      <c r="AE45" s="64"/>
      <c r="AF45" s="64"/>
      <c r="AG45" s="64"/>
      <c r="AH45" s="64"/>
      <c r="AI45" s="64"/>
    </row>
    <row r="46" spans="1:35" ht="12.75" customHeight="1">
      <c r="A46" s="519"/>
      <c r="B46" s="520"/>
      <c r="C46" s="520"/>
      <c r="D46" s="520"/>
      <c r="E46" s="520"/>
      <c r="F46" s="520"/>
      <c r="G46" s="520"/>
      <c r="H46" s="520"/>
      <c r="I46" s="520"/>
      <c r="J46" s="520"/>
      <c r="K46" s="520"/>
      <c r="L46" s="520"/>
      <c r="M46" s="520"/>
      <c r="N46" s="520"/>
      <c r="O46" s="520"/>
      <c r="P46" s="520"/>
      <c r="Q46" s="520"/>
      <c r="R46" s="520"/>
      <c r="S46" s="521"/>
      <c r="T46" s="95"/>
      <c r="U46" s="64"/>
      <c r="V46" s="64"/>
      <c r="W46" s="64"/>
      <c r="X46" s="64"/>
      <c r="Y46" s="64"/>
      <c r="Z46" s="64"/>
      <c r="AA46" s="64"/>
      <c r="AB46" s="64"/>
      <c r="AC46" s="64"/>
      <c r="AD46" s="64"/>
      <c r="AE46" s="64"/>
      <c r="AF46" s="64"/>
      <c r="AG46" s="64"/>
      <c r="AH46" s="64"/>
      <c r="AI46" s="64"/>
    </row>
    <row r="47" spans="1:35" ht="12.75" customHeight="1">
      <c r="A47" s="519"/>
      <c r="B47" s="520"/>
      <c r="C47" s="520"/>
      <c r="D47" s="520"/>
      <c r="E47" s="520"/>
      <c r="F47" s="520"/>
      <c r="G47" s="520"/>
      <c r="H47" s="520"/>
      <c r="I47" s="520"/>
      <c r="J47" s="520"/>
      <c r="K47" s="520"/>
      <c r="L47" s="520"/>
      <c r="M47" s="520"/>
      <c r="N47" s="520"/>
      <c r="O47" s="520"/>
      <c r="P47" s="520"/>
      <c r="Q47" s="520"/>
      <c r="R47" s="520"/>
      <c r="S47" s="521"/>
      <c r="T47" s="95"/>
      <c r="U47" s="64"/>
      <c r="V47" s="64"/>
      <c r="W47" s="64"/>
      <c r="X47" s="64"/>
      <c r="Y47" s="64"/>
      <c r="Z47" s="64"/>
      <c r="AA47" s="64"/>
      <c r="AB47" s="64"/>
      <c r="AC47" s="64"/>
      <c r="AD47" s="64"/>
      <c r="AE47" s="64"/>
      <c r="AF47" s="64"/>
      <c r="AG47" s="64"/>
      <c r="AH47" s="64"/>
      <c r="AI47" s="64"/>
    </row>
    <row r="48" spans="1:35" ht="12.75" customHeight="1">
      <c r="A48" s="519"/>
      <c r="B48" s="520"/>
      <c r="C48" s="520"/>
      <c r="D48" s="520"/>
      <c r="E48" s="520"/>
      <c r="F48" s="520"/>
      <c r="G48" s="520"/>
      <c r="H48" s="520"/>
      <c r="I48" s="520"/>
      <c r="J48" s="520"/>
      <c r="K48" s="520"/>
      <c r="L48" s="520"/>
      <c r="M48" s="520"/>
      <c r="N48" s="520"/>
      <c r="O48" s="520"/>
      <c r="P48" s="520"/>
      <c r="Q48" s="520"/>
      <c r="R48" s="520"/>
      <c r="S48" s="521"/>
      <c r="T48" s="95"/>
      <c r="U48" s="64"/>
      <c r="V48" s="64"/>
      <c r="W48" s="64"/>
      <c r="X48" s="64"/>
      <c r="Y48" s="64"/>
      <c r="Z48" s="64"/>
      <c r="AA48" s="64"/>
      <c r="AB48" s="64"/>
      <c r="AC48" s="64"/>
      <c r="AD48" s="64"/>
      <c r="AE48" s="64"/>
      <c r="AF48" s="64"/>
      <c r="AG48" s="64"/>
      <c r="AH48" s="64"/>
      <c r="AI48" s="64"/>
    </row>
    <row r="49" spans="1:35" ht="12.75" customHeight="1">
      <c r="A49" s="519"/>
      <c r="B49" s="520"/>
      <c r="C49" s="520"/>
      <c r="D49" s="520"/>
      <c r="E49" s="520"/>
      <c r="F49" s="520"/>
      <c r="G49" s="520"/>
      <c r="H49" s="520"/>
      <c r="I49" s="520"/>
      <c r="J49" s="520"/>
      <c r="K49" s="520"/>
      <c r="L49" s="520"/>
      <c r="M49" s="520"/>
      <c r="N49" s="520"/>
      <c r="O49" s="520"/>
      <c r="P49" s="520"/>
      <c r="Q49" s="520"/>
      <c r="R49" s="520"/>
      <c r="S49" s="521"/>
      <c r="T49" s="95"/>
      <c r="U49" s="64"/>
      <c r="V49" s="64"/>
      <c r="W49" s="64"/>
      <c r="X49" s="64"/>
      <c r="Y49" s="64"/>
      <c r="Z49" s="64"/>
      <c r="AA49" s="64"/>
      <c r="AB49" s="64"/>
      <c r="AC49" s="64"/>
      <c r="AD49" s="64"/>
      <c r="AE49" s="64"/>
      <c r="AF49" s="64"/>
      <c r="AG49" s="64"/>
      <c r="AH49" s="64"/>
      <c r="AI49" s="64"/>
    </row>
    <row r="50" spans="1:35" ht="12.75" customHeight="1">
      <c r="A50" s="519"/>
      <c r="B50" s="520"/>
      <c r="C50" s="520"/>
      <c r="D50" s="520"/>
      <c r="E50" s="520"/>
      <c r="F50" s="520"/>
      <c r="G50" s="520"/>
      <c r="H50" s="520"/>
      <c r="I50" s="520"/>
      <c r="J50" s="520"/>
      <c r="K50" s="520"/>
      <c r="L50" s="520"/>
      <c r="M50" s="520"/>
      <c r="N50" s="520"/>
      <c r="O50" s="520"/>
      <c r="P50" s="520"/>
      <c r="Q50" s="520"/>
      <c r="R50" s="520"/>
      <c r="S50" s="521"/>
      <c r="T50" s="95"/>
      <c r="U50" s="64"/>
      <c r="V50" s="64"/>
      <c r="W50" s="64"/>
      <c r="X50" s="64"/>
      <c r="Y50" s="64"/>
      <c r="Z50" s="64"/>
      <c r="AA50" s="64"/>
      <c r="AB50" s="64"/>
      <c r="AC50" s="64"/>
      <c r="AD50" s="64"/>
      <c r="AE50" s="64"/>
      <c r="AF50" s="64"/>
      <c r="AG50" s="64"/>
      <c r="AH50" s="64"/>
      <c r="AI50" s="64"/>
    </row>
    <row r="51" spans="1:35" ht="12.75" customHeight="1">
      <c r="A51" s="519"/>
      <c r="B51" s="520"/>
      <c r="C51" s="520"/>
      <c r="D51" s="520"/>
      <c r="E51" s="520"/>
      <c r="F51" s="520"/>
      <c r="G51" s="520"/>
      <c r="H51" s="520"/>
      <c r="I51" s="520"/>
      <c r="J51" s="520"/>
      <c r="K51" s="520"/>
      <c r="L51" s="520"/>
      <c r="M51" s="520"/>
      <c r="N51" s="520"/>
      <c r="O51" s="520"/>
      <c r="P51" s="520"/>
      <c r="Q51" s="520"/>
      <c r="R51" s="520"/>
      <c r="S51" s="521"/>
      <c r="T51" s="95"/>
      <c r="U51" s="64"/>
      <c r="V51" s="64"/>
      <c r="W51" s="64"/>
      <c r="X51" s="64"/>
      <c r="Y51" s="64"/>
      <c r="Z51" s="64"/>
      <c r="AA51" s="64"/>
      <c r="AB51" s="64"/>
      <c r="AC51" s="64"/>
      <c r="AD51" s="64"/>
      <c r="AE51" s="64"/>
      <c r="AF51" s="64"/>
      <c r="AG51" s="64"/>
      <c r="AH51" s="64"/>
      <c r="AI51" s="64"/>
    </row>
    <row r="52" spans="1:35" ht="12.75" customHeight="1">
      <c r="A52" s="519"/>
      <c r="B52" s="520"/>
      <c r="C52" s="520"/>
      <c r="D52" s="520"/>
      <c r="E52" s="520"/>
      <c r="F52" s="520"/>
      <c r="G52" s="520"/>
      <c r="H52" s="520"/>
      <c r="I52" s="520"/>
      <c r="J52" s="520"/>
      <c r="K52" s="520"/>
      <c r="L52" s="520"/>
      <c r="M52" s="520"/>
      <c r="N52" s="520"/>
      <c r="O52" s="520"/>
      <c r="P52" s="520"/>
      <c r="Q52" s="520"/>
      <c r="R52" s="520"/>
      <c r="S52" s="521"/>
      <c r="T52" s="95"/>
      <c r="U52" s="64"/>
      <c r="V52" s="64"/>
      <c r="W52" s="64"/>
      <c r="X52" s="64"/>
      <c r="Y52" s="64"/>
      <c r="Z52" s="64"/>
      <c r="AA52" s="64"/>
      <c r="AB52" s="64"/>
      <c r="AC52" s="64"/>
      <c r="AD52" s="64"/>
      <c r="AE52" s="64"/>
      <c r="AF52" s="64"/>
      <c r="AG52" s="64"/>
      <c r="AH52" s="64"/>
      <c r="AI52" s="64"/>
    </row>
    <row r="53" spans="1:35" ht="12.75" customHeight="1">
      <c r="A53" s="519"/>
      <c r="B53" s="520"/>
      <c r="C53" s="520"/>
      <c r="D53" s="520"/>
      <c r="E53" s="520"/>
      <c r="F53" s="520"/>
      <c r="G53" s="520"/>
      <c r="H53" s="520"/>
      <c r="I53" s="520"/>
      <c r="J53" s="520"/>
      <c r="K53" s="520"/>
      <c r="L53" s="520"/>
      <c r="M53" s="520"/>
      <c r="N53" s="520"/>
      <c r="O53" s="520"/>
      <c r="P53" s="520"/>
      <c r="Q53" s="520"/>
      <c r="R53" s="520"/>
      <c r="S53" s="521"/>
      <c r="T53" s="95"/>
      <c r="U53" s="64"/>
      <c r="V53" s="64"/>
      <c r="W53" s="64"/>
      <c r="X53" s="64"/>
      <c r="Y53" s="64"/>
      <c r="Z53" s="64"/>
      <c r="AA53" s="64"/>
      <c r="AB53" s="64"/>
      <c r="AC53" s="64"/>
      <c r="AD53" s="64"/>
      <c r="AE53" s="64"/>
      <c r="AF53" s="64"/>
      <c r="AG53" s="64"/>
      <c r="AH53" s="64"/>
      <c r="AI53" s="64"/>
    </row>
    <row r="54" spans="1:35" ht="12.75" customHeight="1">
      <c r="A54" s="519"/>
      <c r="B54" s="520"/>
      <c r="C54" s="520"/>
      <c r="D54" s="520"/>
      <c r="E54" s="520"/>
      <c r="F54" s="520"/>
      <c r="G54" s="520"/>
      <c r="H54" s="520"/>
      <c r="I54" s="520"/>
      <c r="J54" s="520"/>
      <c r="K54" s="520"/>
      <c r="L54" s="520"/>
      <c r="M54" s="520"/>
      <c r="N54" s="520"/>
      <c r="O54" s="520"/>
      <c r="P54" s="520"/>
      <c r="Q54" s="520"/>
      <c r="R54" s="520"/>
      <c r="S54" s="521"/>
      <c r="T54" s="95"/>
      <c r="U54" s="64"/>
      <c r="V54" s="64"/>
      <c r="W54" s="64"/>
      <c r="X54" s="64"/>
      <c r="Y54" s="64"/>
      <c r="Z54" s="64"/>
      <c r="AA54" s="64"/>
      <c r="AB54" s="64"/>
      <c r="AC54" s="64"/>
      <c r="AD54" s="64"/>
      <c r="AE54" s="64"/>
      <c r="AF54" s="64"/>
      <c r="AG54" s="64"/>
      <c r="AH54" s="64"/>
      <c r="AI54" s="64"/>
    </row>
    <row r="55" spans="1:35" ht="12.75" customHeight="1">
      <c r="A55" s="519"/>
      <c r="B55" s="520"/>
      <c r="C55" s="520"/>
      <c r="D55" s="520"/>
      <c r="E55" s="520"/>
      <c r="F55" s="520"/>
      <c r="G55" s="520"/>
      <c r="H55" s="520"/>
      <c r="I55" s="520"/>
      <c r="J55" s="520"/>
      <c r="K55" s="520"/>
      <c r="L55" s="520"/>
      <c r="M55" s="520"/>
      <c r="N55" s="520"/>
      <c r="O55" s="520"/>
      <c r="P55" s="520"/>
      <c r="Q55" s="520"/>
      <c r="R55" s="520"/>
      <c r="S55" s="521"/>
      <c r="T55" s="95"/>
      <c r="U55" s="64"/>
      <c r="V55" s="64"/>
      <c r="W55" s="64"/>
      <c r="X55" s="64"/>
      <c r="Y55" s="64"/>
      <c r="Z55" s="64"/>
      <c r="AA55" s="64"/>
      <c r="AB55" s="64"/>
      <c r="AC55" s="64"/>
      <c r="AD55" s="64"/>
      <c r="AE55" s="64"/>
      <c r="AF55" s="64"/>
      <c r="AG55" s="64"/>
      <c r="AH55" s="64"/>
      <c r="AI55" s="64"/>
    </row>
    <row r="56" spans="1:35" ht="12.75" customHeight="1">
      <c r="A56" s="519"/>
      <c r="B56" s="520"/>
      <c r="C56" s="520"/>
      <c r="D56" s="520"/>
      <c r="E56" s="520"/>
      <c r="F56" s="520"/>
      <c r="G56" s="520"/>
      <c r="H56" s="520"/>
      <c r="I56" s="520"/>
      <c r="J56" s="520"/>
      <c r="K56" s="520"/>
      <c r="L56" s="520"/>
      <c r="M56" s="520"/>
      <c r="N56" s="520"/>
      <c r="O56" s="520"/>
      <c r="P56" s="520"/>
      <c r="Q56" s="520"/>
      <c r="R56" s="520"/>
      <c r="S56" s="521"/>
      <c r="T56" s="95"/>
      <c r="U56" s="64"/>
      <c r="V56" s="64"/>
      <c r="W56" s="64"/>
      <c r="X56" s="64"/>
      <c r="Y56" s="64"/>
      <c r="Z56" s="64"/>
      <c r="AA56" s="64"/>
      <c r="AB56" s="64"/>
      <c r="AC56" s="64"/>
      <c r="AD56" s="64"/>
      <c r="AE56" s="64"/>
      <c r="AF56" s="64"/>
      <c r="AG56" s="64"/>
      <c r="AH56" s="64"/>
      <c r="AI56" s="64"/>
    </row>
    <row r="57" spans="1:35" ht="12.75" customHeight="1">
      <c r="A57" s="519"/>
      <c r="B57" s="520"/>
      <c r="C57" s="520"/>
      <c r="D57" s="520"/>
      <c r="E57" s="520"/>
      <c r="F57" s="520"/>
      <c r="G57" s="520"/>
      <c r="H57" s="520"/>
      <c r="I57" s="520"/>
      <c r="J57" s="520"/>
      <c r="K57" s="520"/>
      <c r="L57" s="520"/>
      <c r="M57" s="520"/>
      <c r="N57" s="520"/>
      <c r="O57" s="520"/>
      <c r="P57" s="520"/>
      <c r="Q57" s="520"/>
      <c r="R57" s="520"/>
      <c r="S57" s="521"/>
      <c r="T57" s="95"/>
      <c r="U57" s="64"/>
      <c r="V57" s="64"/>
      <c r="W57" s="64"/>
      <c r="X57" s="64"/>
      <c r="Y57" s="64"/>
      <c r="Z57" s="64"/>
      <c r="AA57" s="64"/>
      <c r="AB57" s="64"/>
      <c r="AC57" s="64"/>
      <c r="AD57" s="64"/>
      <c r="AE57" s="64"/>
      <c r="AF57" s="64"/>
      <c r="AG57" s="64"/>
      <c r="AH57" s="64"/>
      <c r="AI57" s="64"/>
    </row>
    <row r="58" spans="1:35" ht="12.75" customHeight="1">
      <c r="A58" s="519"/>
      <c r="B58" s="520"/>
      <c r="C58" s="520"/>
      <c r="D58" s="520"/>
      <c r="E58" s="520"/>
      <c r="F58" s="520"/>
      <c r="G58" s="520"/>
      <c r="H58" s="520"/>
      <c r="I58" s="520"/>
      <c r="J58" s="520"/>
      <c r="K58" s="520"/>
      <c r="L58" s="520"/>
      <c r="M58" s="520"/>
      <c r="N58" s="520"/>
      <c r="O58" s="520"/>
      <c r="P58" s="520"/>
      <c r="Q58" s="520"/>
      <c r="R58" s="520"/>
      <c r="S58" s="521"/>
      <c r="T58" s="95"/>
      <c r="U58" s="64"/>
      <c r="V58" s="64"/>
      <c r="W58" s="64"/>
      <c r="X58" s="64"/>
      <c r="Y58" s="64"/>
      <c r="Z58" s="64"/>
      <c r="AA58" s="64"/>
      <c r="AB58" s="64"/>
      <c r="AC58" s="64"/>
      <c r="AD58" s="64"/>
      <c r="AE58" s="64"/>
      <c r="AF58" s="64"/>
      <c r="AG58" s="64"/>
      <c r="AH58" s="64"/>
      <c r="AI58" s="64"/>
    </row>
    <row r="59" spans="1:35" ht="12.75" customHeight="1">
      <c r="A59" s="519"/>
      <c r="B59" s="520"/>
      <c r="C59" s="520"/>
      <c r="D59" s="520"/>
      <c r="E59" s="520"/>
      <c r="F59" s="520"/>
      <c r="G59" s="520"/>
      <c r="H59" s="520"/>
      <c r="I59" s="520"/>
      <c r="J59" s="520"/>
      <c r="K59" s="520"/>
      <c r="L59" s="520"/>
      <c r="M59" s="520"/>
      <c r="N59" s="520"/>
      <c r="O59" s="520"/>
      <c r="P59" s="520"/>
      <c r="Q59" s="520"/>
      <c r="R59" s="520"/>
      <c r="S59" s="521"/>
      <c r="T59" s="95"/>
      <c r="U59" s="64"/>
      <c r="V59" s="64"/>
      <c r="W59" s="64"/>
      <c r="X59" s="64"/>
      <c r="Y59" s="64"/>
      <c r="Z59" s="64"/>
      <c r="AA59" s="64"/>
      <c r="AB59" s="64"/>
      <c r="AC59" s="64"/>
      <c r="AD59" s="64"/>
      <c r="AE59" s="64"/>
      <c r="AF59" s="64"/>
      <c r="AG59" s="64"/>
      <c r="AH59" s="64"/>
      <c r="AI59" s="64"/>
    </row>
    <row r="60" spans="1:35" ht="12.75" customHeight="1">
      <c r="A60" s="519"/>
      <c r="B60" s="520"/>
      <c r="C60" s="520"/>
      <c r="D60" s="520"/>
      <c r="E60" s="520"/>
      <c r="F60" s="520"/>
      <c r="G60" s="520"/>
      <c r="H60" s="520"/>
      <c r="I60" s="520"/>
      <c r="J60" s="520"/>
      <c r="K60" s="520"/>
      <c r="L60" s="520"/>
      <c r="M60" s="520"/>
      <c r="N60" s="520"/>
      <c r="O60" s="520"/>
      <c r="P60" s="520"/>
      <c r="Q60" s="520"/>
      <c r="R60" s="520"/>
      <c r="S60" s="521"/>
      <c r="T60" s="95"/>
      <c r="U60" s="64"/>
      <c r="V60" s="64"/>
      <c r="W60" s="64"/>
      <c r="X60" s="64"/>
      <c r="Y60" s="64"/>
      <c r="Z60" s="64"/>
      <c r="AA60" s="64"/>
      <c r="AB60" s="64"/>
      <c r="AC60" s="64"/>
      <c r="AD60" s="64"/>
      <c r="AE60" s="64"/>
      <c r="AF60" s="64"/>
      <c r="AG60" s="64"/>
      <c r="AH60" s="64"/>
      <c r="AI60" s="64"/>
    </row>
    <row r="61" spans="1:35" ht="12.75" customHeight="1">
      <c r="A61" s="519"/>
      <c r="B61" s="520"/>
      <c r="C61" s="520"/>
      <c r="D61" s="520"/>
      <c r="E61" s="520"/>
      <c r="F61" s="520"/>
      <c r="G61" s="520"/>
      <c r="H61" s="520"/>
      <c r="I61" s="520"/>
      <c r="J61" s="520"/>
      <c r="K61" s="520"/>
      <c r="L61" s="520"/>
      <c r="M61" s="520"/>
      <c r="N61" s="520"/>
      <c r="O61" s="520"/>
      <c r="P61" s="520"/>
      <c r="Q61" s="520"/>
      <c r="R61" s="520"/>
      <c r="S61" s="521"/>
      <c r="T61" s="95"/>
      <c r="U61" s="64"/>
      <c r="V61" s="64"/>
      <c r="W61" s="64"/>
      <c r="X61" s="64"/>
      <c r="Y61" s="64"/>
      <c r="Z61" s="64"/>
      <c r="AA61" s="64"/>
      <c r="AB61" s="64"/>
      <c r="AC61" s="64"/>
      <c r="AD61" s="64"/>
      <c r="AE61" s="64"/>
      <c r="AF61" s="64"/>
      <c r="AG61" s="64"/>
      <c r="AH61" s="64"/>
      <c r="AI61" s="64"/>
    </row>
    <row r="62" spans="1:35" ht="12.75" customHeight="1">
      <c r="A62" s="519"/>
      <c r="B62" s="520"/>
      <c r="C62" s="520"/>
      <c r="D62" s="520"/>
      <c r="E62" s="520"/>
      <c r="F62" s="520"/>
      <c r="G62" s="520"/>
      <c r="H62" s="520"/>
      <c r="I62" s="520"/>
      <c r="J62" s="520"/>
      <c r="K62" s="520"/>
      <c r="L62" s="520"/>
      <c r="M62" s="520"/>
      <c r="N62" s="520"/>
      <c r="O62" s="520"/>
      <c r="P62" s="520"/>
      <c r="Q62" s="520"/>
      <c r="R62" s="520"/>
      <c r="S62" s="521"/>
      <c r="T62" s="95"/>
      <c r="U62" s="64"/>
      <c r="V62" s="64"/>
      <c r="W62" s="64"/>
      <c r="X62" s="64"/>
      <c r="Y62" s="64"/>
      <c r="Z62" s="64"/>
      <c r="AA62" s="64"/>
      <c r="AB62" s="64"/>
      <c r="AC62" s="64"/>
      <c r="AD62" s="64"/>
      <c r="AE62" s="64"/>
      <c r="AF62" s="64"/>
      <c r="AG62" s="64"/>
      <c r="AH62" s="64"/>
      <c r="AI62" s="64"/>
    </row>
    <row r="63" spans="1:35" ht="12.75" customHeight="1">
      <c r="A63" s="522"/>
      <c r="B63" s="523"/>
      <c r="C63" s="523"/>
      <c r="D63" s="523"/>
      <c r="E63" s="523"/>
      <c r="F63" s="523"/>
      <c r="G63" s="523"/>
      <c r="H63" s="523"/>
      <c r="I63" s="523"/>
      <c r="J63" s="523"/>
      <c r="K63" s="523"/>
      <c r="L63" s="523"/>
      <c r="M63" s="523"/>
      <c r="N63" s="523"/>
      <c r="O63" s="523"/>
      <c r="P63" s="523"/>
      <c r="Q63" s="523"/>
      <c r="R63" s="523"/>
      <c r="S63" s="524"/>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9999"/>
  </sheetPr>
  <dimension ref="A1:AI1000"/>
  <sheetViews>
    <sheetView showGridLines="0" workbookViewId="0"/>
  </sheetViews>
  <sheetFormatPr baseColWidth="10" defaultColWidth="12.5703125" defaultRowHeight="15" customHeight="1"/>
  <cols>
    <col min="1" max="3" width="5" customWidth="1"/>
    <col min="4" max="4" width="6.5703125" customWidth="1"/>
    <col min="5" max="35" width="5" customWidth="1"/>
  </cols>
  <sheetData>
    <row r="1" spans="1:35" ht="12.75" customHeight="1">
      <c r="A1" s="617" t="s">
        <v>856</v>
      </c>
      <c r="B1" s="598"/>
      <c r="C1" s="598"/>
      <c r="D1" s="598"/>
      <c r="E1" s="598"/>
      <c r="F1" s="598"/>
      <c r="G1" s="598"/>
      <c r="H1" s="598"/>
      <c r="I1" s="598"/>
      <c r="J1" s="598"/>
      <c r="K1" s="598"/>
      <c r="L1" s="598"/>
      <c r="M1" s="598"/>
      <c r="N1" s="598"/>
      <c r="O1" s="598"/>
      <c r="P1" s="598"/>
      <c r="Q1" s="598"/>
      <c r="R1" s="598"/>
      <c r="S1" s="598"/>
      <c r="T1" s="142"/>
      <c r="U1" s="143"/>
      <c r="V1" s="143"/>
      <c r="W1" s="143"/>
      <c r="X1" s="143"/>
      <c r="Y1" s="143"/>
      <c r="Z1" s="143"/>
      <c r="AA1" s="143"/>
      <c r="AB1" s="143"/>
      <c r="AC1" s="143"/>
      <c r="AD1" s="143"/>
      <c r="AE1" s="143"/>
      <c r="AF1" s="143"/>
      <c r="AG1" s="143"/>
      <c r="AH1" s="143"/>
      <c r="AI1" s="143"/>
    </row>
    <row r="2" spans="1:35" ht="12.75" customHeight="1">
      <c r="T2" s="95"/>
      <c r="U2" s="64"/>
      <c r="V2" s="64"/>
      <c r="W2" s="64"/>
      <c r="X2" s="64"/>
      <c r="Y2" s="64"/>
      <c r="Z2" s="64"/>
      <c r="AA2" s="64"/>
      <c r="AB2" s="64"/>
      <c r="AC2" s="64"/>
      <c r="AD2" s="64"/>
      <c r="AE2" s="64"/>
      <c r="AF2" s="64"/>
      <c r="AG2" s="64"/>
      <c r="AH2" s="64"/>
      <c r="AI2" s="64"/>
    </row>
    <row r="3" spans="1:35" ht="12.75" customHeight="1">
      <c r="A3" s="67" t="s">
        <v>45</v>
      </c>
      <c r="D3" s="635" t="str">
        <f>IF('Cover Sheet'!D14:J14&gt;0,'Cover Sheet'!D14:J14,"")</f>
        <v>Ecole Centrale Lyon</v>
      </c>
      <c r="E3" s="601"/>
      <c r="F3" s="601"/>
      <c r="G3" s="601"/>
      <c r="H3" s="601"/>
      <c r="I3" s="601"/>
      <c r="J3" s="601"/>
      <c r="K3" s="67" t="s">
        <v>47</v>
      </c>
      <c r="O3" s="635" t="str">
        <f>IF('Cover Sheet'!O14:S14&gt;0,'Cover Sheet'!O14:S14,"")</f>
        <v>81 FSCH/FSS/FSF</v>
      </c>
      <c r="P3" s="601"/>
      <c r="Q3" s="601"/>
      <c r="R3" s="601"/>
      <c r="S3" s="601"/>
      <c r="T3" s="95"/>
      <c r="U3" s="64"/>
      <c r="V3" s="64"/>
      <c r="W3" s="64"/>
      <c r="X3" s="64"/>
      <c r="Y3" s="64"/>
      <c r="Z3" s="64"/>
      <c r="AA3" s="64"/>
      <c r="AB3" s="64"/>
      <c r="AC3" s="64"/>
      <c r="AD3" s="64"/>
      <c r="AE3" s="64"/>
      <c r="AF3" s="64"/>
      <c r="AG3" s="64"/>
      <c r="AH3" s="64"/>
      <c r="AI3" s="64"/>
    </row>
    <row r="4" spans="1:35" ht="12.75" customHeight="1">
      <c r="T4" s="95"/>
      <c r="U4" s="64"/>
      <c r="V4" s="64"/>
      <c r="W4" s="64"/>
      <c r="X4" s="64"/>
      <c r="Y4" s="64"/>
      <c r="Z4" s="64"/>
      <c r="AA4" s="64"/>
      <c r="AB4" s="64"/>
      <c r="AC4" s="64"/>
      <c r="AD4" s="64"/>
      <c r="AE4" s="64"/>
      <c r="AF4" s="64"/>
      <c r="AG4" s="64"/>
      <c r="AH4" s="64"/>
      <c r="AI4" s="64"/>
    </row>
    <row r="5" spans="1:35" ht="12.75" customHeight="1">
      <c r="A5" s="757" t="s">
        <v>863</v>
      </c>
      <c r="B5" s="595"/>
      <c r="C5" s="595"/>
      <c r="D5" s="595"/>
      <c r="E5" s="595"/>
      <c r="F5" s="595"/>
      <c r="G5" s="595"/>
      <c r="H5" s="595"/>
      <c r="I5" s="595"/>
      <c r="J5" s="595"/>
      <c r="K5" s="595"/>
      <c r="L5" s="595"/>
      <c r="M5" s="595"/>
      <c r="N5" s="595"/>
      <c r="O5" s="595"/>
      <c r="P5" s="595"/>
      <c r="Q5" s="595"/>
      <c r="R5" s="595"/>
      <c r="S5" s="758"/>
      <c r="T5" s="95"/>
      <c r="U5" s="64"/>
      <c r="V5" s="64"/>
      <c r="W5" s="64"/>
      <c r="X5" s="64"/>
      <c r="Y5" s="64"/>
      <c r="Z5" s="64"/>
      <c r="AA5" s="64"/>
      <c r="AB5" s="64"/>
      <c r="AC5" s="64"/>
      <c r="AD5" s="64"/>
      <c r="AE5" s="64"/>
      <c r="AF5" s="64"/>
      <c r="AG5" s="64"/>
      <c r="AH5" s="64"/>
      <c r="AI5" s="64"/>
    </row>
    <row r="6" spans="1:35" ht="12.75" customHeight="1">
      <c r="A6" s="759"/>
      <c r="B6" s="760"/>
      <c r="C6" s="760"/>
      <c r="D6" s="760"/>
      <c r="E6" s="760"/>
      <c r="F6" s="760"/>
      <c r="G6" s="760"/>
      <c r="H6" s="760"/>
      <c r="I6" s="760"/>
      <c r="J6" s="760"/>
      <c r="K6" s="760"/>
      <c r="L6" s="760"/>
      <c r="M6" s="760"/>
      <c r="N6" s="760"/>
      <c r="O6" s="760"/>
      <c r="P6" s="760"/>
      <c r="Q6" s="760"/>
      <c r="R6" s="760"/>
      <c r="S6" s="761"/>
      <c r="T6" s="95"/>
      <c r="U6" s="64"/>
      <c r="V6" s="64"/>
      <c r="W6" s="64"/>
      <c r="X6" s="64"/>
      <c r="Y6" s="64"/>
      <c r="Z6" s="64"/>
      <c r="AA6" s="64"/>
      <c r="AB6" s="64"/>
      <c r="AC6" s="64"/>
      <c r="AD6" s="64"/>
      <c r="AE6" s="64"/>
      <c r="AF6" s="64"/>
      <c r="AG6" s="64"/>
      <c r="AH6" s="64"/>
      <c r="AI6" s="64"/>
    </row>
    <row r="7" spans="1:35" ht="12.75" customHeight="1">
      <c r="A7" s="515" t="s">
        <v>252</v>
      </c>
      <c r="B7" s="516"/>
      <c r="C7" s="516"/>
      <c r="D7" s="516"/>
      <c r="E7" s="517"/>
      <c r="F7" s="517"/>
      <c r="G7" s="517"/>
      <c r="H7" s="517"/>
      <c r="I7" s="517"/>
      <c r="J7" s="517"/>
      <c r="K7" s="517"/>
      <c r="L7" s="517"/>
      <c r="M7" s="517"/>
      <c r="N7" s="517"/>
      <c r="O7" s="517"/>
      <c r="P7" s="517"/>
      <c r="Q7" s="517"/>
      <c r="R7" s="517"/>
      <c r="S7" s="518"/>
      <c r="T7" s="95"/>
      <c r="U7" s="64"/>
      <c r="V7" s="64"/>
      <c r="W7" s="64"/>
      <c r="X7" s="64"/>
      <c r="Y7" s="64"/>
      <c r="Z7" s="64"/>
      <c r="AA7" s="64"/>
      <c r="AB7" s="64"/>
      <c r="AC7" s="64"/>
      <c r="AD7" s="64"/>
      <c r="AE7" s="64"/>
      <c r="AF7" s="64"/>
      <c r="AG7" s="64"/>
      <c r="AH7" s="64"/>
      <c r="AI7" s="64"/>
    </row>
    <row r="8" spans="1:35" ht="12.75" customHeight="1">
      <c r="A8" s="762"/>
      <c r="B8" s="582"/>
      <c r="C8" s="582"/>
      <c r="D8" s="582"/>
      <c r="E8" s="582"/>
      <c r="F8" s="583"/>
      <c r="G8" s="520"/>
      <c r="H8" s="520"/>
      <c r="I8" s="520"/>
      <c r="J8" s="520"/>
      <c r="K8" s="520"/>
      <c r="L8" s="520"/>
      <c r="M8" s="520"/>
      <c r="N8" s="520"/>
      <c r="O8" s="520"/>
      <c r="P8" s="520"/>
      <c r="Q8" s="520"/>
      <c r="R8" s="520"/>
      <c r="S8" s="521"/>
      <c r="T8" s="95"/>
      <c r="U8" s="64"/>
      <c r="V8" s="64"/>
      <c r="W8" s="64"/>
      <c r="X8" s="64"/>
      <c r="Y8" s="64"/>
      <c r="Z8" s="64"/>
      <c r="AA8" s="64"/>
      <c r="AB8" s="64"/>
      <c r="AC8" s="64"/>
      <c r="AD8" s="64"/>
      <c r="AE8" s="64"/>
      <c r="AF8" s="64"/>
      <c r="AG8" s="64"/>
      <c r="AH8" s="64"/>
      <c r="AI8" s="64"/>
    </row>
    <row r="9" spans="1:35" ht="12.75" customHeight="1">
      <c r="A9" s="519"/>
      <c r="B9" s="520"/>
      <c r="C9" s="520"/>
      <c r="D9" s="520"/>
      <c r="E9" s="520"/>
      <c r="F9" s="520"/>
      <c r="G9" s="520"/>
      <c r="H9" s="520"/>
      <c r="I9" s="520"/>
      <c r="J9" s="520"/>
      <c r="K9" s="520"/>
      <c r="L9" s="520"/>
      <c r="M9" s="520"/>
      <c r="N9" s="520"/>
      <c r="O9" s="520"/>
      <c r="P9" s="520"/>
      <c r="Q9" s="520"/>
      <c r="R9" s="520"/>
      <c r="S9" s="521"/>
      <c r="T9" s="95"/>
      <c r="U9" s="64"/>
      <c r="V9" s="64"/>
      <c r="W9" s="64"/>
      <c r="X9" s="64"/>
      <c r="Y9" s="64"/>
      <c r="Z9" s="64"/>
      <c r="AA9" s="64"/>
      <c r="AB9" s="64"/>
      <c r="AC9" s="64"/>
      <c r="AD9" s="64"/>
      <c r="AE9" s="64"/>
      <c r="AF9" s="64"/>
      <c r="AG9" s="64"/>
      <c r="AH9" s="64"/>
      <c r="AI9" s="64"/>
    </row>
    <row r="10" spans="1:35" ht="12.75" customHeight="1">
      <c r="A10" s="519"/>
      <c r="B10" s="520"/>
      <c r="C10" s="520"/>
      <c r="D10" s="520"/>
      <c r="E10" s="520"/>
      <c r="F10" s="520"/>
      <c r="G10" s="520"/>
      <c r="H10" s="520"/>
      <c r="I10" s="520"/>
      <c r="J10" s="520"/>
      <c r="K10" s="520"/>
      <c r="L10" s="520"/>
      <c r="M10" s="520"/>
      <c r="N10" s="756"/>
      <c r="O10" s="582"/>
      <c r="P10" s="582"/>
      <c r="Q10" s="583"/>
      <c r="R10" s="520"/>
      <c r="S10" s="521"/>
      <c r="T10" s="95"/>
      <c r="U10" s="64"/>
      <c r="V10" s="64"/>
      <c r="W10" s="64"/>
      <c r="X10" s="64"/>
      <c r="Y10" s="64"/>
      <c r="Z10" s="64"/>
      <c r="AA10" s="64"/>
      <c r="AB10" s="64"/>
      <c r="AC10" s="64"/>
      <c r="AD10" s="64"/>
      <c r="AE10" s="64"/>
      <c r="AF10" s="64"/>
      <c r="AG10" s="64"/>
      <c r="AH10" s="64"/>
      <c r="AI10" s="64"/>
    </row>
    <row r="11" spans="1:35" ht="12.75" customHeight="1">
      <c r="A11" s="519"/>
      <c r="B11" s="520"/>
      <c r="C11" s="520"/>
      <c r="D11" s="520"/>
      <c r="E11" s="520"/>
      <c r="F11" s="520"/>
      <c r="G11" s="520"/>
      <c r="H11" s="520"/>
      <c r="I11" s="520"/>
      <c r="J11" s="520"/>
      <c r="K11" s="520"/>
      <c r="L11" s="520"/>
      <c r="M11" s="520"/>
      <c r="N11" s="756"/>
      <c r="O11" s="582"/>
      <c r="P11" s="582"/>
      <c r="Q11" s="583"/>
      <c r="R11" s="520"/>
      <c r="S11" s="521"/>
      <c r="T11" s="95"/>
      <c r="U11" s="64"/>
      <c r="V11" s="64"/>
      <c r="W11" s="64"/>
      <c r="X11" s="64"/>
      <c r="Y11" s="64"/>
      <c r="Z11" s="64"/>
      <c r="AA11" s="64"/>
      <c r="AB11" s="64"/>
      <c r="AC11" s="64"/>
      <c r="AD11" s="64"/>
      <c r="AE11" s="64"/>
      <c r="AF11" s="64"/>
      <c r="AG11" s="64"/>
      <c r="AH11" s="64"/>
      <c r="AI11" s="64"/>
    </row>
    <row r="12" spans="1:35" ht="12.75" customHeight="1">
      <c r="A12" s="519"/>
      <c r="B12" s="520"/>
      <c r="C12" s="520"/>
      <c r="D12" s="520"/>
      <c r="E12" s="520"/>
      <c r="F12" s="520"/>
      <c r="G12" s="520"/>
      <c r="H12" s="520"/>
      <c r="I12" s="520"/>
      <c r="J12" s="520"/>
      <c r="K12" s="520"/>
      <c r="L12" s="520"/>
      <c r="M12" s="520"/>
      <c r="N12" s="520"/>
      <c r="O12" s="520"/>
      <c r="P12" s="520"/>
      <c r="Q12" s="520"/>
      <c r="R12" s="520"/>
      <c r="S12" s="521"/>
      <c r="T12" s="95"/>
      <c r="U12" s="64"/>
      <c r="V12" s="64"/>
      <c r="W12" s="64"/>
      <c r="X12" s="64"/>
      <c r="Y12" s="64"/>
      <c r="Z12" s="64"/>
      <c r="AA12" s="64"/>
      <c r="AB12" s="64"/>
      <c r="AC12" s="64"/>
      <c r="AD12" s="64"/>
      <c r="AE12" s="64"/>
      <c r="AF12" s="64"/>
      <c r="AG12" s="64"/>
      <c r="AH12" s="64"/>
      <c r="AI12" s="64"/>
    </row>
    <row r="13" spans="1:35" ht="12.75" customHeight="1">
      <c r="A13" s="519"/>
      <c r="B13" s="520"/>
      <c r="C13" s="520"/>
      <c r="D13" s="520"/>
      <c r="E13" s="520"/>
      <c r="F13" s="520"/>
      <c r="G13" s="520"/>
      <c r="H13" s="520"/>
      <c r="I13" s="520"/>
      <c r="J13" s="520"/>
      <c r="K13" s="520"/>
      <c r="L13" s="520"/>
      <c r="M13" s="520"/>
      <c r="N13" s="520"/>
      <c r="O13" s="520"/>
      <c r="P13" s="520"/>
      <c r="Q13" s="520"/>
      <c r="R13" s="520"/>
      <c r="S13" s="521"/>
      <c r="T13" s="95"/>
      <c r="U13" s="64"/>
      <c r="V13" s="64"/>
      <c r="W13" s="64"/>
      <c r="X13" s="64"/>
      <c r="Y13" s="64"/>
      <c r="Z13" s="64"/>
      <c r="AA13" s="64"/>
      <c r="AB13" s="64"/>
      <c r="AC13" s="64"/>
      <c r="AD13" s="64"/>
      <c r="AE13" s="64"/>
      <c r="AF13" s="64"/>
      <c r="AG13" s="64"/>
      <c r="AH13" s="64"/>
      <c r="AI13" s="64"/>
    </row>
    <row r="14" spans="1:35" ht="12.75" customHeight="1">
      <c r="A14" s="519"/>
      <c r="B14" s="520"/>
      <c r="C14" s="520"/>
      <c r="D14" s="520"/>
      <c r="E14" s="520"/>
      <c r="F14" s="520"/>
      <c r="G14" s="520"/>
      <c r="H14" s="520"/>
      <c r="I14" s="520"/>
      <c r="J14" s="520"/>
      <c r="K14" s="520"/>
      <c r="L14" s="520"/>
      <c r="M14" s="520"/>
      <c r="N14" s="520"/>
      <c r="O14" s="520"/>
      <c r="P14" s="520"/>
      <c r="Q14" s="520"/>
      <c r="R14" s="520"/>
      <c r="S14" s="521"/>
      <c r="T14" s="95"/>
      <c r="U14" s="64"/>
      <c r="V14" s="64"/>
      <c r="W14" s="64"/>
      <c r="X14" s="64"/>
      <c r="Y14" s="64"/>
      <c r="Z14" s="64"/>
      <c r="AA14" s="64"/>
      <c r="AB14" s="64"/>
      <c r="AC14" s="64"/>
      <c r="AD14" s="64"/>
      <c r="AE14" s="64"/>
      <c r="AF14" s="64"/>
      <c r="AG14" s="64"/>
      <c r="AH14" s="64"/>
      <c r="AI14" s="64"/>
    </row>
    <row r="15" spans="1:35" ht="12.75" customHeight="1">
      <c r="A15" s="519"/>
      <c r="B15" s="520"/>
      <c r="C15" s="520"/>
      <c r="D15" s="520"/>
      <c r="E15" s="520"/>
      <c r="F15" s="520"/>
      <c r="G15" s="520"/>
      <c r="H15" s="520"/>
      <c r="I15" s="520"/>
      <c r="J15" s="520"/>
      <c r="K15" s="520"/>
      <c r="L15" s="520"/>
      <c r="M15" s="520"/>
      <c r="N15" s="520"/>
      <c r="O15" s="520"/>
      <c r="P15" s="520"/>
      <c r="Q15" s="520"/>
      <c r="R15" s="520"/>
      <c r="S15" s="521"/>
      <c r="T15" s="95"/>
      <c r="U15" s="64"/>
      <c r="V15" s="64"/>
      <c r="W15" s="64"/>
      <c r="X15" s="64"/>
      <c r="Y15" s="64"/>
      <c r="Z15" s="64"/>
      <c r="AA15" s="64"/>
      <c r="AB15" s="64"/>
      <c r="AC15" s="64"/>
      <c r="AD15" s="64"/>
      <c r="AE15" s="64"/>
      <c r="AF15" s="64"/>
      <c r="AG15" s="64"/>
      <c r="AH15" s="64"/>
      <c r="AI15" s="64"/>
    </row>
    <row r="16" spans="1:35" ht="12.75" customHeight="1">
      <c r="A16" s="519"/>
      <c r="B16" s="520"/>
      <c r="C16" s="520"/>
      <c r="D16" s="520"/>
      <c r="E16" s="520"/>
      <c r="F16" s="520"/>
      <c r="G16" s="520"/>
      <c r="H16" s="520"/>
      <c r="I16" s="520"/>
      <c r="J16" s="520"/>
      <c r="K16" s="520"/>
      <c r="L16" s="520"/>
      <c r="M16" s="520"/>
      <c r="N16" s="520"/>
      <c r="O16" s="520"/>
      <c r="P16" s="520"/>
      <c r="Q16" s="520"/>
      <c r="R16" s="520"/>
      <c r="S16" s="521"/>
      <c r="T16" s="95"/>
      <c r="U16" s="64"/>
      <c r="V16" s="64"/>
      <c r="W16" s="64"/>
      <c r="X16" s="64"/>
      <c r="Y16" s="64"/>
      <c r="Z16" s="64"/>
      <c r="AA16" s="64"/>
      <c r="AB16" s="64"/>
      <c r="AC16" s="64"/>
      <c r="AD16" s="64"/>
      <c r="AE16" s="64"/>
      <c r="AF16" s="64"/>
      <c r="AG16" s="64"/>
      <c r="AH16" s="64"/>
      <c r="AI16" s="64"/>
    </row>
    <row r="17" spans="1:35" ht="12.75" customHeight="1">
      <c r="A17" s="519"/>
      <c r="B17" s="520"/>
      <c r="C17" s="520"/>
      <c r="D17" s="520"/>
      <c r="E17" s="520"/>
      <c r="F17" s="520"/>
      <c r="G17" s="520"/>
      <c r="H17" s="520"/>
      <c r="I17" s="520"/>
      <c r="J17" s="520"/>
      <c r="K17" s="520"/>
      <c r="L17" s="520"/>
      <c r="M17" s="520"/>
      <c r="N17" s="520"/>
      <c r="O17" s="520"/>
      <c r="P17" s="520"/>
      <c r="Q17" s="520"/>
      <c r="R17" s="520"/>
      <c r="S17" s="521"/>
      <c r="T17" s="95"/>
      <c r="U17" s="64"/>
      <c r="V17" s="64"/>
      <c r="W17" s="64"/>
      <c r="X17" s="64"/>
      <c r="Y17" s="64"/>
      <c r="Z17" s="64"/>
      <c r="AA17" s="64"/>
      <c r="AB17" s="64"/>
      <c r="AC17" s="64"/>
      <c r="AD17" s="64"/>
      <c r="AE17" s="64"/>
      <c r="AF17" s="64"/>
      <c r="AG17" s="64"/>
      <c r="AH17" s="64"/>
      <c r="AI17" s="64"/>
    </row>
    <row r="18" spans="1:35" ht="12.75" customHeight="1">
      <c r="A18" s="519"/>
      <c r="B18" s="520"/>
      <c r="C18" s="520"/>
      <c r="D18" s="520"/>
      <c r="E18" s="520"/>
      <c r="F18" s="520"/>
      <c r="G18" s="520"/>
      <c r="H18" s="520"/>
      <c r="I18" s="520"/>
      <c r="J18" s="520"/>
      <c r="K18" s="520"/>
      <c r="L18" s="520"/>
      <c r="M18" s="520"/>
      <c r="N18" s="520"/>
      <c r="O18" s="520"/>
      <c r="P18" s="520"/>
      <c r="Q18" s="520"/>
      <c r="R18" s="520"/>
      <c r="S18" s="521"/>
      <c r="T18" s="95"/>
      <c r="U18" s="64"/>
      <c r="V18" s="64"/>
      <c r="W18" s="64"/>
      <c r="X18" s="64"/>
      <c r="Y18" s="64"/>
      <c r="Z18" s="64"/>
      <c r="AA18" s="64"/>
      <c r="AB18" s="64"/>
      <c r="AC18" s="64"/>
      <c r="AD18" s="64"/>
      <c r="AE18" s="64"/>
      <c r="AF18" s="64"/>
      <c r="AG18" s="64"/>
      <c r="AH18" s="64"/>
      <c r="AI18" s="64"/>
    </row>
    <row r="19" spans="1:35" ht="12.75" customHeight="1">
      <c r="A19" s="519"/>
      <c r="B19" s="520"/>
      <c r="C19" s="520"/>
      <c r="D19" s="520"/>
      <c r="E19" s="520"/>
      <c r="F19" s="520"/>
      <c r="G19" s="520"/>
      <c r="H19" s="520"/>
      <c r="I19" s="520"/>
      <c r="J19" s="520"/>
      <c r="K19" s="520"/>
      <c r="L19" s="520"/>
      <c r="M19" s="520"/>
      <c r="N19" s="520"/>
      <c r="O19" s="520"/>
      <c r="P19" s="520"/>
      <c r="Q19" s="520"/>
      <c r="R19" s="520"/>
      <c r="S19" s="521"/>
      <c r="T19" s="95"/>
      <c r="U19" s="64"/>
      <c r="V19" s="64"/>
      <c r="W19" s="64"/>
      <c r="X19" s="64"/>
      <c r="Y19" s="64"/>
      <c r="Z19" s="64"/>
      <c r="AA19" s="64"/>
      <c r="AB19" s="64"/>
      <c r="AC19" s="64"/>
      <c r="AD19" s="64"/>
      <c r="AE19" s="64"/>
      <c r="AF19" s="64"/>
      <c r="AG19" s="64"/>
      <c r="AH19" s="64"/>
      <c r="AI19" s="64"/>
    </row>
    <row r="20" spans="1:35" ht="12.75" customHeight="1">
      <c r="A20" s="519"/>
      <c r="B20" s="520"/>
      <c r="C20" s="520"/>
      <c r="D20" s="520"/>
      <c r="E20" s="520"/>
      <c r="F20" s="520"/>
      <c r="G20" s="520"/>
      <c r="H20" s="520"/>
      <c r="I20" s="520"/>
      <c r="J20" s="520"/>
      <c r="K20" s="520"/>
      <c r="L20" s="520"/>
      <c r="M20" s="520"/>
      <c r="N20" s="520"/>
      <c r="O20" s="520"/>
      <c r="P20" s="520"/>
      <c r="Q20" s="520"/>
      <c r="R20" s="520"/>
      <c r="S20" s="521"/>
      <c r="T20" s="95"/>
      <c r="U20" s="64"/>
      <c r="V20" s="64"/>
      <c r="W20" s="64"/>
      <c r="X20" s="64"/>
      <c r="Y20" s="64"/>
      <c r="Z20" s="64"/>
      <c r="AA20" s="64"/>
      <c r="AB20" s="64"/>
      <c r="AC20" s="64"/>
      <c r="AD20" s="64"/>
      <c r="AE20" s="64"/>
      <c r="AF20" s="64"/>
      <c r="AG20" s="64"/>
      <c r="AH20" s="64"/>
      <c r="AI20" s="64"/>
    </row>
    <row r="21" spans="1:35" ht="12.75" customHeight="1">
      <c r="A21" s="519"/>
      <c r="B21" s="520"/>
      <c r="C21" s="520"/>
      <c r="D21" s="520"/>
      <c r="E21" s="520"/>
      <c r="F21" s="520"/>
      <c r="G21" s="520"/>
      <c r="H21" s="520"/>
      <c r="I21" s="520"/>
      <c r="J21" s="520"/>
      <c r="K21" s="520"/>
      <c r="L21" s="520"/>
      <c r="M21" s="520"/>
      <c r="N21" s="520"/>
      <c r="O21" s="520"/>
      <c r="P21" s="520"/>
      <c r="Q21" s="520"/>
      <c r="R21" s="520"/>
      <c r="S21" s="521"/>
      <c r="T21" s="95"/>
      <c r="U21" s="64"/>
      <c r="V21" s="64"/>
      <c r="W21" s="64"/>
      <c r="X21" s="64"/>
      <c r="Y21" s="64"/>
      <c r="Z21" s="64"/>
      <c r="AA21" s="64"/>
      <c r="AB21" s="64"/>
      <c r="AC21" s="64"/>
      <c r="AD21" s="64"/>
      <c r="AE21" s="64"/>
      <c r="AF21" s="64"/>
      <c r="AG21" s="64"/>
      <c r="AH21" s="64"/>
      <c r="AI21" s="64"/>
    </row>
    <row r="22" spans="1:35" ht="12.75" customHeight="1">
      <c r="A22" s="519"/>
      <c r="B22" s="520"/>
      <c r="C22" s="520"/>
      <c r="D22" s="520"/>
      <c r="E22" s="520"/>
      <c r="F22" s="520"/>
      <c r="G22" s="520"/>
      <c r="H22" s="520"/>
      <c r="I22" s="520"/>
      <c r="J22" s="520"/>
      <c r="K22" s="520"/>
      <c r="L22" s="520"/>
      <c r="M22" s="520"/>
      <c r="N22" s="520"/>
      <c r="O22" s="520"/>
      <c r="P22" s="520"/>
      <c r="Q22" s="520"/>
      <c r="R22" s="520"/>
      <c r="S22" s="521"/>
      <c r="T22" s="95"/>
      <c r="U22" s="64"/>
      <c r="V22" s="64"/>
      <c r="W22" s="64"/>
      <c r="X22" s="64"/>
      <c r="Y22" s="64"/>
      <c r="Z22" s="64"/>
      <c r="AA22" s="64"/>
      <c r="AB22" s="64"/>
      <c r="AC22" s="64"/>
      <c r="AD22" s="64"/>
      <c r="AE22" s="64"/>
      <c r="AF22" s="64"/>
      <c r="AG22" s="64"/>
      <c r="AH22" s="64"/>
      <c r="AI22" s="64"/>
    </row>
    <row r="23" spans="1:35" ht="12.75" customHeight="1">
      <c r="A23" s="519"/>
      <c r="B23" s="520"/>
      <c r="C23" s="520"/>
      <c r="D23" s="520"/>
      <c r="E23" s="520"/>
      <c r="F23" s="520"/>
      <c r="G23" s="520"/>
      <c r="H23" s="520"/>
      <c r="I23" s="520"/>
      <c r="J23" s="520"/>
      <c r="K23" s="520"/>
      <c r="L23" s="520"/>
      <c r="M23" s="520"/>
      <c r="N23" s="520"/>
      <c r="O23" s="520"/>
      <c r="P23" s="520"/>
      <c r="Q23" s="520"/>
      <c r="R23" s="520"/>
      <c r="S23" s="521"/>
      <c r="T23" s="95"/>
      <c r="U23" s="64"/>
      <c r="V23" s="64"/>
      <c r="W23" s="64"/>
      <c r="X23" s="64"/>
      <c r="Y23" s="64"/>
      <c r="Z23" s="64"/>
      <c r="AA23" s="64"/>
      <c r="AB23" s="64"/>
      <c r="AC23" s="64"/>
      <c r="AD23" s="64"/>
      <c r="AE23" s="64"/>
      <c r="AF23" s="64"/>
      <c r="AG23" s="64"/>
      <c r="AH23" s="64"/>
      <c r="AI23" s="64"/>
    </row>
    <row r="24" spans="1:35" ht="12.75" customHeight="1">
      <c r="A24" s="519"/>
      <c r="B24" s="520"/>
      <c r="C24" s="520"/>
      <c r="D24" s="520"/>
      <c r="E24" s="520"/>
      <c r="F24" s="520"/>
      <c r="G24" s="520"/>
      <c r="H24" s="520"/>
      <c r="I24" s="520"/>
      <c r="J24" s="520"/>
      <c r="K24" s="520"/>
      <c r="L24" s="520"/>
      <c r="M24" s="520"/>
      <c r="N24" s="520"/>
      <c r="O24" s="520"/>
      <c r="P24" s="520"/>
      <c r="Q24" s="520"/>
      <c r="R24" s="520"/>
      <c r="S24" s="521"/>
      <c r="T24" s="95"/>
      <c r="U24" s="64"/>
      <c r="V24" s="64"/>
      <c r="W24" s="64"/>
      <c r="X24" s="64"/>
      <c r="Y24" s="64"/>
      <c r="Z24" s="64"/>
      <c r="AA24" s="64"/>
      <c r="AB24" s="64"/>
      <c r="AC24" s="64"/>
      <c r="AD24" s="64"/>
      <c r="AE24" s="64"/>
      <c r="AF24" s="64"/>
      <c r="AG24" s="64"/>
      <c r="AH24" s="64"/>
      <c r="AI24" s="64"/>
    </row>
    <row r="25" spans="1:35" ht="12.75" customHeight="1">
      <c r="A25" s="519"/>
      <c r="B25" s="520"/>
      <c r="C25" s="520"/>
      <c r="D25" s="520"/>
      <c r="E25" s="520"/>
      <c r="F25" s="520"/>
      <c r="G25" s="520"/>
      <c r="H25" s="520"/>
      <c r="I25" s="520"/>
      <c r="J25" s="520"/>
      <c r="K25" s="520"/>
      <c r="L25" s="520"/>
      <c r="M25" s="520"/>
      <c r="N25" s="520"/>
      <c r="O25" s="520"/>
      <c r="P25" s="520"/>
      <c r="Q25" s="520"/>
      <c r="R25" s="520"/>
      <c r="S25" s="521"/>
      <c r="T25" s="95"/>
      <c r="U25" s="64"/>
      <c r="V25" s="64"/>
      <c r="W25" s="64"/>
      <c r="X25" s="64"/>
      <c r="Y25" s="64"/>
      <c r="Z25" s="64"/>
      <c r="AA25" s="64"/>
      <c r="AB25" s="64"/>
      <c r="AC25" s="64"/>
      <c r="AD25" s="64"/>
      <c r="AE25" s="64"/>
      <c r="AF25" s="64"/>
      <c r="AG25" s="64"/>
      <c r="AH25" s="64"/>
      <c r="AI25" s="64"/>
    </row>
    <row r="26" spans="1:35" ht="12.75" customHeight="1">
      <c r="A26" s="519"/>
      <c r="B26" s="520"/>
      <c r="C26" s="520"/>
      <c r="D26" s="520"/>
      <c r="E26" s="520"/>
      <c r="F26" s="520"/>
      <c r="G26" s="520"/>
      <c r="H26" s="520"/>
      <c r="I26" s="520"/>
      <c r="J26" s="520"/>
      <c r="K26" s="520"/>
      <c r="L26" s="520"/>
      <c r="M26" s="520"/>
      <c r="N26" s="520"/>
      <c r="O26" s="520"/>
      <c r="P26" s="520"/>
      <c r="Q26" s="520"/>
      <c r="R26" s="520"/>
      <c r="S26" s="521"/>
      <c r="T26" s="95"/>
      <c r="U26" s="64"/>
      <c r="V26" s="64"/>
      <c r="W26" s="64"/>
      <c r="X26" s="64"/>
      <c r="Y26" s="64"/>
      <c r="Z26" s="64"/>
      <c r="AA26" s="64"/>
      <c r="AB26" s="64"/>
      <c r="AC26" s="64"/>
      <c r="AD26" s="64"/>
      <c r="AE26" s="64"/>
      <c r="AF26" s="64"/>
      <c r="AG26" s="64"/>
      <c r="AH26" s="64"/>
      <c r="AI26" s="64"/>
    </row>
    <row r="27" spans="1:35" ht="12.75" customHeight="1">
      <c r="A27" s="519"/>
      <c r="B27" s="520"/>
      <c r="C27" s="520"/>
      <c r="D27" s="520"/>
      <c r="E27" s="520"/>
      <c r="F27" s="520"/>
      <c r="G27" s="520"/>
      <c r="H27" s="520"/>
      <c r="I27" s="520"/>
      <c r="J27" s="520"/>
      <c r="K27" s="520"/>
      <c r="L27" s="520"/>
      <c r="M27" s="520"/>
      <c r="N27" s="520"/>
      <c r="O27" s="520"/>
      <c r="P27" s="520"/>
      <c r="Q27" s="520"/>
      <c r="R27" s="520"/>
      <c r="S27" s="521"/>
      <c r="T27" s="95"/>
      <c r="U27" s="64"/>
      <c r="V27" s="64"/>
      <c r="W27" s="64"/>
      <c r="X27" s="64"/>
      <c r="Y27" s="64"/>
      <c r="Z27" s="64"/>
      <c r="AA27" s="64"/>
      <c r="AB27" s="64"/>
      <c r="AC27" s="64"/>
      <c r="AD27" s="64"/>
      <c r="AE27" s="64"/>
      <c r="AF27" s="64"/>
      <c r="AG27" s="64"/>
      <c r="AH27" s="64"/>
      <c r="AI27" s="64"/>
    </row>
    <row r="28" spans="1:35" ht="12.75" customHeight="1">
      <c r="A28" s="519"/>
      <c r="B28" s="520"/>
      <c r="C28" s="520"/>
      <c r="D28" s="520"/>
      <c r="E28" s="520"/>
      <c r="F28" s="520"/>
      <c r="G28" s="520"/>
      <c r="H28" s="520"/>
      <c r="I28" s="520"/>
      <c r="J28" s="520"/>
      <c r="K28" s="520"/>
      <c r="L28" s="520"/>
      <c r="M28" s="520"/>
      <c r="N28" s="520"/>
      <c r="O28" s="520"/>
      <c r="P28" s="520"/>
      <c r="Q28" s="520"/>
      <c r="R28" s="520"/>
      <c r="S28" s="521"/>
      <c r="T28" s="95"/>
      <c r="U28" s="64"/>
      <c r="V28" s="64"/>
      <c r="W28" s="64"/>
      <c r="X28" s="64"/>
      <c r="Y28" s="64"/>
      <c r="Z28" s="64"/>
      <c r="AA28" s="64"/>
      <c r="AB28" s="64"/>
      <c r="AC28" s="64"/>
      <c r="AD28" s="64"/>
      <c r="AE28" s="64"/>
      <c r="AF28" s="64"/>
      <c r="AG28" s="64"/>
      <c r="AH28" s="64"/>
      <c r="AI28" s="64"/>
    </row>
    <row r="29" spans="1:35" ht="12.75" customHeight="1">
      <c r="A29" s="519"/>
      <c r="B29" s="520"/>
      <c r="C29" s="520"/>
      <c r="D29" s="520"/>
      <c r="E29" s="520"/>
      <c r="F29" s="520"/>
      <c r="G29" s="520"/>
      <c r="H29" s="520"/>
      <c r="I29" s="520"/>
      <c r="J29" s="520"/>
      <c r="K29" s="520"/>
      <c r="L29" s="520"/>
      <c r="M29" s="520"/>
      <c r="N29" s="520"/>
      <c r="O29" s="520"/>
      <c r="P29" s="520"/>
      <c r="Q29" s="520"/>
      <c r="R29" s="520"/>
      <c r="S29" s="521"/>
      <c r="T29" s="95"/>
      <c r="U29" s="64"/>
      <c r="V29" s="64"/>
      <c r="W29" s="64"/>
      <c r="X29" s="64"/>
      <c r="Y29" s="64"/>
      <c r="Z29" s="64"/>
      <c r="AA29" s="64"/>
      <c r="AB29" s="64"/>
      <c r="AC29" s="64"/>
      <c r="AD29" s="64"/>
      <c r="AE29" s="64"/>
      <c r="AF29" s="64"/>
      <c r="AG29" s="64"/>
      <c r="AH29" s="64"/>
      <c r="AI29" s="64"/>
    </row>
    <row r="30" spans="1:35" ht="12.75" customHeight="1">
      <c r="A30" s="519"/>
      <c r="B30" s="520"/>
      <c r="C30" s="520"/>
      <c r="D30" s="520"/>
      <c r="E30" s="520"/>
      <c r="F30" s="520"/>
      <c r="G30" s="520"/>
      <c r="H30" s="520"/>
      <c r="I30" s="520"/>
      <c r="J30" s="520"/>
      <c r="K30" s="520"/>
      <c r="L30" s="520"/>
      <c r="M30" s="520"/>
      <c r="N30" s="520"/>
      <c r="O30" s="520"/>
      <c r="P30" s="520"/>
      <c r="Q30" s="520"/>
      <c r="R30" s="520"/>
      <c r="S30" s="521"/>
      <c r="T30" s="95"/>
      <c r="U30" s="64"/>
      <c r="V30" s="64"/>
      <c r="W30" s="64"/>
      <c r="X30" s="64"/>
      <c r="Y30" s="64"/>
      <c r="Z30" s="64"/>
      <c r="AA30" s="64"/>
      <c r="AB30" s="64"/>
      <c r="AC30" s="64"/>
      <c r="AD30" s="64"/>
      <c r="AE30" s="64"/>
      <c r="AF30" s="64"/>
      <c r="AG30" s="64"/>
      <c r="AH30" s="64"/>
      <c r="AI30" s="64"/>
    </row>
    <row r="31" spans="1:35" ht="12.75" customHeight="1">
      <c r="A31" s="519"/>
      <c r="B31" s="520"/>
      <c r="C31" s="520"/>
      <c r="D31" s="520"/>
      <c r="E31" s="520"/>
      <c r="F31" s="520"/>
      <c r="G31" s="520"/>
      <c r="H31" s="520"/>
      <c r="I31" s="520"/>
      <c r="J31" s="520"/>
      <c r="K31" s="520"/>
      <c r="L31" s="520"/>
      <c r="M31" s="520"/>
      <c r="N31" s="520"/>
      <c r="O31" s="520"/>
      <c r="P31" s="520"/>
      <c r="Q31" s="520"/>
      <c r="R31" s="520"/>
      <c r="S31" s="521"/>
      <c r="T31" s="95"/>
      <c r="U31" s="64"/>
      <c r="V31" s="64"/>
      <c r="W31" s="64"/>
      <c r="X31" s="64"/>
      <c r="Y31" s="64"/>
      <c r="Z31" s="64"/>
      <c r="AA31" s="64"/>
      <c r="AB31" s="64"/>
      <c r="AC31" s="64"/>
      <c r="AD31" s="64"/>
      <c r="AE31" s="64"/>
      <c r="AF31" s="64"/>
      <c r="AG31" s="64"/>
      <c r="AH31" s="64"/>
      <c r="AI31" s="64"/>
    </row>
    <row r="32" spans="1:35" ht="12.75" customHeight="1">
      <c r="A32" s="519"/>
      <c r="B32" s="520"/>
      <c r="C32" s="520"/>
      <c r="D32" s="520"/>
      <c r="E32" s="520"/>
      <c r="F32" s="520"/>
      <c r="G32" s="520"/>
      <c r="H32" s="520"/>
      <c r="I32" s="520"/>
      <c r="J32" s="520"/>
      <c r="K32" s="520"/>
      <c r="L32" s="520"/>
      <c r="M32" s="520"/>
      <c r="N32" s="520"/>
      <c r="O32" s="520"/>
      <c r="P32" s="520"/>
      <c r="Q32" s="520"/>
      <c r="R32" s="520"/>
      <c r="S32" s="521"/>
      <c r="T32" s="95"/>
      <c r="U32" s="64"/>
      <c r="V32" s="64"/>
      <c r="W32" s="64"/>
      <c r="X32" s="64"/>
      <c r="Y32" s="64"/>
      <c r="Z32" s="64"/>
      <c r="AA32" s="64"/>
      <c r="AB32" s="64"/>
      <c r="AC32" s="64"/>
      <c r="AD32" s="64"/>
      <c r="AE32" s="64"/>
      <c r="AF32" s="64"/>
      <c r="AG32" s="64"/>
      <c r="AH32" s="64"/>
      <c r="AI32" s="64"/>
    </row>
    <row r="33" spans="1:35" ht="12.75" customHeight="1">
      <c r="A33" s="519"/>
      <c r="B33" s="520"/>
      <c r="C33" s="520"/>
      <c r="D33" s="520"/>
      <c r="E33" s="520"/>
      <c r="F33" s="520"/>
      <c r="G33" s="520"/>
      <c r="H33" s="520"/>
      <c r="I33" s="520"/>
      <c r="J33" s="520"/>
      <c r="K33" s="520"/>
      <c r="L33" s="520"/>
      <c r="M33" s="520"/>
      <c r="N33" s="520"/>
      <c r="O33" s="520"/>
      <c r="P33" s="520"/>
      <c r="Q33" s="520"/>
      <c r="R33" s="520"/>
      <c r="S33" s="521"/>
      <c r="T33" s="95"/>
      <c r="U33" s="64"/>
      <c r="V33" s="64"/>
      <c r="W33" s="64"/>
      <c r="X33" s="64"/>
      <c r="Y33" s="64"/>
      <c r="Z33" s="64"/>
      <c r="AA33" s="64"/>
      <c r="AB33" s="64"/>
      <c r="AC33" s="64"/>
      <c r="AD33" s="64"/>
      <c r="AE33" s="64"/>
      <c r="AF33" s="64"/>
      <c r="AG33" s="64"/>
      <c r="AH33" s="64"/>
      <c r="AI33" s="64"/>
    </row>
    <row r="34" spans="1:35" ht="12.75" customHeight="1">
      <c r="A34" s="519"/>
      <c r="B34" s="520"/>
      <c r="C34" s="520"/>
      <c r="D34" s="520"/>
      <c r="E34" s="520"/>
      <c r="F34" s="520"/>
      <c r="G34" s="520"/>
      <c r="H34" s="520"/>
      <c r="I34" s="520"/>
      <c r="J34" s="520"/>
      <c r="K34" s="520"/>
      <c r="L34" s="520"/>
      <c r="M34" s="520"/>
      <c r="N34" s="520"/>
      <c r="O34" s="520"/>
      <c r="P34" s="520"/>
      <c r="Q34" s="520"/>
      <c r="R34" s="520"/>
      <c r="S34" s="521"/>
      <c r="T34" s="95"/>
      <c r="U34" s="64"/>
      <c r="V34" s="64"/>
      <c r="W34" s="64"/>
      <c r="X34" s="64"/>
      <c r="Y34" s="64"/>
      <c r="Z34" s="64"/>
      <c r="AA34" s="64"/>
      <c r="AB34" s="64"/>
      <c r="AC34" s="64"/>
      <c r="AD34" s="64"/>
      <c r="AE34" s="64"/>
      <c r="AF34" s="64"/>
      <c r="AG34" s="64"/>
      <c r="AH34" s="64"/>
      <c r="AI34" s="64"/>
    </row>
    <row r="35" spans="1:35" ht="12.75" customHeight="1">
      <c r="A35" s="519"/>
      <c r="B35" s="520"/>
      <c r="C35" s="520"/>
      <c r="D35" s="520"/>
      <c r="E35" s="520"/>
      <c r="F35" s="520"/>
      <c r="G35" s="520"/>
      <c r="H35" s="520"/>
      <c r="I35" s="520"/>
      <c r="J35" s="520"/>
      <c r="K35" s="520"/>
      <c r="L35" s="520"/>
      <c r="M35" s="520"/>
      <c r="N35" s="520"/>
      <c r="O35" s="520"/>
      <c r="P35" s="520"/>
      <c r="Q35" s="520"/>
      <c r="R35" s="520"/>
      <c r="S35" s="521"/>
      <c r="T35" s="95"/>
      <c r="U35" s="64"/>
      <c r="V35" s="64"/>
      <c r="W35" s="64"/>
      <c r="X35" s="64"/>
      <c r="Y35" s="64"/>
      <c r="Z35" s="64"/>
      <c r="AA35" s="64"/>
      <c r="AB35" s="64"/>
      <c r="AC35" s="64"/>
      <c r="AD35" s="64"/>
      <c r="AE35" s="64"/>
      <c r="AF35" s="64"/>
      <c r="AG35" s="64"/>
      <c r="AH35" s="64"/>
      <c r="AI35" s="64"/>
    </row>
    <row r="36" spans="1:35" ht="12.75" customHeight="1">
      <c r="A36" s="519"/>
      <c r="B36" s="520"/>
      <c r="C36" s="520"/>
      <c r="D36" s="520"/>
      <c r="E36" s="520"/>
      <c r="F36" s="520"/>
      <c r="G36" s="520"/>
      <c r="H36" s="520"/>
      <c r="I36" s="520"/>
      <c r="J36" s="520"/>
      <c r="K36" s="520"/>
      <c r="L36" s="520"/>
      <c r="M36" s="520"/>
      <c r="N36" s="520"/>
      <c r="O36" s="520"/>
      <c r="P36" s="520"/>
      <c r="Q36" s="520"/>
      <c r="R36" s="520"/>
      <c r="S36" s="521"/>
      <c r="T36" s="95"/>
      <c r="U36" s="64"/>
      <c r="V36" s="64"/>
      <c r="W36" s="64"/>
      <c r="X36" s="64"/>
      <c r="Y36" s="64"/>
      <c r="Z36" s="64"/>
      <c r="AA36" s="64"/>
      <c r="AB36" s="64"/>
      <c r="AC36" s="64"/>
      <c r="AD36" s="64"/>
      <c r="AE36" s="64"/>
      <c r="AF36" s="64"/>
      <c r="AG36" s="64"/>
      <c r="AH36" s="64"/>
      <c r="AI36" s="64"/>
    </row>
    <row r="37" spans="1:35" ht="12.75" customHeight="1">
      <c r="A37" s="519"/>
      <c r="B37" s="520"/>
      <c r="C37" s="520"/>
      <c r="D37" s="520"/>
      <c r="E37" s="520"/>
      <c r="F37" s="520"/>
      <c r="G37" s="520"/>
      <c r="H37" s="520"/>
      <c r="I37" s="520"/>
      <c r="J37" s="520"/>
      <c r="K37" s="520"/>
      <c r="L37" s="520"/>
      <c r="M37" s="520"/>
      <c r="N37" s="520"/>
      <c r="O37" s="520"/>
      <c r="P37" s="520"/>
      <c r="Q37" s="520"/>
      <c r="R37" s="520"/>
      <c r="S37" s="521"/>
      <c r="T37" s="95"/>
      <c r="U37" s="64"/>
      <c r="V37" s="64"/>
      <c r="W37" s="64"/>
      <c r="X37" s="64"/>
      <c r="Y37" s="64"/>
      <c r="Z37" s="64"/>
      <c r="AA37" s="64"/>
      <c r="AB37" s="64"/>
      <c r="AC37" s="64"/>
      <c r="AD37" s="64"/>
      <c r="AE37" s="64"/>
      <c r="AF37" s="64"/>
      <c r="AG37" s="64"/>
      <c r="AH37" s="64"/>
      <c r="AI37" s="64"/>
    </row>
    <row r="38" spans="1:35" ht="12.75" customHeight="1">
      <c r="A38" s="519"/>
      <c r="B38" s="520"/>
      <c r="C38" s="520"/>
      <c r="D38" s="520"/>
      <c r="E38" s="520"/>
      <c r="F38" s="520"/>
      <c r="G38" s="520"/>
      <c r="H38" s="520"/>
      <c r="I38" s="520"/>
      <c r="J38" s="520"/>
      <c r="K38" s="520"/>
      <c r="L38" s="520"/>
      <c r="M38" s="520"/>
      <c r="N38" s="520"/>
      <c r="O38" s="520"/>
      <c r="P38" s="520"/>
      <c r="Q38" s="520"/>
      <c r="R38" s="520"/>
      <c r="S38" s="521"/>
      <c r="T38" s="95"/>
      <c r="U38" s="64"/>
      <c r="V38" s="64"/>
      <c r="W38" s="64"/>
      <c r="X38" s="64"/>
      <c r="Y38" s="64"/>
      <c r="Z38" s="64"/>
      <c r="AA38" s="64"/>
      <c r="AB38" s="64"/>
      <c r="AC38" s="64"/>
      <c r="AD38" s="64"/>
      <c r="AE38" s="64"/>
      <c r="AF38" s="64"/>
      <c r="AG38" s="64"/>
      <c r="AH38" s="64"/>
      <c r="AI38" s="64"/>
    </row>
    <row r="39" spans="1:35" ht="12.75" customHeight="1">
      <c r="A39" s="519"/>
      <c r="B39" s="520"/>
      <c r="C39" s="520"/>
      <c r="D39" s="520"/>
      <c r="E39" s="520"/>
      <c r="F39" s="520"/>
      <c r="G39" s="520"/>
      <c r="H39" s="520"/>
      <c r="I39" s="520"/>
      <c r="J39" s="520"/>
      <c r="K39" s="520"/>
      <c r="L39" s="520"/>
      <c r="M39" s="520"/>
      <c r="N39" s="520"/>
      <c r="O39" s="520"/>
      <c r="P39" s="520"/>
      <c r="Q39" s="520"/>
      <c r="R39" s="520"/>
      <c r="S39" s="521"/>
      <c r="T39" s="95"/>
      <c r="U39" s="64"/>
      <c r="V39" s="64"/>
      <c r="W39" s="64"/>
      <c r="X39" s="64"/>
      <c r="Y39" s="64"/>
      <c r="Z39" s="64"/>
      <c r="AA39" s="64"/>
      <c r="AB39" s="64"/>
      <c r="AC39" s="64"/>
      <c r="AD39" s="64"/>
      <c r="AE39" s="64"/>
      <c r="AF39" s="64"/>
      <c r="AG39" s="64"/>
      <c r="AH39" s="64"/>
      <c r="AI39" s="64"/>
    </row>
    <row r="40" spans="1:35" ht="12.75" customHeight="1">
      <c r="A40" s="519"/>
      <c r="B40" s="520"/>
      <c r="C40" s="520"/>
      <c r="D40" s="520"/>
      <c r="E40" s="520"/>
      <c r="F40" s="520"/>
      <c r="G40" s="520"/>
      <c r="H40" s="520"/>
      <c r="I40" s="520"/>
      <c r="J40" s="520"/>
      <c r="K40" s="520"/>
      <c r="L40" s="520"/>
      <c r="M40" s="520"/>
      <c r="N40" s="520"/>
      <c r="O40" s="520"/>
      <c r="P40" s="520"/>
      <c r="Q40" s="520"/>
      <c r="R40" s="520"/>
      <c r="S40" s="521"/>
      <c r="T40" s="95"/>
      <c r="U40" s="64"/>
      <c r="V40" s="64"/>
      <c r="W40" s="64"/>
      <c r="X40" s="64"/>
      <c r="Y40" s="64"/>
      <c r="Z40" s="64"/>
      <c r="AA40" s="64"/>
      <c r="AB40" s="64"/>
      <c r="AC40" s="64"/>
      <c r="AD40" s="64"/>
      <c r="AE40" s="64"/>
      <c r="AF40" s="64"/>
      <c r="AG40" s="64"/>
      <c r="AH40" s="64"/>
      <c r="AI40" s="64"/>
    </row>
    <row r="41" spans="1:35" ht="12.75" customHeight="1">
      <c r="A41" s="519"/>
      <c r="B41" s="520"/>
      <c r="C41" s="520"/>
      <c r="D41" s="520"/>
      <c r="E41" s="520"/>
      <c r="F41" s="520"/>
      <c r="G41" s="520"/>
      <c r="H41" s="520"/>
      <c r="I41" s="520"/>
      <c r="J41" s="520"/>
      <c r="K41" s="520"/>
      <c r="L41" s="520"/>
      <c r="M41" s="520"/>
      <c r="N41" s="520"/>
      <c r="O41" s="520"/>
      <c r="P41" s="520"/>
      <c r="Q41" s="520"/>
      <c r="R41" s="520"/>
      <c r="S41" s="521"/>
      <c r="T41" s="95"/>
      <c r="U41" s="64"/>
      <c r="V41" s="64"/>
      <c r="W41" s="64"/>
      <c r="X41" s="64"/>
      <c r="Y41" s="64"/>
      <c r="Z41" s="64"/>
      <c r="AA41" s="64"/>
      <c r="AB41" s="64"/>
      <c r="AC41" s="64"/>
      <c r="AD41" s="64"/>
      <c r="AE41" s="64"/>
      <c r="AF41" s="64"/>
      <c r="AG41" s="64"/>
      <c r="AH41" s="64"/>
      <c r="AI41" s="64"/>
    </row>
    <row r="42" spans="1:35" ht="12.75" customHeight="1">
      <c r="A42" s="519"/>
      <c r="B42" s="520"/>
      <c r="C42" s="520"/>
      <c r="D42" s="520"/>
      <c r="E42" s="520"/>
      <c r="F42" s="520"/>
      <c r="G42" s="520"/>
      <c r="H42" s="520"/>
      <c r="I42" s="520"/>
      <c r="J42" s="520"/>
      <c r="K42" s="520"/>
      <c r="L42" s="520"/>
      <c r="M42" s="520"/>
      <c r="N42" s="520"/>
      <c r="O42" s="520"/>
      <c r="P42" s="520"/>
      <c r="Q42" s="520"/>
      <c r="R42" s="520"/>
      <c r="S42" s="521"/>
      <c r="T42" s="95"/>
      <c r="U42" s="64"/>
      <c r="V42" s="64"/>
      <c r="W42" s="64"/>
      <c r="X42" s="64"/>
      <c r="Y42" s="64"/>
      <c r="Z42" s="64"/>
      <c r="AA42" s="64"/>
      <c r="AB42" s="64"/>
      <c r="AC42" s="64"/>
      <c r="AD42" s="64"/>
      <c r="AE42" s="64"/>
      <c r="AF42" s="64"/>
      <c r="AG42" s="64"/>
      <c r="AH42" s="64"/>
      <c r="AI42" s="64"/>
    </row>
    <row r="43" spans="1:35" ht="12.75" customHeight="1">
      <c r="A43" s="519"/>
      <c r="B43" s="520"/>
      <c r="C43" s="520"/>
      <c r="D43" s="520"/>
      <c r="E43" s="520"/>
      <c r="F43" s="520"/>
      <c r="G43" s="520"/>
      <c r="H43" s="520"/>
      <c r="I43" s="520"/>
      <c r="J43" s="520"/>
      <c r="K43" s="520"/>
      <c r="L43" s="520"/>
      <c r="M43" s="520"/>
      <c r="N43" s="520"/>
      <c r="O43" s="520"/>
      <c r="P43" s="520"/>
      <c r="Q43" s="520"/>
      <c r="R43" s="520"/>
      <c r="S43" s="521"/>
      <c r="T43" s="95"/>
      <c r="U43" s="64"/>
      <c r="V43" s="64"/>
      <c r="W43" s="64"/>
      <c r="X43" s="64"/>
      <c r="Y43" s="64"/>
      <c r="Z43" s="64"/>
      <c r="AA43" s="64"/>
      <c r="AB43" s="64"/>
      <c r="AC43" s="64"/>
      <c r="AD43" s="64"/>
      <c r="AE43" s="64"/>
      <c r="AF43" s="64"/>
      <c r="AG43" s="64"/>
      <c r="AH43" s="64"/>
      <c r="AI43" s="64"/>
    </row>
    <row r="44" spans="1:35" ht="12.75" customHeight="1">
      <c r="A44" s="519"/>
      <c r="B44" s="520"/>
      <c r="C44" s="520"/>
      <c r="D44" s="520"/>
      <c r="E44" s="520"/>
      <c r="F44" s="520"/>
      <c r="G44" s="520"/>
      <c r="H44" s="520"/>
      <c r="I44" s="520"/>
      <c r="J44" s="520"/>
      <c r="K44" s="520"/>
      <c r="L44" s="520"/>
      <c r="M44" s="520"/>
      <c r="N44" s="520"/>
      <c r="O44" s="520"/>
      <c r="P44" s="520"/>
      <c r="Q44" s="520"/>
      <c r="R44" s="520"/>
      <c r="S44" s="521"/>
      <c r="T44" s="95"/>
      <c r="U44" s="64"/>
      <c r="V44" s="64"/>
      <c r="W44" s="64"/>
      <c r="X44" s="64"/>
      <c r="Y44" s="64"/>
      <c r="Z44" s="64"/>
      <c r="AA44" s="64"/>
      <c r="AB44" s="64"/>
      <c r="AC44" s="64"/>
      <c r="AD44" s="64"/>
      <c r="AE44" s="64"/>
      <c r="AF44" s="64"/>
      <c r="AG44" s="64"/>
      <c r="AH44" s="64"/>
      <c r="AI44" s="64"/>
    </row>
    <row r="45" spans="1:35" ht="12.75" customHeight="1">
      <c r="A45" s="519"/>
      <c r="B45" s="520"/>
      <c r="C45" s="520"/>
      <c r="D45" s="520"/>
      <c r="E45" s="520"/>
      <c r="F45" s="520"/>
      <c r="G45" s="520"/>
      <c r="H45" s="520"/>
      <c r="I45" s="520"/>
      <c r="J45" s="520"/>
      <c r="K45" s="520"/>
      <c r="L45" s="520"/>
      <c r="M45" s="520"/>
      <c r="N45" s="520"/>
      <c r="O45" s="520"/>
      <c r="P45" s="520"/>
      <c r="Q45" s="520"/>
      <c r="R45" s="520"/>
      <c r="S45" s="521"/>
      <c r="T45" s="95"/>
      <c r="U45" s="64"/>
      <c r="V45" s="64"/>
      <c r="W45" s="64"/>
      <c r="X45" s="64"/>
      <c r="Y45" s="64"/>
      <c r="Z45" s="64"/>
      <c r="AA45" s="64"/>
      <c r="AB45" s="64"/>
      <c r="AC45" s="64"/>
      <c r="AD45" s="64"/>
      <c r="AE45" s="64"/>
      <c r="AF45" s="64"/>
      <c r="AG45" s="64"/>
      <c r="AH45" s="64"/>
      <c r="AI45" s="64"/>
    </row>
    <row r="46" spans="1:35" ht="12.75" customHeight="1">
      <c r="A46" s="519"/>
      <c r="B46" s="520"/>
      <c r="C46" s="520"/>
      <c r="D46" s="520"/>
      <c r="E46" s="520"/>
      <c r="F46" s="520"/>
      <c r="G46" s="520"/>
      <c r="H46" s="520"/>
      <c r="I46" s="520"/>
      <c r="J46" s="520"/>
      <c r="K46" s="520"/>
      <c r="L46" s="520"/>
      <c r="M46" s="520"/>
      <c r="N46" s="520"/>
      <c r="O46" s="520"/>
      <c r="P46" s="520"/>
      <c r="Q46" s="520"/>
      <c r="R46" s="520"/>
      <c r="S46" s="521"/>
      <c r="T46" s="95"/>
      <c r="U46" s="64"/>
      <c r="V46" s="64"/>
      <c r="W46" s="64"/>
      <c r="X46" s="64"/>
      <c r="Y46" s="64"/>
      <c r="Z46" s="64"/>
      <c r="AA46" s="64"/>
      <c r="AB46" s="64"/>
      <c r="AC46" s="64"/>
      <c r="AD46" s="64"/>
      <c r="AE46" s="64"/>
      <c r="AF46" s="64"/>
      <c r="AG46" s="64"/>
      <c r="AH46" s="64"/>
      <c r="AI46" s="64"/>
    </row>
    <row r="47" spans="1:35" ht="12.75" customHeight="1">
      <c r="A47" s="519"/>
      <c r="B47" s="520"/>
      <c r="C47" s="520"/>
      <c r="D47" s="520"/>
      <c r="E47" s="520"/>
      <c r="F47" s="520"/>
      <c r="G47" s="520"/>
      <c r="H47" s="520"/>
      <c r="I47" s="520"/>
      <c r="J47" s="520"/>
      <c r="K47" s="520"/>
      <c r="L47" s="520"/>
      <c r="M47" s="520"/>
      <c r="N47" s="520"/>
      <c r="O47" s="520"/>
      <c r="P47" s="520"/>
      <c r="Q47" s="520"/>
      <c r="R47" s="520"/>
      <c r="S47" s="521"/>
      <c r="T47" s="95"/>
      <c r="U47" s="64"/>
      <c r="V47" s="64"/>
      <c r="W47" s="64"/>
      <c r="X47" s="64"/>
      <c r="Y47" s="64"/>
      <c r="Z47" s="64"/>
      <c r="AA47" s="64"/>
      <c r="AB47" s="64"/>
      <c r="AC47" s="64"/>
      <c r="AD47" s="64"/>
      <c r="AE47" s="64"/>
      <c r="AF47" s="64"/>
      <c r="AG47" s="64"/>
      <c r="AH47" s="64"/>
      <c r="AI47" s="64"/>
    </row>
    <row r="48" spans="1:35" ht="12.75" customHeight="1">
      <c r="A48" s="519"/>
      <c r="B48" s="520"/>
      <c r="C48" s="520"/>
      <c r="D48" s="520"/>
      <c r="E48" s="520"/>
      <c r="F48" s="520"/>
      <c r="G48" s="520"/>
      <c r="H48" s="520"/>
      <c r="I48" s="520"/>
      <c r="J48" s="520"/>
      <c r="K48" s="520"/>
      <c r="L48" s="520"/>
      <c r="M48" s="520"/>
      <c r="N48" s="520"/>
      <c r="O48" s="520"/>
      <c r="P48" s="520"/>
      <c r="Q48" s="520"/>
      <c r="R48" s="520"/>
      <c r="S48" s="521"/>
      <c r="T48" s="95"/>
      <c r="U48" s="64"/>
      <c r="V48" s="64"/>
      <c r="W48" s="64"/>
      <c r="X48" s="64"/>
      <c r="Y48" s="64"/>
      <c r="Z48" s="64"/>
      <c r="AA48" s="64"/>
      <c r="AB48" s="64"/>
      <c r="AC48" s="64"/>
      <c r="AD48" s="64"/>
      <c r="AE48" s="64"/>
      <c r="AF48" s="64"/>
      <c r="AG48" s="64"/>
      <c r="AH48" s="64"/>
      <c r="AI48" s="64"/>
    </row>
    <row r="49" spans="1:35" ht="12.75" customHeight="1">
      <c r="A49" s="519"/>
      <c r="B49" s="520"/>
      <c r="C49" s="520"/>
      <c r="D49" s="520"/>
      <c r="E49" s="520"/>
      <c r="F49" s="520"/>
      <c r="G49" s="520"/>
      <c r="H49" s="520"/>
      <c r="I49" s="520"/>
      <c r="J49" s="520"/>
      <c r="K49" s="520"/>
      <c r="L49" s="520"/>
      <c r="M49" s="520"/>
      <c r="N49" s="520"/>
      <c r="O49" s="520"/>
      <c r="P49" s="520"/>
      <c r="Q49" s="520"/>
      <c r="R49" s="520"/>
      <c r="S49" s="521"/>
      <c r="T49" s="95"/>
      <c r="U49" s="64"/>
      <c r="V49" s="64"/>
      <c r="W49" s="64"/>
      <c r="X49" s="64"/>
      <c r="Y49" s="64"/>
      <c r="Z49" s="64"/>
      <c r="AA49" s="64"/>
      <c r="AB49" s="64"/>
      <c r="AC49" s="64"/>
      <c r="AD49" s="64"/>
      <c r="AE49" s="64"/>
      <c r="AF49" s="64"/>
      <c r="AG49" s="64"/>
      <c r="AH49" s="64"/>
      <c r="AI49" s="64"/>
    </row>
    <row r="50" spans="1:35" ht="12.75" customHeight="1">
      <c r="A50" s="519"/>
      <c r="B50" s="520"/>
      <c r="C50" s="520"/>
      <c r="D50" s="520"/>
      <c r="E50" s="520"/>
      <c r="F50" s="520"/>
      <c r="G50" s="520"/>
      <c r="H50" s="520"/>
      <c r="I50" s="520"/>
      <c r="J50" s="520"/>
      <c r="K50" s="520"/>
      <c r="L50" s="520"/>
      <c r="M50" s="520"/>
      <c r="N50" s="520"/>
      <c r="O50" s="520"/>
      <c r="P50" s="520"/>
      <c r="Q50" s="520"/>
      <c r="R50" s="520"/>
      <c r="S50" s="521"/>
      <c r="T50" s="95"/>
      <c r="U50" s="64"/>
      <c r="V50" s="64"/>
      <c r="W50" s="64"/>
      <c r="X50" s="64"/>
      <c r="Y50" s="64"/>
      <c r="Z50" s="64"/>
      <c r="AA50" s="64"/>
      <c r="AB50" s="64"/>
      <c r="AC50" s="64"/>
      <c r="AD50" s="64"/>
      <c r="AE50" s="64"/>
      <c r="AF50" s="64"/>
      <c r="AG50" s="64"/>
      <c r="AH50" s="64"/>
      <c r="AI50" s="64"/>
    </row>
    <row r="51" spans="1:35" ht="12.75" customHeight="1">
      <c r="A51" s="519"/>
      <c r="B51" s="520"/>
      <c r="C51" s="520"/>
      <c r="D51" s="520"/>
      <c r="E51" s="520"/>
      <c r="F51" s="520"/>
      <c r="G51" s="520"/>
      <c r="H51" s="520"/>
      <c r="I51" s="520"/>
      <c r="J51" s="520"/>
      <c r="K51" s="520"/>
      <c r="L51" s="520"/>
      <c r="M51" s="520"/>
      <c r="N51" s="520"/>
      <c r="O51" s="520"/>
      <c r="P51" s="520"/>
      <c r="Q51" s="520"/>
      <c r="R51" s="520"/>
      <c r="S51" s="521"/>
      <c r="T51" s="95"/>
      <c r="U51" s="64"/>
      <c r="V51" s="64"/>
      <c r="W51" s="64"/>
      <c r="X51" s="64"/>
      <c r="Y51" s="64"/>
      <c r="Z51" s="64"/>
      <c r="AA51" s="64"/>
      <c r="AB51" s="64"/>
      <c r="AC51" s="64"/>
      <c r="AD51" s="64"/>
      <c r="AE51" s="64"/>
      <c r="AF51" s="64"/>
      <c r="AG51" s="64"/>
      <c r="AH51" s="64"/>
      <c r="AI51" s="64"/>
    </row>
    <row r="52" spans="1:35" ht="12.75" customHeight="1">
      <c r="A52" s="519"/>
      <c r="B52" s="520"/>
      <c r="C52" s="520"/>
      <c r="D52" s="520"/>
      <c r="E52" s="520"/>
      <c r="F52" s="520"/>
      <c r="G52" s="520"/>
      <c r="H52" s="520"/>
      <c r="I52" s="520"/>
      <c r="J52" s="520"/>
      <c r="K52" s="520"/>
      <c r="L52" s="520"/>
      <c r="M52" s="520"/>
      <c r="N52" s="520"/>
      <c r="O52" s="520"/>
      <c r="P52" s="520"/>
      <c r="Q52" s="520"/>
      <c r="R52" s="520"/>
      <c r="S52" s="521"/>
      <c r="T52" s="95"/>
      <c r="U52" s="64"/>
      <c r="V52" s="64"/>
      <c r="W52" s="64"/>
      <c r="X52" s="64"/>
      <c r="Y52" s="64"/>
      <c r="Z52" s="64"/>
      <c r="AA52" s="64"/>
      <c r="AB52" s="64"/>
      <c r="AC52" s="64"/>
      <c r="AD52" s="64"/>
      <c r="AE52" s="64"/>
      <c r="AF52" s="64"/>
      <c r="AG52" s="64"/>
      <c r="AH52" s="64"/>
      <c r="AI52" s="64"/>
    </row>
    <row r="53" spans="1:35" ht="12.75" customHeight="1">
      <c r="A53" s="519"/>
      <c r="B53" s="520"/>
      <c r="C53" s="520"/>
      <c r="D53" s="520"/>
      <c r="E53" s="520"/>
      <c r="F53" s="520"/>
      <c r="G53" s="520"/>
      <c r="H53" s="520"/>
      <c r="I53" s="520"/>
      <c r="J53" s="520"/>
      <c r="K53" s="520"/>
      <c r="L53" s="520"/>
      <c r="M53" s="520"/>
      <c r="N53" s="520"/>
      <c r="O53" s="520"/>
      <c r="P53" s="520"/>
      <c r="Q53" s="520"/>
      <c r="R53" s="520"/>
      <c r="S53" s="521"/>
      <c r="T53" s="95"/>
      <c r="U53" s="64"/>
      <c r="V53" s="64"/>
      <c r="W53" s="64"/>
      <c r="X53" s="64"/>
      <c r="Y53" s="64"/>
      <c r="Z53" s="64"/>
      <c r="AA53" s="64"/>
      <c r="AB53" s="64"/>
      <c r="AC53" s="64"/>
      <c r="AD53" s="64"/>
      <c r="AE53" s="64"/>
      <c r="AF53" s="64"/>
      <c r="AG53" s="64"/>
      <c r="AH53" s="64"/>
      <c r="AI53" s="64"/>
    </row>
    <row r="54" spans="1:35" ht="12.75" customHeight="1">
      <c r="A54" s="519"/>
      <c r="B54" s="520"/>
      <c r="C54" s="520"/>
      <c r="D54" s="520"/>
      <c r="E54" s="520"/>
      <c r="F54" s="520"/>
      <c r="G54" s="520"/>
      <c r="H54" s="520"/>
      <c r="I54" s="520"/>
      <c r="J54" s="520"/>
      <c r="K54" s="520"/>
      <c r="L54" s="520"/>
      <c r="M54" s="520"/>
      <c r="N54" s="520"/>
      <c r="O54" s="520"/>
      <c r="P54" s="520"/>
      <c r="Q54" s="520"/>
      <c r="R54" s="520"/>
      <c r="S54" s="521"/>
      <c r="T54" s="95"/>
      <c r="U54" s="64"/>
      <c r="V54" s="64"/>
      <c r="W54" s="64"/>
      <c r="X54" s="64"/>
      <c r="Y54" s="64"/>
      <c r="Z54" s="64"/>
      <c r="AA54" s="64"/>
      <c r="AB54" s="64"/>
      <c r="AC54" s="64"/>
      <c r="AD54" s="64"/>
      <c r="AE54" s="64"/>
      <c r="AF54" s="64"/>
      <c r="AG54" s="64"/>
      <c r="AH54" s="64"/>
      <c r="AI54" s="64"/>
    </row>
    <row r="55" spans="1:35" ht="12.75" customHeight="1">
      <c r="A55" s="519"/>
      <c r="B55" s="520"/>
      <c r="C55" s="520"/>
      <c r="D55" s="520"/>
      <c r="E55" s="520"/>
      <c r="F55" s="520"/>
      <c r="G55" s="520"/>
      <c r="H55" s="520"/>
      <c r="I55" s="520"/>
      <c r="J55" s="520"/>
      <c r="K55" s="520"/>
      <c r="L55" s="520"/>
      <c r="M55" s="520"/>
      <c r="N55" s="520"/>
      <c r="O55" s="520"/>
      <c r="P55" s="520"/>
      <c r="Q55" s="520"/>
      <c r="R55" s="520"/>
      <c r="S55" s="521"/>
      <c r="T55" s="95"/>
      <c r="U55" s="64"/>
      <c r="V55" s="64"/>
      <c r="W55" s="64"/>
      <c r="X55" s="64"/>
      <c r="Y55" s="64"/>
      <c r="Z55" s="64"/>
      <c r="AA55" s="64"/>
      <c r="AB55" s="64"/>
      <c r="AC55" s="64"/>
      <c r="AD55" s="64"/>
      <c r="AE55" s="64"/>
      <c r="AF55" s="64"/>
      <c r="AG55" s="64"/>
      <c r="AH55" s="64"/>
      <c r="AI55" s="64"/>
    </row>
    <row r="56" spans="1:35" ht="12.75" customHeight="1">
      <c r="A56" s="519"/>
      <c r="B56" s="520"/>
      <c r="C56" s="520"/>
      <c r="D56" s="520"/>
      <c r="E56" s="520"/>
      <c r="F56" s="520"/>
      <c r="G56" s="520"/>
      <c r="H56" s="520"/>
      <c r="I56" s="520"/>
      <c r="J56" s="520"/>
      <c r="K56" s="520"/>
      <c r="L56" s="520"/>
      <c r="M56" s="520"/>
      <c r="N56" s="520"/>
      <c r="O56" s="520"/>
      <c r="P56" s="520"/>
      <c r="Q56" s="520"/>
      <c r="R56" s="520"/>
      <c r="S56" s="521"/>
      <c r="T56" s="95"/>
      <c r="U56" s="64"/>
      <c r="V56" s="64"/>
      <c r="W56" s="64"/>
      <c r="X56" s="64"/>
      <c r="Y56" s="64"/>
      <c r="Z56" s="64"/>
      <c r="AA56" s="64"/>
      <c r="AB56" s="64"/>
      <c r="AC56" s="64"/>
      <c r="AD56" s="64"/>
      <c r="AE56" s="64"/>
      <c r="AF56" s="64"/>
      <c r="AG56" s="64"/>
      <c r="AH56" s="64"/>
      <c r="AI56" s="64"/>
    </row>
    <row r="57" spans="1:35" ht="12.75" customHeight="1">
      <c r="A57" s="519"/>
      <c r="B57" s="520"/>
      <c r="C57" s="520"/>
      <c r="D57" s="520"/>
      <c r="E57" s="520"/>
      <c r="F57" s="520"/>
      <c r="G57" s="520"/>
      <c r="H57" s="520"/>
      <c r="I57" s="520"/>
      <c r="J57" s="520"/>
      <c r="K57" s="520"/>
      <c r="L57" s="520"/>
      <c r="M57" s="520"/>
      <c r="N57" s="520"/>
      <c r="O57" s="520"/>
      <c r="P57" s="520"/>
      <c r="Q57" s="520"/>
      <c r="R57" s="520"/>
      <c r="S57" s="521"/>
      <c r="T57" s="95"/>
      <c r="U57" s="64"/>
      <c r="V57" s="64"/>
      <c r="W57" s="64"/>
      <c r="X57" s="64"/>
      <c r="Y57" s="64"/>
      <c r="Z57" s="64"/>
      <c r="AA57" s="64"/>
      <c r="AB57" s="64"/>
      <c r="AC57" s="64"/>
      <c r="AD57" s="64"/>
      <c r="AE57" s="64"/>
      <c r="AF57" s="64"/>
      <c r="AG57" s="64"/>
      <c r="AH57" s="64"/>
      <c r="AI57" s="64"/>
    </row>
    <row r="58" spans="1:35" ht="12.75" customHeight="1">
      <c r="A58" s="519"/>
      <c r="B58" s="520"/>
      <c r="C58" s="520"/>
      <c r="D58" s="520"/>
      <c r="E58" s="520"/>
      <c r="F58" s="520"/>
      <c r="G58" s="520"/>
      <c r="H58" s="520"/>
      <c r="I58" s="520"/>
      <c r="J58" s="520"/>
      <c r="K58" s="520"/>
      <c r="L58" s="520"/>
      <c r="M58" s="520"/>
      <c r="N58" s="520"/>
      <c r="O58" s="520"/>
      <c r="P58" s="520"/>
      <c r="Q58" s="520"/>
      <c r="R58" s="520"/>
      <c r="S58" s="521"/>
      <c r="T58" s="95"/>
      <c r="U58" s="64"/>
      <c r="V58" s="64"/>
      <c r="W58" s="64"/>
      <c r="X58" s="64"/>
      <c r="Y58" s="64"/>
      <c r="Z58" s="64"/>
      <c r="AA58" s="64"/>
      <c r="AB58" s="64"/>
      <c r="AC58" s="64"/>
      <c r="AD58" s="64"/>
      <c r="AE58" s="64"/>
      <c r="AF58" s="64"/>
      <c r="AG58" s="64"/>
      <c r="AH58" s="64"/>
      <c r="AI58" s="64"/>
    </row>
    <row r="59" spans="1:35" ht="12.75" customHeight="1">
      <c r="A59" s="519"/>
      <c r="B59" s="520"/>
      <c r="C59" s="520"/>
      <c r="D59" s="520"/>
      <c r="E59" s="520"/>
      <c r="F59" s="520"/>
      <c r="G59" s="520"/>
      <c r="H59" s="520"/>
      <c r="I59" s="520"/>
      <c r="J59" s="520"/>
      <c r="K59" s="520"/>
      <c r="L59" s="520"/>
      <c r="M59" s="520"/>
      <c r="N59" s="520"/>
      <c r="O59" s="520"/>
      <c r="P59" s="520"/>
      <c r="Q59" s="520"/>
      <c r="R59" s="520"/>
      <c r="S59" s="521"/>
      <c r="T59" s="95"/>
      <c r="U59" s="64"/>
      <c r="V59" s="64"/>
      <c r="W59" s="64"/>
      <c r="X59" s="64"/>
      <c r="Y59" s="64"/>
      <c r="Z59" s="64"/>
      <c r="AA59" s="64"/>
      <c r="AB59" s="64"/>
      <c r="AC59" s="64"/>
      <c r="AD59" s="64"/>
      <c r="AE59" s="64"/>
      <c r="AF59" s="64"/>
      <c r="AG59" s="64"/>
      <c r="AH59" s="64"/>
      <c r="AI59" s="64"/>
    </row>
    <row r="60" spans="1:35" ht="12.75" customHeight="1">
      <c r="A60" s="519"/>
      <c r="B60" s="520"/>
      <c r="C60" s="520"/>
      <c r="D60" s="520"/>
      <c r="E60" s="520"/>
      <c r="F60" s="520"/>
      <c r="G60" s="520"/>
      <c r="H60" s="520"/>
      <c r="I60" s="520"/>
      <c r="J60" s="520"/>
      <c r="K60" s="520"/>
      <c r="L60" s="520"/>
      <c r="M60" s="520"/>
      <c r="N60" s="520"/>
      <c r="O60" s="520"/>
      <c r="P60" s="520"/>
      <c r="Q60" s="520"/>
      <c r="R60" s="520"/>
      <c r="S60" s="521"/>
      <c r="T60" s="95"/>
      <c r="U60" s="64"/>
      <c r="V60" s="64"/>
      <c r="W60" s="64"/>
      <c r="X60" s="64"/>
      <c r="Y60" s="64"/>
      <c r="Z60" s="64"/>
      <c r="AA60" s="64"/>
      <c r="AB60" s="64"/>
      <c r="AC60" s="64"/>
      <c r="AD60" s="64"/>
      <c r="AE60" s="64"/>
      <c r="AF60" s="64"/>
      <c r="AG60" s="64"/>
      <c r="AH60" s="64"/>
      <c r="AI60" s="64"/>
    </row>
    <row r="61" spans="1:35" ht="12.75" customHeight="1">
      <c r="A61" s="519"/>
      <c r="B61" s="520"/>
      <c r="C61" s="520"/>
      <c r="D61" s="520"/>
      <c r="E61" s="520"/>
      <c r="F61" s="520"/>
      <c r="G61" s="520"/>
      <c r="H61" s="520"/>
      <c r="I61" s="520"/>
      <c r="J61" s="520"/>
      <c r="K61" s="520"/>
      <c r="L61" s="520"/>
      <c r="M61" s="520"/>
      <c r="N61" s="520"/>
      <c r="O61" s="520"/>
      <c r="P61" s="520"/>
      <c r="Q61" s="520"/>
      <c r="R61" s="520"/>
      <c r="S61" s="521"/>
      <c r="T61" s="95"/>
      <c r="U61" s="64"/>
      <c r="V61" s="64"/>
      <c r="W61" s="64"/>
      <c r="X61" s="64"/>
      <c r="Y61" s="64"/>
      <c r="Z61" s="64"/>
      <c r="AA61" s="64"/>
      <c r="AB61" s="64"/>
      <c r="AC61" s="64"/>
      <c r="AD61" s="64"/>
      <c r="AE61" s="64"/>
      <c r="AF61" s="64"/>
      <c r="AG61" s="64"/>
      <c r="AH61" s="64"/>
      <c r="AI61" s="64"/>
    </row>
    <row r="62" spans="1:35" ht="12.75" customHeight="1">
      <c r="A62" s="519"/>
      <c r="B62" s="520"/>
      <c r="C62" s="520"/>
      <c r="D62" s="520"/>
      <c r="E62" s="520"/>
      <c r="F62" s="520"/>
      <c r="G62" s="520"/>
      <c r="H62" s="520"/>
      <c r="I62" s="520"/>
      <c r="J62" s="520"/>
      <c r="K62" s="520"/>
      <c r="L62" s="520"/>
      <c r="M62" s="520"/>
      <c r="N62" s="520"/>
      <c r="O62" s="520"/>
      <c r="P62" s="520"/>
      <c r="Q62" s="520"/>
      <c r="R62" s="520"/>
      <c r="S62" s="521"/>
      <c r="T62" s="95"/>
      <c r="U62" s="64"/>
      <c r="V62" s="64"/>
      <c r="W62" s="64"/>
      <c r="X62" s="64"/>
      <c r="Y62" s="64"/>
      <c r="Z62" s="64"/>
      <c r="AA62" s="64"/>
      <c r="AB62" s="64"/>
      <c r="AC62" s="64"/>
      <c r="AD62" s="64"/>
      <c r="AE62" s="64"/>
      <c r="AF62" s="64"/>
      <c r="AG62" s="64"/>
      <c r="AH62" s="64"/>
      <c r="AI62" s="64"/>
    </row>
    <row r="63" spans="1:35" ht="12.75" customHeight="1">
      <c r="A63" s="522"/>
      <c r="B63" s="523"/>
      <c r="C63" s="523"/>
      <c r="D63" s="523"/>
      <c r="E63" s="523"/>
      <c r="F63" s="523"/>
      <c r="G63" s="523"/>
      <c r="H63" s="523"/>
      <c r="I63" s="523"/>
      <c r="J63" s="523"/>
      <c r="K63" s="523"/>
      <c r="L63" s="523"/>
      <c r="M63" s="523"/>
      <c r="N63" s="523"/>
      <c r="O63" s="523"/>
      <c r="P63" s="523"/>
      <c r="Q63" s="523"/>
      <c r="R63" s="523"/>
      <c r="S63" s="524"/>
      <c r="T63" s="100"/>
      <c r="U63" s="101"/>
      <c r="V63" s="101"/>
      <c r="W63" s="101"/>
      <c r="X63" s="101"/>
      <c r="Y63" s="101"/>
      <c r="Z63" s="101"/>
      <c r="AA63" s="101"/>
      <c r="AB63" s="101"/>
      <c r="AC63" s="101"/>
      <c r="AD63" s="101"/>
      <c r="AE63" s="101"/>
      <c r="AF63" s="101"/>
      <c r="AG63" s="101"/>
      <c r="AH63" s="101"/>
      <c r="AI63" s="101"/>
    </row>
    <row r="64" spans="1:35"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N10:Q10"/>
    <mergeCell ref="N11:Q11"/>
    <mergeCell ref="A1:S1"/>
    <mergeCell ref="D3:J3"/>
    <mergeCell ref="O3:S3"/>
    <mergeCell ref="A5:S6"/>
    <mergeCell ref="A8:F8"/>
  </mergeCells>
  <pageMargins left="0.39370078740157483" right="0.39370078740157483" top="0.39370078740157483" bottom="0.39370078740157483" header="0" footer="0"/>
  <pageSetup paperSize="9"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L1000"/>
  <sheetViews>
    <sheetView showGridLines="0" workbookViewId="0"/>
  </sheetViews>
  <sheetFormatPr baseColWidth="10" defaultColWidth="12.5703125" defaultRowHeight="15" customHeight="1"/>
  <cols>
    <col min="1" max="21" width="5" customWidth="1"/>
    <col min="22" max="22" width="6.42578125" customWidth="1"/>
    <col min="23" max="38" width="5" customWidth="1"/>
  </cols>
  <sheetData>
    <row r="1" spans="1:38" ht="12.75" customHeight="1">
      <c r="A1" s="675" t="s">
        <v>864</v>
      </c>
      <c r="B1" s="595"/>
      <c r="C1" s="595"/>
      <c r="D1" s="595"/>
      <c r="E1" s="595"/>
      <c r="F1" s="595"/>
      <c r="G1" s="595"/>
      <c r="H1" s="595"/>
      <c r="I1" s="595"/>
      <c r="J1" s="595"/>
      <c r="K1" s="595"/>
      <c r="L1" s="595"/>
      <c r="M1" s="595"/>
      <c r="N1" s="595"/>
      <c r="O1" s="595"/>
      <c r="P1" s="595"/>
      <c r="Q1" s="595"/>
      <c r="R1" s="595"/>
      <c r="S1" s="596"/>
      <c r="T1" s="382"/>
      <c r="U1" s="37"/>
      <c r="V1" s="37"/>
      <c r="W1" s="37"/>
      <c r="X1" s="37"/>
      <c r="Y1" s="37"/>
      <c r="Z1" s="37"/>
      <c r="AA1" s="37"/>
      <c r="AB1" s="37"/>
      <c r="AC1" s="37"/>
      <c r="AD1" s="37"/>
      <c r="AE1" s="37"/>
      <c r="AF1" s="37"/>
      <c r="AG1" s="37"/>
      <c r="AH1" s="37"/>
      <c r="AI1" s="37"/>
      <c r="AJ1" s="37"/>
      <c r="AK1" s="37"/>
      <c r="AL1" s="38"/>
    </row>
    <row r="2" spans="1:38"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c r="AA2" s="34"/>
      <c r="AB2" s="34"/>
      <c r="AC2" s="34"/>
      <c r="AD2" s="34"/>
      <c r="AE2" s="34"/>
      <c r="AF2" s="34"/>
      <c r="AG2" s="34"/>
      <c r="AH2" s="34"/>
      <c r="AI2" s="34"/>
      <c r="AJ2" s="34"/>
      <c r="AK2" s="34"/>
      <c r="AL2" s="141"/>
    </row>
    <row r="3" spans="1:38" ht="12.75" customHeight="1">
      <c r="A3" s="528"/>
      <c r="B3" s="529" t="s">
        <v>865</v>
      </c>
      <c r="C3" s="529"/>
      <c r="D3" s="529"/>
      <c r="E3" s="529"/>
      <c r="F3" s="529"/>
      <c r="G3" s="529"/>
      <c r="H3" s="529"/>
      <c r="I3" s="529"/>
      <c r="J3" s="529"/>
      <c r="K3" s="529"/>
      <c r="L3" s="529"/>
      <c r="M3" s="529"/>
      <c r="N3" s="529"/>
      <c r="O3" s="529"/>
      <c r="P3" s="529"/>
      <c r="Q3" s="34"/>
      <c r="R3" s="530" t="s">
        <v>866</v>
      </c>
      <c r="S3" s="531"/>
      <c r="T3" s="80"/>
      <c r="U3" s="34"/>
      <c r="V3" s="34"/>
      <c r="W3" s="34"/>
      <c r="X3" s="34"/>
      <c r="Y3" s="34"/>
      <c r="Z3" s="34"/>
      <c r="AA3" s="34"/>
      <c r="AB3" s="34"/>
      <c r="AC3" s="34"/>
      <c r="AD3" s="34"/>
      <c r="AE3" s="34"/>
      <c r="AF3" s="34"/>
      <c r="AG3" s="34"/>
      <c r="AH3" s="34"/>
      <c r="AI3" s="34"/>
      <c r="AJ3" s="34"/>
      <c r="AK3" s="34"/>
      <c r="AL3" s="141"/>
    </row>
    <row r="4" spans="1:38" ht="12.75" customHeight="1">
      <c r="A4" s="528"/>
      <c r="B4" s="34" t="s">
        <v>867</v>
      </c>
      <c r="C4" s="529"/>
      <c r="D4" s="529"/>
      <c r="E4" s="529"/>
      <c r="F4" s="529"/>
      <c r="G4" s="529"/>
      <c r="H4" s="529"/>
      <c r="I4" s="529"/>
      <c r="J4" s="529"/>
      <c r="K4" s="529"/>
      <c r="L4" s="529"/>
      <c r="M4" s="529"/>
      <c r="N4" s="529"/>
      <c r="O4" s="529"/>
      <c r="P4" s="529"/>
      <c r="Q4" s="529"/>
      <c r="R4" s="529"/>
      <c r="S4" s="531"/>
      <c r="T4" s="80"/>
      <c r="U4" s="34"/>
      <c r="V4" s="34"/>
      <c r="W4" s="34"/>
      <c r="X4" s="34"/>
      <c r="Y4" s="34"/>
      <c r="Z4" s="34"/>
      <c r="AA4" s="34"/>
      <c r="AB4" s="34"/>
      <c r="AC4" s="34"/>
      <c r="AD4" s="34"/>
      <c r="AE4" s="34"/>
      <c r="AF4" s="34"/>
      <c r="AG4" s="34"/>
      <c r="AH4" s="34"/>
      <c r="AI4" s="34"/>
      <c r="AJ4" s="34"/>
      <c r="AK4" s="34"/>
      <c r="AL4" s="141"/>
    </row>
    <row r="5" spans="1:38" ht="12.75" customHeight="1">
      <c r="A5" s="528"/>
      <c r="B5" s="34"/>
      <c r="C5" s="529"/>
      <c r="D5" s="529"/>
      <c r="E5" s="529"/>
      <c r="F5" s="529"/>
      <c r="G5" s="529"/>
      <c r="H5" s="529"/>
      <c r="I5" s="529"/>
      <c r="J5" s="529"/>
      <c r="K5" s="529"/>
      <c r="L5" s="529"/>
      <c r="M5" s="529"/>
      <c r="N5" s="529"/>
      <c r="O5" s="529"/>
      <c r="P5" s="529"/>
      <c r="Q5" s="529"/>
      <c r="R5" s="529"/>
      <c r="S5" s="531"/>
      <c r="T5" s="80"/>
      <c r="U5" s="34"/>
      <c r="V5" s="34"/>
      <c r="W5" s="34"/>
      <c r="X5" s="34"/>
      <c r="Y5" s="34"/>
      <c r="Z5" s="34"/>
      <c r="AA5" s="34"/>
      <c r="AB5" s="34"/>
      <c r="AC5" s="34"/>
      <c r="AD5" s="34"/>
      <c r="AE5" s="34"/>
      <c r="AF5" s="34"/>
      <c r="AG5" s="34"/>
      <c r="AH5" s="34"/>
      <c r="AI5" s="34"/>
      <c r="AJ5" s="34"/>
      <c r="AK5" s="34"/>
      <c r="AL5" s="141"/>
    </row>
    <row r="6" spans="1:38" ht="12.75" customHeight="1">
      <c r="A6" s="528"/>
      <c r="B6" s="529" t="s">
        <v>868</v>
      </c>
      <c r="C6" s="529"/>
      <c r="D6" s="529"/>
      <c r="E6" s="529"/>
      <c r="F6" s="529"/>
      <c r="G6" s="529"/>
      <c r="H6" s="529"/>
      <c r="I6" s="529"/>
      <c r="J6" s="529"/>
      <c r="K6" s="529"/>
      <c r="L6" s="529"/>
      <c r="M6" s="529"/>
      <c r="N6" s="529"/>
      <c r="O6" s="529"/>
      <c r="P6" s="529"/>
      <c r="Q6" s="529"/>
      <c r="R6" s="529"/>
      <c r="S6" s="531"/>
      <c r="T6" s="80"/>
      <c r="U6" s="34"/>
      <c r="V6" s="34"/>
      <c r="W6" s="34"/>
      <c r="X6" s="34"/>
      <c r="Y6" s="34"/>
      <c r="Z6" s="34"/>
      <c r="AA6" s="34"/>
      <c r="AB6" s="34"/>
      <c r="AC6" s="34"/>
      <c r="AD6" s="34"/>
      <c r="AE6" s="34"/>
      <c r="AF6" s="34"/>
      <c r="AG6" s="34"/>
      <c r="AH6" s="34"/>
      <c r="AI6" s="34"/>
      <c r="AJ6" s="34"/>
      <c r="AK6" s="34"/>
      <c r="AL6" s="141"/>
    </row>
    <row r="7" spans="1:38" ht="12.75" customHeight="1">
      <c r="A7" s="528"/>
      <c r="B7" s="34" t="s">
        <v>869</v>
      </c>
      <c r="C7" s="529"/>
      <c r="D7" s="529"/>
      <c r="E7" s="529"/>
      <c r="F7" s="529"/>
      <c r="G7" s="529"/>
      <c r="H7" s="529"/>
      <c r="I7" s="529"/>
      <c r="J7" s="529"/>
      <c r="K7" s="529"/>
      <c r="L7" s="529"/>
      <c r="M7" s="529"/>
      <c r="N7" s="529"/>
      <c r="O7" s="529"/>
      <c r="P7" s="529"/>
      <c r="Q7" s="529"/>
      <c r="R7" s="529"/>
      <c r="S7" s="531"/>
      <c r="T7" s="80"/>
      <c r="U7" s="34"/>
      <c r="V7" s="34"/>
      <c r="W7" s="34"/>
      <c r="X7" s="34"/>
      <c r="Y7" s="34"/>
      <c r="Z7" s="34"/>
      <c r="AA7" s="34"/>
      <c r="AB7" s="34"/>
      <c r="AC7" s="34"/>
      <c r="AD7" s="34"/>
      <c r="AE7" s="34"/>
      <c r="AF7" s="34"/>
      <c r="AG7" s="34"/>
      <c r="AH7" s="34"/>
      <c r="AI7" s="34"/>
      <c r="AJ7" s="34"/>
      <c r="AK7" s="34"/>
      <c r="AL7" s="141"/>
    </row>
    <row r="8" spans="1:38" ht="12.75" customHeight="1">
      <c r="A8" s="528"/>
      <c r="B8" s="34" t="s">
        <v>870</v>
      </c>
      <c r="C8" s="529"/>
      <c r="D8" s="529"/>
      <c r="E8" s="529"/>
      <c r="F8" s="529"/>
      <c r="G8" s="529"/>
      <c r="H8" s="529"/>
      <c r="I8" s="529"/>
      <c r="J8" s="529"/>
      <c r="K8" s="529"/>
      <c r="L8" s="529"/>
      <c r="M8" s="529"/>
      <c r="N8" s="529"/>
      <c r="O8" s="529"/>
      <c r="P8" s="529"/>
      <c r="Q8" s="529"/>
      <c r="R8" s="529"/>
      <c r="S8" s="531"/>
      <c r="T8" s="80"/>
      <c r="U8" s="34"/>
      <c r="V8" s="34"/>
      <c r="W8" s="34"/>
      <c r="X8" s="34"/>
      <c r="Y8" s="34"/>
      <c r="Z8" s="34"/>
      <c r="AA8" s="34"/>
      <c r="AB8" s="34"/>
      <c r="AC8" s="34"/>
      <c r="AD8" s="34"/>
      <c r="AE8" s="34"/>
      <c r="AF8" s="34"/>
      <c r="AG8" s="34"/>
      <c r="AH8" s="34"/>
      <c r="AI8" s="34"/>
      <c r="AJ8" s="34"/>
      <c r="AK8" s="34"/>
      <c r="AL8" s="141"/>
    </row>
    <row r="9" spans="1:38" ht="12.75" customHeight="1">
      <c r="A9" s="528"/>
      <c r="B9" s="34"/>
      <c r="C9" s="529"/>
      <c r="D9" s="529"/>
      <c r="E9" s="529"/>
      <c r="F9" s="529"/>
      <c r="G9" s="529"/>
      <c r="H9" s="529"/>
      <c r="I9" s="529"/>
      <c r="J9" s="529"/>
      <c r="K9" s="529"/>
      <c r="L9" s="529"/>
      <c r="M9" s="529"/>
      <c r="N9" s="529"/>
      <c r="O9" s="529"/>
      <c r="P9" s="529"/>
      <c r="Q9" s="529"/>
      <c r="R9" s="529"/>
      <c r="S9" s="531"/>
      <c r="T9" s="80"/>
      <c r="U9" s="34"/>
      <c r="V9" s="34"/>
      <c r="W9" s="34"/>
      <c r="X9" s="34"/>
      <c r="Y9" s="34"/>
      <c r="Z9" s="34"/>
      <c r="AA9" s="34"/>
      <c r="AB9" s="34"/>
      <c r="AC9" s="34"/>
      <c r="AD9" s="34"/>
      <c r="AE9" s="34"/>
      <c r="AF9" s="34"/>
      <c r="AG9" s="34"/>
      <c r="AH9" s="34"/>
      <c r="AI9" s="34"/>
      <c r="AJ9" s="34"/>
      <c r="AK9" s="34"/>
      <c r="AL9" s="141"/>
    </row>
    <row r="10" spans="1:38" ht="12.75" customHeight="1">
      <c r="A10" s="528"/>
      <c r="B10" s="529" t="s">
        <v>871</v>
      </c>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c r="AA10" s="34"/>
      <c r="AB10" s="34"/>
      <c r="AC10" s="34"/>
      <c r="AD10" s="34"/>
      <c r="AE10" s="34"/>
      <c r="AF10" s="34"/>
      <c r="AG10" s="34"/>
      <c r="AH10" s="34"/>
      <c r="AI10" s="34"/>
      <c r="AJ10" s="34"/>
      <c r="AK10" s="34"/>
      <c r="AL10" s="141"/>
    </row>
    <row r="11" spans="1:38" ht="12.75" customHeight="1">
      <c r="A11" s="528"/>
      <c r="B11" s="34" t="s">
        <v>872</v>
      </c>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c r="AA11" s="34"/>
      <c r="AB11" s="34"/>
      <c r="AC11" s="34"/>
      <c r="AD11" s="34"/>
      <c r="AE11" s="34"/>
      <c r="AF11" s="34"/>
      <c r="AG11" s="34"/>
      <c r="AH11" s="34"/>
      <c r="AI11" s="34"/>
      <c r="AJ11" s="34"/>
      <c r="AK11" s="34"/>
      <c r="AL11" s="141"/>
    </row>
    <row r="12" spans="1:38" ht="12.75" customHeight="1">
      <c r="A12" s="528"/>
      <c r="B12" s="529" t="s">
        <v>873</v>
      </c>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c r="AA12" s="34"/>
      <c r="AB12" s="34"/>
      <c r="AC12" s="34"/>
      <c r="AD12" s="34"/>
      <c r="AE12" s="34"/>
      <c r="AF12" s="34"/>
      <c r="AG12" s="34"/>
      <c r="AH12" s="34"/>
      <c r="AI12" s="34"/>
      <c r="AJ12" s="34"/>
      <c r="AK12" s="34"/>
      <c r="AL12" s="141"/>
    </row>
    <row r="13" spans="1:38" ht="12.75" customHeight="1">
      <c r="A13" s="528"/>
      <c r="B13" s="529" t="s">
        <v>874</v>
      </c>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c r="AA13" s="34"/>
      <c r="AB13" s="34"/>
      <c r="AC13" s="34"/>
      <c r="AD13" s="34"/>
      <c r="AE13" s="34"/>
      <c r="AF13" s="34"/>
      <c r="AG13" s="34"/>
      <c r="AH13" s="34"/>
      <c r="AI13" s="34"/>
      <c r="AJ13" s="34"/>
      <c r="AK13" s="34"/>
      <c r="AL13" s="141"/>
    </row>
    <row r="14" spans="1:38" ht="12.75" customHeight="1">
      <c r="A14" s="528"/>
      <c r="B14" s="529"/>
      <c r="C14" s="529"/>
      <c r="D14" s="529"/>
      <c r="E14" s="529"/>
      <c r="F14" s="529"/>
      <c r="G14" s="529"/>
      <c r="H14" s="529"/>
      <c r="I14" s="529"/>
      <c r="J14" s="529"/>
      <c r="K14" s="529"/>
      <c r="L14" s="529"/>
      <c r="M14" s="529"/>
      <c r="N14" s="529"/>
      <c r="O14" s="529"/>
      <c r="P14" s="529"/>
      <c r="Q14" s="529"/>
      <c r="R14" s="529"/>
      <c r="S14" s="531"/>
      <c r="T14" s="80"/>
      <c r="U14" s="34"/>
      <c r="V14" s="34"/>
      <c r="W14" s="34"/>
      <c r="X14" s="34"/>
      <c r="Y14" s="34"/>
      <c r="Z14" s="34"/>
      <c r="AA14" s="34"/>
      <c r="AB14" s="34"/>
      <c r="AC14" s="34"/>
      <c r="AD14" s="34"/>
      <c r="AE14" s="34"/>
      <c r="AF14" s="34"/>
      <c r="AG14" s="34"/>
      <c r="AH14" s="34"/>
      <c r="AI14" s="34"/>
      <c r="AJ14" s="34"/>
      <c r="AK14" s="34"/>
      <c r="AL14" s="141"/>
    </row>
    <row r="15" spans="1:38" ht="12.75" customHeight="1">
      <c r="A15" s="528"/>
      <c r="B15" s="529" t="s">
        <v>875</v>
      </c>
      <c r="C15" s="529"/>
      <c r="D15" s="529"/>
      <c r="E15" s="529"/>
      <c r="F15" s="529"/>
      <c r="G15" s="529"/>
      <c r="H15" s="529"/>
      <c r="I15" s="529"/>
      <c r="J15" s="529"/>
      <c r="K15" s="529"/>
      <c r="L15" s="529"/>
      <c r="M15" s="529"/>
      <c r="N15" s="529"/>
      <c r="O15" s="529"/>
      <c r="P15" s="529"/>
      <c r="Q15" s="529"/>
      <c r="R15" s="529"/>
      <c r="S15" s="531"/>
      <c r="T15" s="80"/>
      <c r="U15" s="34"/>
      <c r="V15" s="34"/>
      <c r="W15" s="34"/>
      <c r="X15" s="34"/>
      <c r="Y15" s="34"/>
      <c r="Z15" s="34"/>
      <c r="AA15" s="34"/>
      <c r="AB15" s="34"/>
      <c r="AC15" s="34"/>
      <c r="AD15" s="34"/>
      <c r="AE15" s="34"/>
      <c r="AF15" s="34"/>
      <c r="AG15" s="34"/>
      <c r="AH15" s="34"/>
      <c r="AI15" s="34"/>
      <c r="AJ15" s="34"/>
      <c r="AK15" s="34"/>
      <c r="AL15" s="141"/>
    </row>
    <row r="16" spans="1:38" ht="12.75" customHeight="1">
      <c r="A16" s="528"/>
      <c r="B16" s="34" t="s">
        <v>876</v>
      </c>
      <c r="C16" s="529"/>
      <c r="D16" s="529"/>
      <c r="E16" s="529"/>
      <c r="F16" s="529"/>
      <c r="G16" s="529"/>
      <c r="H16" s="529"/>
      <c r="I16" s="529"/>
      <c r="J16" s="529"/>
      <c r="K16" s="529"/>
      <c r="L16" s="529"/>
      <c r="M16" s="529"/>
      <c r="N16" s="529"/>
      <c r="O16" s="529"/>
      <c r="P16" s="529"/>
      <c r="Q16" s="529"/>
      <c r="R16" s="529"/>
      <c r="S16" s="531"/>
      <c r="T16" s="80"/>
      <c r="U16" s="34"/>
      <c r="V16" s="34"/>
      <c r="W16" s="34"/>
      <c r="X16" s="34"/>
      <c r="Y16" s="34"/>
      <c r="Z16" s="34"/>
      <c r="AA16" s="34"/>
      <c r="AB16" s="34"/>
      <c r="AC16" s="34"/>
      <c r="AD16" s="34"/>
      <c r="AE16" s="34"/>
      <c r="AF16" s="34"/>
      <c r="AG16" s="34"/>
      <c r="AH16" s="34"/>
      <c r="AI16" s="34"/>
      <c r="AJ16" s="34"/>
      <c r="AK16" s="34"/>
      <c r="AL16" s="141"/>
    </row>
    <row r="17" spans="1:38" ht="12.75" customHeight="1">
      <c r="A17" s="528"/>
      <c r="B17" s="34" t="s">
        <v>877</v>
      </c>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c r="AA17" s="34"/>
      <c r="AB17" s="34"/>
      <c r="AC17" s="34"/>
      <c r="AD17" s="34"/>
      <c r="AE17" s="34"/>
      <c r="AF17" s="34"/>
      <c r="AG17" s="34"/>
      <c r="AH17" s="34"/>
      <c r="AI17" s="34"/>
      <c r="AJ17" s="34"/>
      <c r="AK17" s="34"/>
      <c r="AL17" s="141"/>
    </row>
    <row r="18" spans="1:38" ht="12.75" customHeight="1">
      <c r="A18" s="528"/>
      <c r="B18" s="34" t="s">
        <v>878</v>
      </c>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c r="AA18" s="34"/>
      <c r="AB18" s="34"/>
      <c r="AC18" s="34"/>
      <c r="AD18" s="34"/>
      <c r="AE18" s="34"/>
      <c r="AF18" s="34"/>
      <c r="AG18" s="34"/>
      <c r="AH18" s="34"/>
      <c r="AI18" s="34"/>
      <c r="AJ18" s="34"/>
      <c r="AK18" s="34"/>
      <c r="AL18" s="141"/>
    </row>
    <row r="19" spans="1:38" ht="12.75" customHeight="1">
      <c r="A19" s="528"/>
      <c r="B19" s="34" t="s">
        <v>879</v>
      </c>
      <c r="C19" s="529"/>
      <c r="D19" s="529"/>
      <c r="E19" s="529"/>
      <c r="F19" s="529"/>
      <c r="G19" s="529"/>
      <c r="H19" s="529"/>
      <c r="I19" s="529"/>
      <c r="J19" s="529"/>
      <c r="K19" s="529"/>
      <c r="L19" s="529"/>
      <c r="M19" s="529"/>
      <c r="N19" s="529"/>
      <c r="O19" s="529"/>
      <c r="P19" s="529"/>
      <c r="Q19" s="529"/>
      <c r="R19" s="529"/>
      <c r="S19" s="531"/>
      <c r="T19" s="80"/>
      <c r="U19" s="34"/>
      <c r="V19" s="34"/>
      <c r="W19" s="34"/>
      <c r="X19" s="34"/>
      <c r="Y19" s="34"/>
      <c r="Z19" s="34"/>
      <c r="AA19" s="34"/>
      <c r="AB19" s="34"/>
      <c r="AC19" s="34"/>
      <c r="AD19" s="34"/>
      <c r="AE19" s="34"/>
      <c r="AF19" s="34"/>
      <c r="AG19" s="34"/>
      <c r="AH19" s="34"/>
      <c r="AI19" s="34"/>
      <c r="AJ19" s="34"/>
      <c r="AK19" s="34"/>
      <c r="AL19" s="141"/>
    </row>
    <row r="20" spans="1:38" ht="12.75" customHeight="1">
      <c r="A20" s="528"/>
      <c r="B20" s="529"/>
      <c r="C20" s="529"/>
      <c r="D20" s="529"/>
      <c r="E20" s="529"/>
      <c r="F20" s="529"/>
      <c r="G20" s="529"/>
      <c r="H20" s="529"/>
      <c r="I20" s="529"/>
      <c r="J20" s="529"/>
      <c r="K20" s="529"/>
      <c r="L20" s="529"/>
      <c r="M20" s="529"/>
      <c r="N20" s="529"/>
      <c r="O20" s="529"/>
      <c r="P20" s="529"/>
      <c r="Q20" s="529"/>
      <c r="R20" s="529"/>
      <c r="S20" s="531"/>
      <c r="T20" s="80"/>
      <c r="U20" s="34"/>
      <c r="V20" s="34"/>
      <c r="W20" s="34"/>
      <c r="X20" s="34"/>
      <c r="Y20" s="34"/>
      <c r="Z20" s="34"/>
      <c r="AA20" s="34"/>
      <c r="AB20" s="34"/>
      <c r="AC20" s="34"/>
      <c r="AD20" s="34"/>
      <c r="AE20" s="34"/>
      <c r="AF20" s="34"/>
      <c r="AG20" s="34"/>
      <c r="AH20" s="34"/>
      <c r="AI20" s="34"/>
      <c r="AJ20" s="34"/>
      <c r="AK20" s="34"/>
      <c r="AL20" s="141"/>
    </row>
    <row r="21" spans="1:38" ht="12.75" customHeight="1">
      <c r="A21" s="528"/>
      <c r="B21" s="529" t="s">
        <v>880</v>
      </c>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c r="AA21" s="34"/>
      <c r="AB21" s="34"/>
      <c r="AC21" s="34"/>
      <c r="AD21" s="34"/>
      <c r="AE21" s="34"/>
      <c r="AF21" s="34"/>
      <c r="AG21" s="34"/>
      <c r="AH21" s="34"/>
      <c r="AI21" s="34"/>
      <c r="AJ21" s="34"/>
      <c r="AK21" s="34"/>
      <c r="AL21" s="141"/>
    </row>
    <row r="22" spans="1:38" ht="12.75" customHeight="1">
      <c r="A22" s="528"/>
      <c r="B22" s="529"/>
      <c r="C22" s="529"/>
      <c r="D22" s="529"/>
      <c r="E22" s="529"/>
      <c r="F22" s="529"/>
      <c r="G22" s="529"/>
      <c r="H22" s="529"/>
      <c r="I22" s="529"/>
      <c r="J22" s="529"/>
      <c r="K22" s="529"/>
      <c r="L22" s="529"/>
      <c r="M22" s="529"/>
      <c r="N22" s="529"/>
      <c r="O22" s="529"/>
      <c r="P22" s="529"/>
      <c r="Q22" s="529"/>
      <c r="R22" s="529"/>
      <c r="S22" s="531"/>
      <c r="T22" s="80"/>
      <c r="U22" s="34"/>
      <c r="V22" s="34"/>
      <c r="W22" s="34"/>
      <c r="X22" s="34"/>
      <c r="Y22" s="34"/>
      <c r="Z22" s="34"/>
      <c r="AA22" s="34"/>
      <c r="AB22" s="34"/>
      <c r="AC22" s="34"/>
      <c r="AD22" s="34"/>
      <c r="AE22" s="34"/>
      <c r="AF22" s="34"/>
      <c r="AG22" s="34"/>
      <c r="AH22" s="34"/>
      <c r="AI22" s="34"/>
      <c r="AJ22" s="34"/>
      <c r="AK22" s="34"/>
      <c r="AL22" s="141"/>
    </row>
    <row r="23" spans="1:38" ht="12.75" customHeight="1">
      <c r="A23" s="528"/>
      <c r="B23" s="532"/>
      <c r="C23" s="529"/>
      <c r="D23" s="529"/>
      <c r="E23" s="529"/>
      <c r="F23" s="529"/>
      <c r="G23" s="529"/>
      <c r="H23" s="529"/>
      <c r="I23" s="529"/>
      <c r="J23" s="529"/>
      <c r="K23" s="529"/>
      <c r="L23" s="529"/>
      <c r="M23" s="529"/>
      <c r="N23" s="529"/>
      <c r="O23" s="529"/>
      <c r="P23" s="529"/>
      <c r="Q23" s="529"/>
      <c r="R23" s="529"/>
      <c r="S23" s="531"/>
      <c r="T23" s="80"/>
      <c r="U23" s="34"/>
      <c r="V23" s="34"/>
      <c r="W23" s="34"/>
      <c r="X23" s="34"/>
      <c r="Y23" s="34"/>
      <c r="Z23" s="34"/>
      <c r="AA23" s="34"/>
      <c r="AB23" s="34"/>
      <c r="AC23" s="34"/>
      <c r="AD23" s="34"/>
      <c r="AE23" s="34"/>
      <c r="AF23" s="34"/>
      <c r="AG23" s="34"/>
      <c r="AH23" s="34"/>
      <c r="AI23" s="34"/>
      <c r="AJ23" s="34"/>
      <c r="AK23" s="34"/>
      <c r="AL23" s="141"/>
    </row>
    <row r="24" spans="1:38" ht="12.75" customHeight="1">
      <c r="A24" s="528"/>
      <c r="B24" s="34"/>
      <c r="C24" s="529"/>
      <c r="D24" s="529"/>
      <c r="E24" s="529"/>
      <c r="F24" s="529"/>
      <c r="G24" s="529"/>
      <c r="H24" s="529"/>
      <c r="I24" s="529"/>
      <c r="J24" s="529"/>
      <c r="K24" s="529"/>
      <c r="L24" s="529"/>
      <c r="M24" s="529"/>
      <c r="N24" s="529"/>
      <c r="O24" s="529"/>
      <c r="P24" s="529"/>
      <c r="Q24" s="529"/>
      <c r="R24" s="529"/>
      <c r="S24" s="531"/>
      <c r="T24" s="80"/>
      <c r="U24" s="34"/>
      <c r="V24" s="34"/>
      <c r="W24" s="34"/>
      <c r="X24" s="34"/>
      <c r="Y24" s="34"/>
      <c r="Z24" s="34"/>
      <c r="AA24" s="34"/>
      <c r="AB24" s="34"/>
      <c r="AC24" s="34"/>
      <c r="AD24" s="34"/>
      <c r="AE24" s="34"/>
      <c r="AF24" s="34"/>
      <c r="AG24" s="34"/>
      <c r="AH24" s="34"/>
      <c r="AI24" s="34"/>
      <c r="AJ24" s="34"/>
      <c r="AK24" s="34"/>
      <c r="AL24" s="141"/>
    </row>
    <row r="25" spans="1:38" ht="12.75" customHeight="1">
      <c r="A25" s="528"/>
      <c r="B25" s="532"/>
      <c r="C25" s="529"/>
      <c r="D25" s="529"/>
      <c r="E25" s="529"/>
      <c r="F25" s="529"/>
      <c r="G25" s="529"/>
      <c r="H25" s="529"/>
      <c r="I25" s="529"/>
      <c r="J25" s="529"/>
      <c r="K25" s="529"/>
      <c r="L25" s="529"/>
      <c r="M25" s="529"/>
      <c r="N25" s="529"/>
      <c r="O25" s="529"/>
      <c r="P25" s="529"/>
      <c r="Q25" s="529"/>
      <c r="R25" s="529"/>
      <c r="S25" s="531"/>
      <c r="T25" s="80"/>
      <c r="U25" s="34"/>
      <c r="V25" s="34"/>
      <c r="W25" s="34"/>
      <c r="X25" s="34"/>
      <c r="Y25" s="34"/>
      <c r="Z25" s="34"/>
      <c r="AA25" s="34"/>
      <c r="AB25" s="34"/>
      <c r="AC25" s="34"/>
      <c r="AD25" s="34"/>
      <c r="AE25" s="34"/>
      <c r="AF25" s="34"/>
      <c r="AG25" s="34"/>
      <c r="AH25" s="34"/>
      <c r="AI25" s="34"/>
      <c r="AJ25" s="34"/>
      <c r="AK25" s="34"/>
      <c r="AL25" s="141"/>
    </row>
    <row r="26" spans="1:38" ht="12.75" customHeight="1">
      <c r="A26" s="528"/>
      <c r="B26" s="34"/>
      <c r="C26" s="529"/>
      <c r="D26" s="529"/>
      <c r="E26" s="529"/>
      <c r="F26" s="529"/>
      <c r="G26" s="529"/>
      <c r="H26" s="529"/>
      <c r="I26" s="529"/>
      <c r="J26" s="529"/>
      <c r="K26" s="529"/>
      <c r="L26" s="529"/>
      <c r="M26" s="529"/>
      <c r="N26" s="529"/>
      <c r="O26" s="529"/>
      <c r="P26" s="529"/>
      <c r="Q26" s="529"/>
      <c r="R26" s="529"/>
      <c r="S26" s="531"/>
      <c r="T26" s="80"/>
      <c r="U26" s="34"/>
      <c r="V26" s="34"/>
      <c r="W26" s="34"/>
      <c r="X26" s="34"/>
      <c r="Y26" s="34"/>
      <c r="Z26" s="34"/>
      <c r="AA26" s="34"/>
      <c r="AB26" s="34"/>
      <c r="AC26" s="34"/>
      <c r="AD26" s="34"/>
      <c r="AE26" s="34"/>
      <c r="AF26" s="34"/>
      <c r="AG26" s="34"/>
      <c r="AH26" s="34"/>
      <c r="AI26" s="34"/>
      <c r="AJ26" s="34"/>
      <c r="AK26" s="34"/>
      <c r="AL26" s="141"/>
    </row>
    <row r="27" spans="1:38" ht="12.75" customHeight="1">
      <c r="A27" s="528"/>
      <c r="B27" s="532"/>
      <c r="C27" s="529"/>
      <c r="D27" s="529"/>
      <c r="E27" s="529"/>
      <c r="F27" s="529"/>
      <c r="G27" s="529"/>
      <c r="H27" s="529"/>
      <c r="I27" s="529"/>
      <c r="J27" s="529"/>
      <c r="K27" s="529"/>
      <c r="L27" s="529"/>
      <c r="M27" s="529"/>
      <c r="N27" s="529"/>
      <c r="O27" s="529"/>
      <c r="P27" s="529"/>
      <c r="Q27" s="529"/>
      <c r="R27" s="529"/>
      <c r="S27" s="531"/>
      <c r="T27" s="80"/>
      <c r="U27" s="34"/>
      <c r="V27" s="34"/>
      <c r="W27" s="34"/>
      <c r="X27" s="34"/>
      <c r="Y27" s="34"/>
      <c r="Z27" s="34"/>
      <c r="AA27" s="34"/>
      <c r="AB27" s="34"/>
      <c r="AC27" s="34"/>
      <c r="AD27" s="34"/>
      <c r="AE27" s="34"/>
      <c r="AF27" s="34"/>
      <c r="AG27" s="34"/>
      <c r="AH27" s="34"/>
      <c r="AI27" s="34"/>
      <c r="AJ27" s="34"/>
      <c r="AK27" s="34"/>
      <c r="AL27" s="141"/>
    </row>
    <row r="28" spans="1:38" ht="12.75" customHeight="1">
      <c r="A28" s="528"/>
      <c r="B28" s="34"/>
      <c r="C28" s="529"/>
      <c r="D28" s="529"/>
      <c r="E28" s="529"/>
      <c r="F28" s="529"/>
      <c r="G28" s="529"/>
      <c r="H28" s="529"/>
      <c r="I28" s="529"/>
      <c r="J28" s="529"/>
      <c r="K28" s="529"/>
      <c r="L28" s="529"/>
      <c r="M28" s="529"/>
      <c r="N28" s="529"/>
      <c r="O28" s="529"/>
      <c r="P28" s="529"/>
      <c r="Q28" s="529"/>
      <c r="R28" s="529"/>
      <c r="S28" s="531"/>
      <c r="T28" s="80"/>
      <c r="U28" s="34"/>
      <c r="V28" s="34"/>
      <c r="W28" s="34"/>
      <c r="X28" s="34"/>
      <c r="Y28" s="34"/>
      <c r="Z28" s="34"/>
      <c r="AA28" s="34"/>
      <c r="AB28" s="34"/>
      <c r="AC28" s="34"/>
      <c r="AD28" s="34"/>
      <c r="AE28" s="34"/>
      <c r="AF28" s="34"/>
      <c r="AG28" s="34"/>
      <c r="AH28" s="34"/>
      <c r="AI28" s="34"/>
      <c r="AJ28" s="34"/>
      <c r="AK28" s="34"/>
      <c r="AL28" s="141"/>
    </row>
    <row r="29" spans="1:38" ht="12.75" customHeight="1">
      <c r="A29" s="528"/>
      <c r="B29" s="529"/>
      <c r="C29" s="529"/>
      <c r="D29" s="529"/>
      <c r="E29" s="529"/>
      <c r="F29" s="529"/>
      <c r="G29" s="529"/>
      <c r="H29" s="529"/>
      <c r="I29" s="529"/>
      <c r="J29" s="529"/>
      <c r="K29" s="529"/>
      <c r="L29" s="529"/>
      <c r="M29" s="529"/>
      <c r="N29" s="529"/>
      <c r="O29" s="529"/>
      <c r="P29" s="529"/>
      <c r="Q29" s="529"/>
      <c r="R29" s="529"/>
      <c r="S29" s="531"/>
      <c r="T29" s="80"/>
      <c r="U29" s="34"/>
      <c r="V29" s="34"/>
      <c r="W29" s="34"/>
      <c r="X29" s="34"/>
      <c r="Y29" s="34"/>
      <c r="Z29" s="34"/>
      <c r="AA29" s="34"/>
      <c r="AB29" s="34"/>
      <c r="AC29" s="34"/>
      <c r="AD29" s="34"/>
      <c r="AE29" s="34"/>
      <c r="AF29" s="34"/>
      <c r="AG29" s="34"/>
      <c r="AH29" s="34"/>
      <c r="AI29" s="34"/>
      <c r="AJ29" s="34"/>
      <c r="AK29" s="34"/>
      <c r="AL29" s="141"/>
    </row>
    <row r="30" spans="1:38" ht="12.75" customHeight="1">
      <c r="A30" s="528"/>
      <c r="B30" s="529"/>
      <c r="C30" s="529"/>
      <c r="D30" s="529"/>
      <c r="E30" s="529"/>
      <c r="F30" s="529"/>
      <c r="G30" s="529"/>
      <c r="H30" s="529"/>
      <c r="I30" s="529"/>
      <c r="J30" s="529"/>
      <c r="K30" s="529"/>
      <c r="L30" s="529"/>
      <c r="M30" s="529"/>
      <c r="N30" s="529"/>
      <c r="O30" s="529"/>
      <c r="P30" s="529"/>
      <c r="Q30" s="529"/>
      <c r="R30" s="529"/>
      <c r="S30" s="531"/>
      <c r="T30" s="80"/>
      <c r="U30" s="34"/>
      <c r="V30" s="34"/>
      <c r="W30" s="34"/>
      <c r="X30" s="34"/>
      <c r="Y30" s="34"/>
      <c r="Z30" s="34"/>
      <c r="AA30" s="34"/>
      <c r="AB30" s="34"/>
      <c r="AC30" s="34"/>
      <c r="AD30" s="34"/>
      <c r="AE30" s="34"/>
      <c r="AF30" s="34"/>
      <c r="AG30" s="34"/>
      <c r="AH30" s="34"/>
      <c r="AI30" s="34"/>
      <c r="AJ30" s="34"/>
      <c r="AK30" s="34"/>
      <c r="AL30" s="141"/>
    </row>
    <row r="31" spans="1:38" ht="12.75" customHeight="1">
      <c r="A31" s="528"/>
      <c r="B31" s="529"/>
      <c r="C31" s="529"/>
      <c r="D31" s="529"/>
      <c r="E31" s="529"/>
      <c r="F31" s="529"/>
      <c r="G31" s="529"/>
      <c r="H31" s="529"/>
      <c r="I31" s="529"/>
      <c r="J31" s="529"/>
      <c r="K31" s="529"/>
      <c r="L31" s="529"/>
      <c r="M31" s="529"/>
      <c r="N31" s="529"/>
      <c r="O31" s="529"/>
      <c r="P31" s="529"/>
      <c r="Q31" s="529"/>
      <c r="R31" s="529"/>
      <c r="S31" s="531"/>
      <c r="T31" s="80"/>
      <c r="U31" s="34"/>
      <c r="V31" s="34"/>
      <c r="W31" s="34"/>
      <c r="X31" s="34"/>
      <c r="Y31" s="34"/>
      <c r="Z31" s="34"/>
      <c r="AA31" s="34"/>
      <c r="AB31" s="34"/>
      <c r="AC31" s="34"/>
      <c r="AD31" s="34"/>
      <c r="AE31" s="34"/>
      <c r="AF31" s="34"/>
      <c r="AG31" s="34"/>
      <c r="AH31" s="34"/>
      <c r="AI31" s="34"/>
      <c r="AJ31" s="34"/>
      <c r="AK31" s="34"/>
      <c r="AL31" s="141"/>
    </row>
    <row r="32" spans="1:38" ht="12.75" customHeight="1">
      <c r="A32" s="528"/>
      <c r="B32" s="529"/>
      <c r="C32" s="529"/>
      <c r="D32" s="529"/>
      <c r="E32" s="529"/>
      <c r="F32" s="529"/>
      <c r="G32" s="529"/>
      <c r="H32" s="529"/>
      <c r="I32" s="529"/>
      <c r="J32" s="529"/>
      <c r="K32" s="529"/>
      <c r="L32" s="529"/>
      <c r="M32" s="529"/>
      <c r="N32" s="529"/>
      <c r="O32" s="529"/>
      <c r="P32" s="529"/>
      <c r="Q32" s="529"/>
      <c r="R32" s="529"/>
      <c r="S32" s="531"/>
      <c r="T32" s="80"/>
      <c r="U32" s="34"/>
      <c r="V32" s="34"/>
      <c r="W32" s="34"/>
      <c r="X32" s="34"/>
      <c r="Y32" s="34"/>
      <c r="Z32" s="34"/>
      <c r="AA32" s="34"/>
      <c r="AB32" s="34"/>
      <c r="AC32" s="34"/>
      <c r="AD32" s="34"/>
      <c r="AE32" s="34"/>
      <c r="AF32" s="34"/>
      <c r="AG32" s="34"/>
      <c r="AH32" s="34"/>
      <c r="AI32" s="34"/>
      <c r="AJ32" s="34"/>
      <c r="AK32" s="34"/>
      <c r="AL32" s="141"/>
    </row>
    <row r="33" spans="1:38"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c r="AA33" s="34"/>
      <c r="AB33" s="34"/>
      <c r="AC33" s="34"/>
      <c r="AD33" s="34"/>
      <c r="AE33" s="34"/>
      <c r="AF33" s="34"/>
      <c r="AG33" s="34"/>
      <c r="AH33" s="34"/>
      <c r="AI33" s="34"/>
      <c r="AJ33" s="34"/>
      <c r="AK33" s="34"/>
      <c r="AL33" s="141"/>
    </row>
    <row r="34" spans="1:38"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c r="AA34" s="34"/>
      <c r="AB34" s="34"/>
      <c r="AC34" s="34"/>
      <c r="AD34" s="34"/>
      <c r="AE34" s="34"/>
      <c r="AF34" s="34"/>
      <c r="AG34" s="34"/>
      <c r="AH34" s="34"/>
      <c r="AI34" s="34"/>
      <c r="AJ34" s="34"/>
      <c r="AK34" s="34"/>
      <c r="AL34" s="141"/>
    </row>
    <row r="35" spans="1:38"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c r="AA35" s="34"/>
      <c r="AB35" s="34"/>
      <c r="AC35" s="34"/>
      <c r="AD35" s="34"/>
      <c r="AE35" s="34"/>
      <c r="AF35" s="34"/>
      <c r="AG35" s="34"/>
      <c r="AH35" s="34"/>
      <c r="AI35" s="34"/>
      <c r="AJ35" s="34"/>
      <c r="AK35" s="34"/>
      <c r="AL35" s="141"/>
    </row>
    <row r="36" spans="1:38" ht="12.75" customHeight="1">
      <c r="A36" s="528"/>
      <c r="B36" s="529"/>
      <c r="C36" s="529"/>
      <c r="D36" s="529"/>
      <c r="E36" s="529"/>
      <c r="F36" s="529"/>
      <c r="G36" s="529"/>
      <c r="H36" s="529"/>
      <c r="I36" s="529"/>
      <c r="J36" s="529"/>
      <c r="K36" s="529"/>
      <c r="L36" s="529"/>
      <c r="M36" s="529"/>
      <c r="N36" s="529"/>
      <c r="O36" s="529"/>
      <c r="P36" s="529"/>
      <c r="Q36" s="529"/>
      <c r="R36" s="34"/>
      <c r="S36" s="531"/>
      <c r="T36" s="80"/>
      <c r="U36" s="34"/>
      <c r="V36" s="34"/>
      <c r="W36" s="34"/>
      <c r="X36" s="34"/>
      <c r="Y36" s="34"/>
      <c r="Z36" s="34"/>
      <c r="AA36" s="34"/>
      <c r="AB36" s="34"/>
      <c r="AC36" s="34"/>
      <c r="AD36" s="34"/>
      <c r="AE36" s="34"/>
      <c r="AF36" s="34"/>
      <c r="AG36" s="34"/>
      <c r="AH36" s="34"/>
      <c r="AI36" s="34"/>
      <c r="AJ36" s="34"/>
      <c r="AK36" s="34"/>
      <c r="AL36" s="141"/>
    </row>
    <row r="37" spans="1:38" ht="12.75" customHeight="1">
      <c r="A37" s="528"/>
      <c r="B37" s="529" t="s">
        <v>881</v>
      </c>
      <c r="C37" s="529"/>
      <c r="D37" s="529"/>
      <c r="E37" s="529"/>
      <c r="F37" s="529"/>
      <c r="G37" s="529"/>
      <c r="H37" s="529"/>
      <c r="I37" s="529"/>
      <c r="J37" s="529"/>
      <c r="K37" s="529"/>
      <c r="L37" s="529"/>
      <c r="M37" s="529"/>
      <c r="N37" s="529"/>
      <c r="O37" s="529"/>
      <c r="P37" s="529"/>
      <c r="Q37" s="529"/>
      <c r="R37" s="529"/>
      <c r="S37" s="531"/>
      <c r="T37" s="80"/>
      <c r="U37" s="533"/>
      <c r="V37" s="533"/>
      <c r="W37" s="533"/>
      <c r="X37" s="533"/>
      <c r="Y37" s="533"/>
      <c r="Z37" s="533"/>
      <c r="AA37" s="533"/>
      <c r="AB37" s="533"/>
      <c r="AC37" s="533"/>
      <c r="AD37" s="533"/>
      <c r="AE37" s="533"/>
      <c r="AF37" s="533"/>
      <c r="AG37" s="533"/>
      <c r="AH37" s="533"/>
      <c r="AI37" s="533"/>
      <c r="AJ37" s="533"/>
      <c r="AK37" s="533"/>
      <c r="AL37" s="141"/>
    </row>
    <row r="38" spans="1:38" ht="12.75" customHeight="1">
      <c r="A38" s="528"/>
      <c r="B38" s="529"/>
      <c r="C38" s="529"/>
      <c r="D38" s="529"/>
      <c r="E38" s="529"/>
      <c r="F38" s="529"/>
      <c r="G38" s="529"/>
      <c r="H38" s="529"/>
      <c r="I38" s="529"/>
      <c r="J38" s="529"/>
      <c r="K38" s="529"/>
      <c r="L38" s="529"/>
      <c r="M38" s="529"/>
      <c r="N38" s="529"/>
      <c r="O38" s="529"/>
      <c r="P38" s="529"/>
      <c r="Q38" s="529"/>
      <c r="R38" s="529"/>
      <c r="S38" s="531"/>
      <c r="T38" s="80"/>
      <c r="U38" s="34"/>
      <c r="V38" s="34"/>
      <c r="W38" s="34"/>
      <c r="X38" s="34"/>
      <c r="Y38" s="34"/>
      <c r="Z38" s="34"/>
      <c r="AA38" s="34"/>
      <c r="AB38" s="34"/>
      <c r="AC38" s="34"/>
      <c r="AD38" s="34"/>
      <c r="AE38" s="34"/>
      <c r="AF38" s="34"/>
      <c r="AG38" s="34"/>
      <c r="AH38" s="34"/>
      <c r="AI38" s="34"/>
      <c r="AJ38" s="34"/>
      <c r="AK38" s="34"/>
      <c r="AL38" s="141"/>
    </row>
    <row r="39" spans="1:38"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c r="AA39" s="34"/>
      <c r="AB39" s="34"/>
      <c r="AC39" s="34"/>
      <c r="AD39" s="34"/>
      <c r="AE39" s="34"/>
      <c r="AF39" s="34"/>
      <c r="AG39" s="34"/>
      <c r="AH39" s="34"/>
      <c r="AI39" s="34"/>
      <c r="AJ39" s="34"/>
      <c r="AK39" s="34"/>
      <c r="AL39" s="141"/>
    </row>
    <row r="40" spans="1:38" ht="12.75" customHeight="1">
      <c r="A40" s="528"/>
      <c r="B40" s="529"/>
      <c r="C40" s="529"/>
      <c r="D40" s="529"/>
      <c r="E40" s="529"/>
      <c r="F40" s="529"/>
      <c r="G40" s="529"/>
      <c r="H40" s="529"/>
      <c r="I40" s="529"/>
      <c r="J40" s="529"/>
      <c r="K40" s="529"/>
      <c r="L40" s="529"/>
      <c r="M40" s="529"/>
      <c r="N40" s="529"/>
      <c r="O40" s="529"/>
      <c r="P40" s="529"/>
      <c r="Q40" s="529"/>
      <c r="R40" s="529"/>
      <c r="S40" s="531"/>
      <c r="T40" s="80"/>
      <c r="U40" s="34"/>
      <c r="V40" s="34"/>
      <c r="W40" s="34"/>
      <c r="X40" s="34"/>
      <c r="Y40" s="34"/>
      <c r="Z40" s="34"/>
      <c r="AA40" s="34"/>
      <c r="AB40" s="34"/>
      <c r="AC40" s="34"/>
      <c r="AD40" s="34"/>
      <c r="AE40" s="34"/>
      <c r="AF40" s="34"/>
      <c r="AG40" s="34"/>
      <c r="AH40" s="34"/>
      <c r="AI40" s="34"/>
      <c r="AJ40" s="34"/>
      <c r="AK40" s="34"/>
      <c r="AL40" s="141"/>
    </row>
    <row r="41" spans="1:38"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c r="AA41" s="34"/>
      <c r="AB41" s="34"/>
      <c r="AC41" s="34"/>
      <c r="AD41" s="34"/>
      <c r="AE41" s="34"/>
      <c r="AF41" s="34"/>
      <c r="AG41" s="34"/>
      <c r="AH41" s="34"/>
      <c r="AI41" s="34"/>
      <c r="AJ41" s="34"/>
      <c r="AK41" s="34"/>
      <c r="AL41" s="141"/>
    </row>
    <row r="42" spans="1:38" ht="12.75" customHeight="1">
      <c r="A42" s="528"/>
      <c r="B42" s="529"/>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c r="AA42" s="34"/>
      <c r="AB42" s="34"/>
      <c r="AC42" s="34"/>
      <c r="AD42" s="34"/>
      <c r="AE42" s="34"/>
      <c r="AF42" s="34"/>
      <c r="AG42" s="34"/>
      <c r="AH42" s="34"/>
      <c r="AI42" s="34"/>
      <c r="AJ42" s="34"/>
      <c r="AK42" s="34"/>
      <c r="AL42" s="141"/>
    </row>
    <row r="43" spans="1:38" ht="12.75" customHeight="1">
      <c r="A43" s="528"/>
      <c r="B43" s="529"/>
      <c r="C43" s="529"/>
      <c r="D43" s="529"/>
      <c r="E43" s="529"/>
      <c r="F43" s="529"/>
      <c r="G43" s="529"/>
      <c r="H43" s="529"/>
      <c r="I43" s="529"/>
      <c r="J43" s="529"/>
      <c r="K43" s="529"/>
      <c r="L43" s="529"/>
      <c r="M43" s="529"/>
      <c r="N43" s="529"/>
      <c r="O43" s="529"/>
      <c r="P43" s="529"/>
      <c r="Q43" s="529"/>
      <c r="R43" s="529"/>
      <c r="S43" s="531"/>
      <c r="T43" s="80"/>
      <c r="U43" s="34"/>
      <c r="V43" s="34"/>
      <c r="W43" s="34"/>
      <c r="X43" s="34"/>
      <c r="Y43" s="34"/>
      <c r="Z43" s="34"/>
      <c r="AA43" s="34"/>
      <c r="AB43" s="34"/>
      <c r="AC43" s="34"/>
      <c r="AD43" s="34"/>
      <c r="AE43" s="34"/>
      <c r="AF43" s="34"/>
      <c r="AG43" s="34"/>
      <c r="AH43" s="34"/>
      <c r="AI43" s="34"/>
      <c r="AJ43" s="34"/>
      <c r="AK43" s="34"/>
      <c r="AL43" s="141"/>
    </row>
    <row r="44" spans="1:38" ht="12.75" customHeight="1">
      <c r="A44" s="528"/>
      <c r="B44" s="529"/>
      <c r="C44" s="529"/>
      <c r="D44" s="529"/>
      <c r="E44" s="529"/>
      <c r="F44" s="529"/>
      <c r="G44" s="529"/>
      <c r="H44" s="529"/>
      <c r="I44" s="529"/>
      <c r="J44" s="529"/>
      <c r="K44" s="529"/>
      <c r="L44" s="529"/>
      <c r="M44" s="529"/>
      <c r="N44" s="529"/>
      <c r="O44" s="529"/>
      <c r="P44" s="529"/>
      <c r="Q44" s="529"/>
      <c r="R44" s="529"/>
      <c r="S44" s="531"/>
      <c r="T44" s="80"/>
      <c r="U44" s="34"/>
      <c r="V44" s="34"/>
      <c r="W44" s="34"/>
      <c r="X44" s="34"/>
      <c r="Y44" s="34"/>
      <c r="Z44" s="34"/>
      <c r="AA44" s="34"/>
      <c r="AB44" s="34"/>
      <c r="AC44" s="34"/>
      <c r="AD44" s="34"/>
      <c r="AE44" s="34"/>
      <c r="AF44" s="34"/>
      <c r="AG44" s="34"/>
      <c r="AH44" s="34"/>
      <c r="AI44" s="34"/>
      <c r="AJ44" s="34"/>
      <c r="AK44" s="34"/>
      <c r="AL44" s="141"/>
    </row>
    <row r="45" spans="1:38" ht="12.75" customHeight="1">
      <c r="A45" s="528"/>
      <c r="B45" s="529"/>
      <c r="C45" s="529"/>
      <c r="D45" s="529"/>
      <c r="E45" s="529"/>
      <c r="F45" s="529"/>
      <c r="G45" s="529"/>
      <c r="H45" s="529"/>
      <c r="I45" s="529"/>
      <c r="J45" s="529"/>
      <c r="K45" s="529"/>
      <c r="L45" s="529"/>
      <c r="M45" s="529"/>
      <c r="N45" s="529"/>
      <c r="O45" s="529"/>
      <c r="P45" s="529"/>
      <c r="Q45" s="529"/>
      <c r="R45" s="529"/>
      <c r="S45" s="531"/>
      <c r="T45" s="80"/>
      <c r="U45" s="34"/>
      <c r="V45" s="39"/>
      <c r="W45" s="34"/>
      <c r="X45" s="34"/>
      <c r="Y45" s="34"/>
      <c r="Z45" s="34"/>
      <c r="AA45" s="34"/>
      <c r="AB45" s="34"/>
      <c r="AC45" s="34"/>
      <c r="AD45" s="34"/>
      <c r="AE45" s="34"/>
      <c r="AF45" s="34"/>
      <c r="AG45" s="34"/>
      <c r="AH45" s="34"/>
      <c r="AI45" s="34"/>
      <c r="AJ45" s="34"/>
      <c r="AK45" s="34"/>
      <c r="AL45" s="141"/>
    </row>
    <row r="46" spans="1:38" ht="12.75" customHeight="1">
      <c r="A46" s="528"/>
      <c r="B46" s="529"/>
      <c r="C46" s="529"/>
      <c r="D46" s="529"/>
      <c r="E46" s="529"/>
      <c r="F46" s="529"/>
      <c r="G46" s="529"/>
      <c r="H46" s="529"/>
      <c r="I46" s="529"/>
      <c r="J46" s="529"/>
      <c r="K46" s="529"/>
      <c r="L46" s="529"/>
      <c r="M46" s="529"/>
      <c r="N46" s="529"/>
      <c r="O46" s="529"/>
      <c r="P46" s="529"/>
      <c r="Q46" s="529"/>
      <c r="R46" s="529"/>
      <c r="S46" s="531"/>
      <c r="T46" s="80"/>
      <c r="U46" s="34"/>
      <c r="V46" s="34"/>
      <c r="W46" s="34"/>
      <c r="X46" s="34"/>
      <c r="Y46" s="34"/>
      <c r="Z46" s="34"/>
      <c r="AA46" s="34"/>
      <c r="AB46" s="34"/>
      <c r="AC46" s="34"/>
      <c r="AD46" s="34"/>
      <c r="AE46" s="34"/>
      <c r="AF46" s="34"/>
      <c r="AG46" s="34"/>
      <c r="AH46" s="34"/>
      <c r="AI46" s="34"/>
      <c r="AJ46" s="34"/>
      <c r="AK46" s="34"/>
      <c r="AL46" s="141"/>
    </row>
    <row r="47" spans="1:38"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c r="AA47" s="34"/>
      <c r="AB47" s="34"/>
      <c r="AC47" s="34"/>
      <c r="AD47" s="34"/>
      <c r="AE47" s="34"/>
      <c r="AF47" s="34"/>
      <c r="AG47" s="34"/>
      <c r="AH47" s="34"/>
      <c r="AI47" s="34"/>
      <c r="AJ47" s="34"/>
      <c r="AK47" s="34"/>
      <c r="AL47" s="141"/>
    </row>
    <row r="48" spans="1:38"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c r="AA48" s="34"/>
      <c r="AB48" s="34"/>
      <c r="AC48" s="34"/>
      <c r="AD48" s="34"/>
      <c r="AE48" s="34"/>
      <c r="AF48" s="34"/>
      <c r="AG48" s="34"/>
      <c r="AH48" s="34"/>
      <c r="AI48" s="34"/>
      <c r="AJ48" s="34"/>
      <c r="AK48" s="34"/>
      <c r="AL48" s="141"/>
    </row>
    <row r="49" spans="1:38" ht="12.75" customHeight="1">
      <c r="A49" s="528"/>
      <c r="B49" s="529"/>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c r="AA49" s="34"/>
      <c r="AB49" s="34"/>
      <c r="AC49" s="34"/>
      <c r="AD49" s="34"/>
      <c r="AE49" s="34"/>
      <c r="AF49" s="34"/>
      <c r="AG49" s="34"/>
      <c r="AH49" s="34"/>
      <c r="AI49" s="34"/>
      <c r="AJ49" s="34"/>
      <c r="AK49" s="34"/>
      <c r="AL49" s="141"/>
    </row>
    <row r="50" spans="1:38" ht="12.75" customHeight="1">
      <c r="A50" s="528"/>
      <c r="B50" s="529"/>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c r="AA50" s="34"/>
      <c r="AB50" s="34"/>
      <c r="AC50" s="34"/>
      <c r="AD50" s="34"/>
      <c r="AE50" s="34"/>
      <c r="AF50" s="34"/>
      <c r="AG50" s="34"/>
      <c r="AH50" s="34"/>
      <c r="AI50" s="34"/>
      <c r="AJ50" s="34"/>
      <c r="AK50" s="34"/>
      <c r="AL50" s="141"/>
    </row>
    <row r="51" spans="1:38"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c r="AA51" s="34"/>
      <c r="AB51" s="34"/>
      <c r="AC51" s="34"/>
      <c r="AD51" s="34"/>
      <c r="AE51" s="34"/>
      <c r="AF51" s="34"/>
      <c r="AG51" s="34"/>
      <c r="AH51" s="34"/>
      <c r="AI51" s="34"/>
      <c r="AJ51" s="34"/>
      <c r="AK51" s="34"/>
      <c r="AL51" s="141"/>
    </row>
    <row r="52" spans="1:38" ht="12.75" customHeight="1">
      <c r="A52" s="528"/>
      <c r="B52" s="529"/>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c r="AA52" s="34"/>
      <c r="AB52" s="34"/>
      <c r="AC52" s="34"/>
      <c r="AD52" s="34"/>
      <c r="AE52" s="34"/>
      <c r="AF52" s="34"/>
      <c r="AG52" s="34"/>
      <c r="AH52" s="34"/>
      <c r="AI52" s="34"/>
      <c r="AJ52" s="34"/>
      <c r="AK52" s="34"/>
      <c r="AL52" s="141"/>
    </row>
    <row r="53" spans="1:38" ht="12.75" customHeight="1">
      <c r="A53" s="528"/>
      <c r="B53" s="529"/>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c r="AA53" s="34"/>
      <c r="AB53" s="34"/>
      <c r="AC53" s="34"/>
      <c r="AD53" s="34"/>
      <c r="AE53" s="34"/>
      <c r="AF53" s="34"/>
      <c r="AG53" s="34"/>
      <c r="AH53" s="34"/>
      <c r="AI53" s="34"/>
      <c r="AJ53" s="34"/>
      <c r="AK53" s="34"/>
      <c r="AL53" s="141"/>
    </row>
    <row r="54" spans="1:38" ht="12.75" customHeight="1">
      <c r="A54" s="528"/>
      <c r="B54" s="529"/>
      <c r="C54" s="529"/>
      <c r="D54" s="529"/>
      <c r="E54" s="529"/>
      <c r="F54" s="529"/>
      <c r="G54" s="529"/>
      <c r="H54" s="529"/>
      <c r="I54" s="529"/>
      <c r="J54" s="529"/>
      <c r="K54" s="529"/>
      <c r="L54" s="529"/>
      <c r="M54" s="529"/>
      <c r="N54" s="529"/>
      <c r="O54" s="529"/>
      <c r="P54" s="529"/>
      <c r="Q54" s="529"/>
      <c r="R54" s="529"/>
      <c r="S54" s="531"/>
      <c r="T54" s="80"/>
      <c r="U54" s="34"/>
      <c r="V54" s="34"/>
      <c r="W54" s="34"/>
      <c r="X54" s="34"/>
      <c r="Y54" s="34"/>
      <c r="Z54" s="34"/>
      <c r="AA54" s="34"/>
      <c r="AB54" s="34"/>
      <c r="AC54" s="34"/>
      <c r="AD54" s="34"/>
      <c r="AE54" s="34"/>
      <c r="AF54" s="34"/>
      <c r="AG54" s="34"/>
      <c r="AH54" s="34"/>
      <c r="AI54" s="34"/>
      <c r="AJ54" s="34"/>
      <c r="AK54" s="34"/>
      <c r="AL54" s="141"/>
    </row>
    <row r="55" spans="1:38" ht="12.75" customHeight="1">
      <c r="A55" s="528"/>
      <c r="B55" s="529"/>
      <c r="C55" s="529"/>
      <c r="D55" s="529"/>
      <c r="E55" s="529"/>
      <c r="F55" s="529"/>
      <c r="G55" s="529"/>
      <c r="H55" s="529"/>
      <c r="I55" s="529"/>
      <c r="J55" s="529"/>
      <c r="K55" s="529"/>
      <c r="L55" s="529"/>
      <c r="M55" s="529"/>
      <c r="N55" s="529"/>
      <c r="O55" s="529"/>
      <c r="P55" s="529"/>
      <c r="Q55" s="529"/>
      <c r="R55" s="529"/>
      <c r="S55" s="531"/>
      <c r="T55" s="80"/>
      <c r="U55" s="34"/>
      <c r="V55" s="34"/>
      <c r="W55" s="34"/>
      <c r="X55" s="34"/>
      <c r="Y55" s="34"/>
      <c r="Z55" s="34"/>
      <c r="AA55" s="34"/>
      <c r="AB55" s="34"/>
      <c r="AC55" s="34"/>
      <c r="AD55" s="34"/>
      <c r="AE55" s="34"/>
      <c r="AF55" s="34"/>
      <c r="AG55" s="34"/>
      <c r="AH55" s="34"/>
      <c r="AI55" s="34"/>
      <c r="AJ55" s="34"/>
      <c r="AK55" s="34"/>
      <c r="AL55" s="141"/>
    </row>
    <row r="56" spans="1:38" ht="12.75" customHeight="1">
      <c r="A56" s="528"/>
      <c r="B56" s="529"/>
      <c r="C56" s="529"/>
      <c r="D56" s="529"/>
      <c r="E56" s="529"/>
      <c r="F56" s="529"/>
      <c r="G56" s="529"/>
      <c r="H56" s="529"/>
      <c r="I56" s="529"/>
      <c r="J56" s="529"/>
      <c r="K56" s="529"/>
      <c r="L56" s="529"/>
      <c r="M56" s="529"/>
      <c r="N56" s="529"/>
      <c r="O56" s="529"/>
      <c r="P56" s="529"/>
      <c r="Q56" s="529"/>
      <c r="R56" s="529"/>
      <c r="S56" s="531"/>
      <c r="T56" s="80"/>
      <c r="U56" s="34"/>
      <c r="V56" s="34"/>
      <c r="W56" s="34"/>
      <c r="X56" s="34"/>
      <c r="Y56" s="34"/>
      <c r="Z56" s="34"/>
      <c r="AA56" s="34"/>
      <c r="AB56" s="34"/>
      <c r="AC56" s="34"/>
      <c r="AD56" s="34"/>
      <c r="AE56" s="34"/>
      <c r="AF56" s="34"/>
      <c r="AG56" s="34"/>
      <c r="AH56" s="34"/>
      <c r="AI56" s="34"/>
      <c r="AJ56" s="34"/>
      <c r="AK56" s="34"/>
      <c r="AL56" s="141"/>
    </row>
    <row r="57" spans="1:38" ht="12.75" customHeight="1">
      <c r="A57" s="528"/>
      <c r="B57" s="529"/>
      <c r="C57" s="529"/>
      <c r="D57" s="529"/>
      <c r="E57" s="529"/>
      <c r="F57" s="529"/>
      <c r="G57" s="529"/>
      <c r="H57" s="529"/>
      <c r="I57" s="529"/>
      <c r="J57" s="529"/>
      <c r="K57" s="529"/>
      <c r="L57" s="529"/>
      <c r="M57" s="529"/>
      <c r="N57" s="529"/>
      <c r="O57" s="529"/>
      <c r="P57" s="529"/>
      <c r="Q57" s="529"/>
      <c r="R57" s="529"/>
      <c r="S57" s="531"/>
      <c r="T57" s="80"/>
      <c r="U57" s="34"/>
      <c r="V57" s="34"/>
      <c r="W57" s="34"/>
      <c r="X57" s="34"/>
      <c r="Y57" s="34"/>
      <c r="Z57" s="34"/>
      <c r="AA57" s="34"/>
      <c r="AB57" s="34"/>
      <c r="AC57" s="34"/>
      <c r="AD57" s="34"/>
      <c r="AE57" s="34"/>
      <c r="AF57" s="34"/>
      <c r="AG57" s="34"/>
      <c r="AH57" s="34"/>
      <c r="AI57" s="34"/>
      <c r="AJ57" s="34"/>
      <c r="AK57" s="34"/>
      <c r="AL57" s="141"/>
    </row>
    <row r="58" spans="1:38" ht="12.75" customHeight="1">
      <c r="A58" s="528"/>
      <c r="B58" s="529"/>
      <c r="C58" s="529"/>
      <c r="D58" s="529"/>
      <c r="E58" s="529"/>
      <c r="F58" s="529"/>
      <c r="G58" s="529"/>
      <c r="H58" s="529"/>
      <c r="I58" s="529"/>
      <c r="J58" s="529"/>
      <c r="K58" s="529"/>
      <c r="L58" s="529"/>
      <c r="M58" s="529"/>
      <c r="N58" s="529"/>
      <c r="O58" s="529"/>
      <c r="P58" s="529"/>
      <c r="Q58" s="529"/>
      <c r="R58" s="529"/>
      <c r="S58" s="531"/>
      <c r="T58" s="80"/>
      <c r="U58" s="34"/>
      <c r="V58" s="34"/>
      <c r="W58" s="34"/>
      <c r="X58" s="34"/>
      <c r="Y58" s="34"/>
      <c r="Z58" s="34"/>
      <c r="AA58" s="34"/>
      <c r="AB58" s="34"/>
      <c r="AC58" s="34"/>
      <c r="AD58" s="34"/>
      <c r="AE58" s="34"/>
      <c r="AF58" s="34"/>
      <c r="AG58" s="34"/>
      <c r="AH58" s="34"/>
      <c r="AI58" s="34"/>
      <c r="AJ58" s="34"/>
      <c r="AK58" s="34"/>
      <c r="AL58" s="141"/>
    </row>
    <row r="59" spans="1:38" ht="12.75" customHeight="1">
      <c r="A59" s="528"/>
      <c r="B59" s="529"/>
      <c r="C59" s="529"/>
      <c r="D59" s="529"/>
      <c r="E59" s="529"/>
      <c r="F59" s="529"/>
      <c r="G59" s="529"/>
      <c r="H59" s="529"/>
      <c r="I59" s="529"/>
      <c r="J59" s="529"/>
      <c r="K59" s="529"/>
      <c r="L59" s="529"/>
      <c r="M59" s="529"/>
      <c r="N59" s="529"/>
      <c r="O59" s="529"/>
      <c r="P59" s="529"/>
      <c r="Q59" s="529"/>
      <c r="R59" s="529"/>
      <c r="S59" s="531"/>
      <c r="T59" s="80"/>
      <c r="U59" s="34"/>
      <c r="V59" s="34"/>
      <c r="W59" s="34"/>
      <c r="X59" s="34"/>
      <c r="Y59" s="34"/>
      <c r="Z59" s="34"/>
      <c r="AA59" s="34"/>
      <c r="AB59" s="34"/>
      <c r="AC59" s="34"/>
      <c r="AD59" s="34"/>
      <c r="AE59" s="34"/>
      <c r="AF59" s="34"/>
      <c r="AG59" s="34"/>
      <c r="AH59" s="34"/>
      <c r="AI59" s="34"/>
      <c r="AJ59" s="34"/>
      <c r="AK59" s="34"/>
      <c r="AL59" s="141"/>
    </row>
    <row r="60" spans="1:38" ht="12.75" customHeight="1">
      <c r="A60" s="528"/>
      <c r="B60" s="529"/>
      <c r="C60" s="529"/>
      <c r="D60" s="529"/>
      <c r="E60" s="529"/>
      <c r="F60" s="529"/>
      <c r="G60" s="529"/>
      <c r="H60" s="529"/>
      <c r="I60" s="529"/>
      <c r="J60" s="529"/>
      <c r="K60" s="529"/>
      <c r="L60" s="529"/>
      <c r="M60" s="529"/>
      <c r="N60" s="529"/>
      <c r="O60" s="529"/>
      <c r="P60" s="529"/>
      <c r="Q60" s="529"/>
      <c r="R60" s="529"/>
      <c r="S60" s="531"/>
      <c r="T60" s="80"/>
      <c r="U60" s="34"/>
      <c r="V60" s="34"/>
      <c r="W60" s="34"/>
      <c r="X60" s="34"/>
      <c r="Y60" s="34"/>
      <c r="Z60" s="34"/>
      <c r="AA60" s="34"/>
      <c r="AB60" s="34"/>
      <c r="AC60" s="34"/>
      <c r="AD60" s="34"/>
      <c r="AE60" s="34"/>
      <c r="AF60" s="34"/>
      <c r="AG60" s="34"/>
      <c r="AH60" s="34"/>
      <c r="AI60" s="34"/>
      <c r="AJ60" s="34"/>
      <c r="AK60" s="34"/>
      <c r="AL60" s="141"/>
    </row>
    <row r="61" spans="1:38" ht="12.75" customHeight="1">
      <c r="A61" s="528"/>
      <c r="B61" s="529"/>
      <c r="C61" s="529"/>
      <c r="D61" s="529"/>
      <c r="E61" s="529"/>
      <c r="F61" s="529"/>
      <c r="G61" s="529"/>
      <c r="H61" s="529"/>
      <c r="I61" s="529"/>
      <c r="J61" s="529"/>
      <c r="K61" s="529"/>
      <c r="L61" s="529"/>
      <c r="M61" s="529"/>
      <c r="N61" s="529"/>
      <c r="O61" s="529"/>
      <c r="P61" s="529"/>
      <c r="Q61" s="529"/>
      <c r="R61" s="529"/>
      <c r="S61" s="531"/>
      <c r="T61" s="80"/>
      <c r="U61" s="34"/>
      <c r="V61" s="34"/>
      <c r="W61" s="34"/>
      <c r="X61" s="34"/>
      <c r="Y61" s="34"/>
      <c r="Z61" s="34"/>
      <c r="AA61" s="34"/>
      <c r="AB61" s="34"/>
      <c r="AC61" s="34"/>
      <c r="AD61" s="34"/>
      <c r="AE61" s="34"/>
      <c r="AF61" s="34"/>
      <c r="AG61" s="34"/>
      <c r="AH61" s="34"/>
      <c r="AI61" s="34"/>
      <c r="AJ61" s="34"/>
      <c r="AK61" s="34"/>
      <c r="AL61" s="141"/>
    </row>
    <row r="62" spans="1:38" ht="12.75" customHeight="1">
      <c r="A62" s="528"/>
      <c r="B62" s="529"/>
      <c r="C62" s="529"/>
      <c r="D62" s="529"/>
      <c r="E62" s="529"/>
      <c r="F62" s="529"/>
      <c r="G62" s="529"/>
      <c r="H62" s="529"/>
      <c r="I62" s="529"/>
      <c r="J62" s="529"/>
      <c r="K62" s="529"/>
      <c r="L62" s="529"/>
      <c r="M62" s="529"/>
      <c r="N62" s="529"/>
      <c r="O62" s="529"/>
      <c r="P62" s="529"/>
      <c r="Q62" s="529"/>
      <c r="R62" s="529"/>
      <c r="S62" s="531"/>
      <c r="T62" s="80"/>
      <c r="U62" s="34"/>
      <c r="V62" s="34"/>
      <c r="W62" s="34"/>
      <c r="X62" s="34"/>
      <c r="Y62" s="34"/>
      <c r="Z62" s="34"/>
      <c r="AA62" s="34"/>
      <c r="AB62" s="34"/>
      <c r="AC62" s="34"/>
      <c r="AD62" s="34"/>
      <c r="AE62" s="34"/>
      <c r="AF62" s="34"/>
      <c r="AG62" s="34"/>
      <c r="AH62" s="34"/>
      <c r="AI62" s="34"/>
      <c r="AJ62" s="34"/>
      <c r="AK62" s="34"/>
      <c r="AL62" s="141"/>
    </row>
    <row r="63" spans="1:38" ht="12.75" customHeight="1">
      <c r="A63" s="528"/>
      <c r="B63" s="529"/>
      <c r="C63" s="529"/>
      <c r="D63" s="529"/>
      <c r="E63" s="529"/>
      <c r="F63" s="529"/>
      <c r="G63" s="529"/>
      <c r="H63" s="529"/>
      <c r="I63" s="529"/>
      <c r="J63" s="529"/>
      <c r="K63" s="529"/>
      <c r="L63" s="529"/>
      <c r="M63" s="529"/>
      <c r="N63" s="529"/>
      <c r="O63" s="529"/>
      <c r="P63" s="529"/>
      <c r="Q63" s="529"/>
      <c r="R63" s="529"/>
      <c r="S63" s="531"/>
      <c r="T63" s="80"/>
      <c r="U63" s="34"/>
      <c r="V63" s="34"/>
      <c r="W63" s="34"/>
      <c r="X63" s="34"/>
      <c r="Y63" s="34"/>
      <c r="Z63" s="34"/>
      <c r="AA63" s="34"/>
      <c r="AB63" s="34"/>
      <c r="AC63" s="34"/>
      <c r="AD63" s="34"/>
      <c r="AE63" s="34"/>
      <c r="AF63" s="34"/>
      <c r="AG63" s="34"/>
      <c r="AH63" s="34"/>
      <c r="AI63" s="34"/>
      <c r="AJ63" s="34"/>
      <c r="AK63" s="34"/>
      <c r="AL63" s="141"/>
    </row>
    <row r="64" spans="1:38" ht="12.75" customHeight="1">
      <c r="A64" s="528"/>
      <c r="B64" s="529"/>
      <c r="C64" s="529"/>
      <c r="D64" s="529"/>
      <c r="E64" s="529"/>
      <c r="F64" s="529"/>
      <c r="G64" s="529"/>
      <c r="H64" s="529"/>
      <c r="I64" s="529"/>
      <c r="J64" s="529"/>
      <c r="K64" s="529"/>
      <c r="L64" s="529"/>
      <c r="M64" s="529"/>
      <c r="N64" s="529"/>
      <c r="O64" s="529"/>
      <c r="P64" s="529"/>
      <c r="Q64" s="529"/>
      <c r="R64" s="529"/>
      <c r="S64" s="531"/>
      <c r="T64" s="80"/>
      <c r="U64" s="34"/>
      <c r="V64" s="34"/>
      <c r="W64" s="34"/>
      <c r="X64" s="34"/>
      <c r="Y64" s="34"/>
      <c r="Z64" s="34"/>
      <c r="AA64" s="34"/>
      <c r="AB64" s="34"/>
      <c r="AC64" s="34"/>
      <c r="AD64" s="34"/>
      <c r="AE64" s="34"/>
      <c r="AF64" s="34"/>
      <c r="AG64" s="34"/>
      <c r="AH64" s="34"/>
      <c r="AI64" s="34"/>
      <c r="AJ64" s="34"/>
      <c r="AK64" s="34"/>
      <c r="AL64" s="141"/>
    </row>
    <row r="65" spans="1:38" ht="12.75" customHeight="1">
      <c r="A65" s="528"/>
      <c r="B65" s="529"/>
      <c r="C65" s="529"/>
      <c r="D65" s="529"/>
      <c r="E65" s="529"/>
      <c r="F65" s="529"/>
      <c r="G65" s="529"/>
      <c r="H65" s="529"/>
      <c r="I65" s="529"/>
      <c r="J65" s="529"/>
      <c r="K65" s="529"/>
      <c r="L65" s="529"/>
      <c r="M65" s="529"/>
      <c r="N65" s="529"/>
      <c r="O65" s="529"/>
      <c r="P65" s="529"/>
      <c r="Q65" s="529"/>
      <c r="R65" s="529"/>
      <c r="S65" s="531"/>
      <c r="T65" s="80"/>
      <c r="U65" s="34"/>
      <c r="V65" s="34"/>
      <c r="W65" s="34"/>
      <c r="X65" s="34"/>
      <c r="Y65" s="34"/>
      <c r="Z65" s="34"/>
      <c r="AA65" s="34"/>
      <c r="AB65" s="34"/>
      <c r="AC65" s="34"/>
      <c r="AD65" s="34"/>
      <c r="AE65" s="34"/>
      <c r="AF65" s="34"/>
      <c r="AG65" s="34"/>
      <c r="AH65" s="34"/>
      <c r="AI65" s="34"/>
      <c r="AJ65" s="34"/>
      <c r="AK65" s="34"/>
      <c r="AL65" s="141"/>
    </row>
    <row r="66" spans="1:38" ht="12.75" customHeight="1">
      <c r="A66" s="528"/>
      <c r="B66" s="529"/>
      <c r="C66" s="529"/>
      <c r="D66" s="529"/>
      <c r="E66" s="529"/>
      <c r="F66" s="529"/>
      <c r="G66" s="529"/>
      <c r="H66" s="529"/>
      <c r="I66" s="529"/>
      <c r="J66" s="529"/>
      <c r="K66" s="529"/>
      <c r="L66" s="529"/>
      <c r="M66" s="529"/>
      <c r="N66" s="529"/>
      <c r="O66" s="529"/>
      <c r="P66" s="529"/>
      <c r="Q66" s="529"/>
      <c r="R66" s="529"/>
      <c r="S66" s="531"/>
      <c r="T66" s="80"/>
      <c r="U66" s="34"/>
      <c r="V66" s="34"/>
      <c r="W66" s="34"/>
      <c r="X66" s="34"/>
      <c r="Y66" s="34"/>
      <c r="Z66" s="34"/>
      <c r="AA66" s="34"/>
      <c r="AB66" s="34"/>
      <c r="AC66" s="34"/>
      <c r="AD66" s="34"/>
      <c r="AE66" s="34"/>
      <c r="AF66" s="34"/>
      <c r="AG66" s="34"/>
      <c r="AH66" s="34"/>
      <c r="AI66" s="34"/>
      <c r="AJ66" s="34"/>
      <c r="AK66" s="34"/>
      <c r="AL66" s="141"/>
    </row>
    <row r="67" spans="1:38" ht="12.75" customHeight="1">
      <c r="A67" s="528"/>
      <c r="B67" s="529"/>
      <c r="C67" s="529"/>
      <c r="D67" s="529"/>
      <c r="E67" s="529"/>
      <c r="F67" s="529"/>
      <c r="G67" s="529"/>
      <c r="H67" s="529"/>
      <c r="I67" s="529"/>
      <c r="J67" s="529"/>
      <c r="K67" s="529"/>
      <c r="L67" s="529"/>
      <c r="M67" s="529"/>
      <c r="N67" s="529"/>
      <c r="O67" s="529"/>
      <c r="P67" s="529"/>
      <c r="Q67" s="529"/>
      <c r="R67" s="529"/>
      <c r="S67" s="531"/>
      <c r="T67" s="80"/>
      <c r="U67" s="34"/>
      <c r="V67" s="34"/>
      <c r="W67" s="34"/>
      <c r="X67" s="34"/>
      <c r="Y67" s="34"/>
      <c r="Z67" s="34"/>
      <c r="AA67" s="34"/>
      <c r="AB67" s="34"/>
      <c r="AC67" s="34"/>
      <c r="AD67" s="34"/>
      <c r="AE67" s="34"/>
      <c r="AF67" s="34"/>
      <c r="AG67" s="34"/>
      <c r="AH67" s="34"/>
      <c r="AI67" s="34"/>
      <c r="AJ67" s="34"/>
      <c r="AK67" s="34"/>
      <c r="AL67" s="141"/>
    </row>
    <row r="68" spans="1:38" ht="12.75" customHeight="1">
      <c r="A68" s="528"/>
      <c r="B68" s="529"/>
      <c r="C68" s="529"/>
      <c r="D68" s="529"/>
      <c r="E68" s="529"/>
      <c r="F68" s="529"/>
      <c r="G68" s="529"/>
      <c r="H68" s="529"/>
      <c r="I68" s="529"/>
      <c r="J68" s="529"/>
      <c r="K68" s="529"/>
      <c r="L68" s="529"/>
      <c r="M68" s="529"/>
      <c r="N68" s="529"/>
      <c r="O68" s="529"/>
      <c r="P68" s="529"/>
      <c r="Q68" s="529"/>
      <c r="R68" s="529"/>
      <c r="S68" s="531"/>
      <c r="T68" s="80"/>
      <c r="U68" s="34"/>
      <c r="V68" s="34"/>
      <c r="W68" s="34"/>
      <c r="X68" s="34"/>
      <c r="Y68" s="34"/>
      <c r="Z68" s="34"/>
      <c r="AA68" s="34"/>
      <c r="AB68" s="34"/>
      <c r="AC68" s="34"/>
      <c r="AD68" s="34"/>
      <c r="AE68" s="34"/>
      <c r="AF68" s="34"/>
      <c r="AG68" s="34"/>
      <c r="AH68" s="34"/>
      <c r="AI68" s="34"/>
      <c r="AJ68" s="34"/>
      <c r="AK68" s="34"/>
      <c r="AL68" s="141"/>
    </row>
    <row r="69" spans="1:38" ht="12.75" customHeight="1">
      <c r="A69" s="528"/>
      <c r="B69" s="529"/>
      <c r="C69" s="529"/>
      <c r="D69" s="529"/>
      <c r="E69" s="529"/>
      <c r="F69" s="529"/>
      <c r="G69" s="529"/>
      <c r="H69" s="529"/>
      <c r="I69" s="529"/>
      <c r="J69" s="529"/>
      <c r="K69" s="529"/>
      <c r="L69" s="529"/>
      <c r="M69" s="529"/>
      <c r="N69" s="529"/>
      <c r="O69" s="529"/>
      <c r="P69" s="529"/>
      <c r="Q69" s="529"/>
      <c r="R69" s="529"/>
      <c r="S69" s="531"/>
      <c r="T69" s="80"/>
      <c r="U69" s="34"/>
      <c r="V69" s="34"/>
      <c r="W69" s="34"/>
      <c r="X69" s="34"/>
      <c r="Y69" s="34"/>
      <c r="Z69" s="34"/>
      <c r="AA69" s="34"/>
      <c r="AB69" s="34"/>
      <c r="AC69" s="34"/>
      <c r="AD69" s="34"/>
      <c r="AE69" s="34"/>
      <c r="AF69" s="34"/>
      <c r="AG69" s="34"/>
      <c r="AH69" s="34"/>
      <c r="AI69" s="34"/>
      <c r="AJ69" s="34"/>
      <c r="AK69" s="34"/>
      <c r="AL69" s="141"/>
    </row>
    <row r="70" spans="1:38" ht="12.75" customHeight="1">
      <c r="A70" s="528"/>
      <c r="B70" s="529"/>
      <c r="C70" s="529"/>
      <c r="D70" s="529"/>
      <c r="E70" s="529"/>
      <c r="F70" s="529"/>
      <c r="G70" s="529"/>
      <c r="H70" s="529"/>
      <c r="I70" s="529"/>
      <c r="J70" s="529"/>
      <c r="K70" s="529"/>
      <c r="L70" s="529"/>
      <c r="M70" s="529"/>
      <c r="N70" s="529"/>
      <c r="O70" s="529"/>
      <c r="P70" s="529"/>
      <c r="Q70" s="529"/>
      <c r="R70" s="529"/>
      <c r="S70" s="531"/>
      <c r="T70" s="80"/>
      <c r="U70" s="34"/>
      <c r="V70" s="34"/>
      <c r="W70" s="34"/>
      <c r="X70" s="34"/>
      <c r="Y70" s="34"/>
      <c r="Z70" s="34"/>
      <c r="AA70" s="34"/>
      <c r="AB70" s="34"/>
      <c r="AC70" s="34"/>
      <c r="AD70" s="34"/>
      <c r="AE70" s="34"/>
      <c r="AF70" s="34"/>
      <c r="AG70" s="34"/>
      <c r="AH70" s="34"/>
      <c r="AI70" s="34"/>
      <c r="AJ70" s="34"/>
      <c r="AK70" s="34"/>
      <c r="AL70" s="141"/>
    </row>
    <row r="71" spans="1:38" ht="12.75" customHeight="1">
      <c r="A71" s="528"/>
      <c r="B71" s="529"/>
      <c r="C71" s="529"/>
      <c r="D71" s="529"/>
      <c r="E71" s="529"/>
      <c r="F71" s="529"/>
      <c r="G71" s="529"/>
      <c r="H71" s="529"/>
      <c r="I71" s="529"/>
      <c r="J71" s="529"/>
      <c r="K71" s="529"/>
      <c r="L71" s="529"/>
      <c r="M71" s="529"/>
      <c r="N71" s="529"/>
      <c r="O71" s="529"/>
      <c r="P71" s="529"/>
      <c r="Q71" s="34"/>
      <c r="R71" s="34"/>
      <c r="S71" s="531"/>
      <c r="T71" s="80"/>
      <c r="U71" s="34"/>
      <c r="V71" s="34"/>
      <c r="W71" s="34"/>
      <c r="X71" s="34"/>
      <c r="Y71" s="34"/>
      <c r="Z71" s="34"/>
      <c r="AA71" s="34"/>
      <c r="AB71" s="34"/>
      <c r="AC71" s="34"/>
      <c r="AD71" s="34"/>
      <c r="AE71" s="34"/>
      <c r="AF71" s="34"/>
      <c r="AG71" s="34"/>
      <c r="AH71" s="34"/>
      <c r="AI71" s="34"/>
      <c r="AJ71" s="34"/>
      <c r="AK71" s="34"/>
      <c r="AL71" s="141"/>
    </row>
    <row r="72" spans="1:38" ht="12.75" customHeight="1">
      <c r="A72" s="528"/>
      <c r="B72" s="529"/>
      <c r="C72" s="529"/>
      <c r="D72" s="529"/>
      <c r="E72" s="529"/>
      <c r="F72" s="529"/>
      <c r="G72" s="529"/>
      <c r="H72" s="529"/>
      <c r="I72" s="529"/>
      <c r="J72" s="529"/>
      <c r="K72" s="529"/>
      <c r="L72" s="529"/>
      <c r="M72" s="529"/>
      <c r="N72" s="529"/>
      <c r="O72" s="529"/>
      <c r="P72" s="529"/>
      <c r="Q72" s="529"/>
      <c r="R72" s="529"/>
      <c r="S72" s="531"/>
      <c r="T72" s="80"/>
      <c r="U72" s="34"/>
      <c r="V72" s="34"/>
      <c r="W72" s="34"/>
      <c r="X72" s="34"/>
      <c r="Y72" s="34"/>
      <c r="Z72" s="34"/>
      <c r="AA72" s="34"/>
      <c r="AB72" s="34"/>
      <c r="AC72" s="34"/>
      <c r="AD72" s="34"/>
      <c r="AE72" s="34"/>
      <c r="AF72" s="34"/>
      <c r="AG72" s="34"/>
      <c r="AH72" s="34"/>
      <c r="AI72" s="34"/>
      <c r="AJ72" s="34"/>
      <c r="AK72" s="34"/>
      <c r="AL72" s="141"/>
    </row>
    <row r="73" spans="1:38" ht="12.75" customHeight="1">
      <c r="A73" s="534"/>
      <c r="B73" s="533"/>
      <c r="C73" s="533"/>
      <c r="D73" s="533"/>
      <c r="E73" s="533"/>
      <c r="F73" s="533"/>
      <c r="G73" s="533"/>
      <c r="H73" s="533"/>
      <c r="I73" s="533"/>
      <c r="J73" s="533"/>
      <c r="K73" s="533"/>
      <c r="L73" s="533"/>
      <c r="M73" s="533"/>
      <c r="N73" s="533"/>
      <c r="O73" s="533"/>
      <c r="P73" s="533"/>
      <c r="Q73" s="533"/>
      <c r="R73" s="533"/>
      <c r="S73" s="535"/>
      <c r="T73" s="251"/>
      <c r="U73" s="25"/>
      <c r="V73" s="25"/>
      <c r="W73" s="25"/>
      <c r="X73" s="25"/>
      <c r="Y73" s="25"/>
      <c r="Z73" s="25"/>
      <c r="AA73" s="25"/>
      <c r="AB73" s="25"/>
      <c r="AC73" s="25"/>
      <c r="AD73" s="25"/>
      <c r="AE73" s="25"/>
      <c r="AF73" s="25"/>
      <c r="AG73" s="25"/>
      <c r="AH73" s="25"/>
      <c r="AI73" s="25"/>
      <c r="AJ73" s="25"/>
      <c r="AK73" s="25"/>
      <c r="AL73" s="197"/>
    </row>
    <row r="74" spans="1:38"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row>
    <row r="75" spans="1:38"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row>
    <row r="76" spans="1:38"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row>
    <row r="77" spans="1:38"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row>
    <row r="78" spans="1:38"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row>
    <row r="79" spans="1:38"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row>
    <row r="80" spans="1:38"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row>
    <row r="81" spans="1:38"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row>
    <row r="82" spans="1:38"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row>
    <row r="83" spans="1:38"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row>
    <row r="84" spans="1:38"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row>
    <row r="85" spans="1:38"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row>
    <row r="86" spans="1:38"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row>
    <row r="87" spans="1:38"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row>
    <row r="88" spans="1:38"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row>
    <row r="89" spans="1:38"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row>
    <row r="90" spans="1:38"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row>
    <row r="91" spans="1:38"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row>
    <row r="92" spans="1:38"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row>
    <row r="93" spans="1:38"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row>
    <row r="94" spans="1:38"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row>
    <row r="95" spans="1:38"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row>
    <row r="96" spans="1:38"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row>
    <row r="97" spans="1:38"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row>
    <row r="98" spans="1:38"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row>
    <row r="99" spans="1:38"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row>
    <row r="100" spans="1:38"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row>
    <row r="101" spans="1:38"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row>
    <row r="102" spans="1:38"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row>
    <row r="103" spans="1:38"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row>
    <row r="104" spans="1:38"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row>
    <row r="105" spans="1:38"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row>
    <row r="106" spans="1:38"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row>
    <row r="107" spans="1:38"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row>
    <row r="108" spans="1:38"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row>
    <row r="109" spans="1:38"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row>
    <row r="110" spans="1:38"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row>
    <row r="111" spans="1:38"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row>
    <row r="112" spans="1:38"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row>
    <row r="113" spans="1:38"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row>
    <row r="114" spans="1:38"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row>
    <row r="115" spans="1:38"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row>
    <row r="116" spans="1:38"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row>
    <row r="117" spans="1:38"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row>
    <row r="118" spans="1:38"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row>
    <row r="119" spans="1:38"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row>
    <row r="120" spans="1:38"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row>
    <row r="121" spans="1:38"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row>
    <row r="122" spans="1:38"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row>
    <row r="123" spans="1:38"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row>
    <row r="124" spans="1:38"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row>
    <row r="125" spans="1:38"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row>
    <row r="126" spans="1:38"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row>
    <row r="127" spans="1:38"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row>
    <row r="128" spans="1:38"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row>
    <row r="129" spans="1:38"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row>
    <row r="130" spans="1:38"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row>
    <row r="131" spans="1:38"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row>
    <row r="132" spans="1:38"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row>
    <row r="133" spans="1:38"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row>
    <row r="134" spans="1:38"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row>
    <row r="135" spans="1:38"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row>
    <row r="136" spans="1:38"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row>
    <row r="137" spans="1:38"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row>
    <row r="138" spans="1:38"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row>
    <row r="139" spans="1:38"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row>
    <row r="140" spans="1:38"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row>
    <row r="141" spans="1:38"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row>
    <row r="142" spans="1:38"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row>
    <row r="143" spans="1:38"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row>
    <row r="144" spans="1:38"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row>
    <row r="145" spans="1:38"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row>
    <row r="146" spans="1:38"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row>
    <row r="147" spans="1:38"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row>
    <row r="148" spans="1:38"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row>
    <row r="149" spans="1:38"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row>
    <row r="150" spans="1:38"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row>
    <row r="151" spans="1:38"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row>
    <row r="152" spans="1:38"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row>
    <row r="153" spans="1:38"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row>
    <row r="154" spans="1:38"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row>
    <row r="155" spans="1:38"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row>
    <row r="156" spans="1:38"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row>
    <row r="157" spans="1:38"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row>
    <row r="158" spans="1:38"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row>
    <row r="159" spans="1:38"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row>
    <row r="160" spans="1:38"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row>
    <row r="161" spans="1:38"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row>
    <row r="162" spans="1:38"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row>
    <row r="163" spans="1:38"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row>
    <row r="164" spans="1:38"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row>
    <row r="165" spans="1:38"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row>
    <row r="166" spans="1:38"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row>
    <row r="167" spans="1:38"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row>
    <row r="168" spans="1:38"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row>
    <row r="169" spans="1:38"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row>
    <row r="170" spans="1:38"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row>
    <row r="171" spans="1:38"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row>
    <row r="172" spans="1:38"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row>
    <row r="173" spans="1:38"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row>
    <row r="174" spans="1:38"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row>
    <row r="175" spans="1:38"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row>
    <row r="176" spans="1:38"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row>
    <row r="177" spans="1:38"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row>
    <row r="178" spans="1:38"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row>
    <row r="179" spans="1:38"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row>
    <row r="180" spans="1:38"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row>
    <row r="181" spans="1:38"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row>
    <row r="182" spans="1:38"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row>
    <row r="183" spans="1:38"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row>
    <row r="184" spans="1:38"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row>
    <row r="185" spans="1:38"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row>
    <row r="186" spans="1:38"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row>
    <row r="187" spans="1:38"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row>
    <row r="188" spans="1:38"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row>
    <row r="189" spans="1:38"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row>
    <row r="190" spans="1:38"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row>
    <row r="191" spans="1:38"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row>
    <row r="192" spans="1:38"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row>
    <row r="193" spans="1:38"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row>
    <row r="194" spans="1:38"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row>
    <row r="195" spans="1:38"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row>
    <row r="196" spans="1:38"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row>
    <row r="197" spans="1:38"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row>
    <row r="198" spans="1:38"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row>
    <row r="199" spans="1:38"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row>
    <row r="200" spans="1:38"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row>
    <row r="201" spans="1:38"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row>
    <row r="202" spans="1:38"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row>
    <row r="203" spans="1:38"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row>
    <row r="204" spans="1:38"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row>
    <row r="205" spans="1:38"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row>
    <row r="206" spans="1:38"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row>
    <row r="207" spans="1:38"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row>
    <row r="208" spans="1:38"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row>
    <row r="209" spans="1:38"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row>
    <row r="210" spans="1:38"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row>
    <row r="211" spans="1:38"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row>
    <row r="212" spans="1:38"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row>
    <row r="213" spans="1:38"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row>
    <row r="214" spans="1:38"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row>
    <row r="215" spans="1:38"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row>
    <row r="216" spans="1:38"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row>
    <row r="217" spans="1:38"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row>
    <row r="218" spans="1:38"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row>
    <row r="219" spans="1:38"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row>
    <row r="220" spans="1:38"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row>
    <row r="221" spans="1:38"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row>
    <row r="222" spans="1:38"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row>
    <row r="223" spans="1:38"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row>
    <row r="224" spans="1:38"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row>
    <row r="225" spans="1:38"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row>
    <row r="226" spans="1:38"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row>
    <row r="227" spans="1:38"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row>
    <row r="228" spans="1:38"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row>
    <row r="229" spans="1:38"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row>
    <row r="230" spans="1:38"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row>
    <row r="231" spans="1:38"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row>
    <row r="232" spans="1:38"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row>
    <row r="233" spans="1:38"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row>
    <row r="234" spans="1:38"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row>
    <row r="235" spans="1:38"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row>
    <row r="236" spans="1:38"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row>
    <row r="237" spans="1:38"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row>
    <row r="238" spans="1:38"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row>
    <row r="239" spans="1:38"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row>
    <row r="240" spans="1:38"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row>
    <row r="241" spans="1:38"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row>
    <row r="242" spans="1:38"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row>
    <row r="243" spans="1:38"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row>
    <row r="244" spans="1:38"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row>
    <row r="245" spans="1:38"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row>
    <row r="246" spans="1:38"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row>
    <row r="247" spans="1:38"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row>
    <row r="248" spans="1:38"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row>
    <row r="249" spans="1:38"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row>
    <row r="250" spans="1:38"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row>
    <row r="251" spans="1:38"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row>
    <row r="252" spans="1:38"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row>
    <row r="253" spans="1:38"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row>
    <row r="254" spans="1:38"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row>
    <row r="255" spans="1:38"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row>
    <row r="256" spans="1:38"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row>
    <row r="257" spans="1:38"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row>
    <row r="258" spans="1:38"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row>
    <row r="259" spans="1:38"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row>
    <row r="260" spans="1:38"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row>
    <row r="261" spans="1:38"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row>
    <row r="262" spans="1:38"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row>
    <row r="263" spans="1:38"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row>
    <row r="264" spans="1:38"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row>
    <row r="265" spans="1:38"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row>
    <row r="266" spans="1:38"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row>
    <row r="267" spans="1:38"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row>
    <row r="268" spans="1:38"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row>
    <row r="269" spans="1:38"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row>
    <row r="270" spans="1:38"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row>
    <row r="271" spans="1:38"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row>
    <row r="272" spans="1:38"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row>
    <row r="273" spans="1:38"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row>
    <row r="274" spans="1:38"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row>
    <row r="275" spans="1:38"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row>
    <row r="276" spans="1:38"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row>
    <row r="277" spans="1:38"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row>
    <row r="278" spans="1:38"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row>
    <row r="279" spans="1:38"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row>
    <row r="280" spans="1:38"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row>
    <row r="281" spans="1:38"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row>
    <row r="282" spans="1:38"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row>
    <row r="283" spans="1:38"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row>
    <row r="284" spans="1:38"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row>
    <row r="285" spans="1:38"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row>
    <row r="286" spans="1:38"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row>
    <row r="287" spans="1:38"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row>
    <row r="288" spans="1:38"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row>
    <row r="289" spans="1:38"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row>
    <row r="290" spans="1:38"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row>
    <row r="291" spans="1:38"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row>
    <row r="292" spans="1:38"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row>
    <row r="293" spans="1:38"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row>
    <row r="294" spans="1:38"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row>
    <row r="295" spans="1:38"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row>
    <row r="296" spans="1:38"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row>
    <row r="297" spans="1:38"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row>
    <row r="298" spans="1:38"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row>
    <row r="299" spans="1:38"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row>
    <row r="300" spans="1:38"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row>
    <row r="301" spans="1:38"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row>
    <row r="302" spans="1:38"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row>
    <row r="303" spans="1:38"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row>
    <row r="304" spans="1:38"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row>
    <row r="305" spans="1:38"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row>
    <row r="306" spans="1:38"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row>
    <row r="307" spans="1:38"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row>
    <row r="308" spans="1:38"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row>
    <row r="309" spans="1:38"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row>
    <row r="310" spans="1:38"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row>
    <row r="311" spans="1:38"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row>
    <row r="312" spans="1:38"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row>
    <row r="313" spans="1:38"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row>
    <row r="314" spans="1:38"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row>
    <row r="315" spans="1:38"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row>
    <row r="316" spans="1:38"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row>
    <row r="317" spans="1:38"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row>
    <row r="318" spans="1:38"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row>
    <row r="319" spans="1:38"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row>
    <row r="320" spans="1:38"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row>
    <row r="321" spans="1:38"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row>
    <row r="322" spans="1:38"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row>
    <row r="323" spans="1:38"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row>
    <row r="324" spans="1:38"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row>
    <row r="325" spans="1:38"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row>
    <row r="326" spans="1:38"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row>
    <row r="327" spans="1:38"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row>
    <row r="328" spans="1:38"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row>
    <row r="329" spans="1:38"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row>
    <row r="330" spans="1:38"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row>
    <row r="331" spans="1:38"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row>
    <row r="332" spans="1:38"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row>
    <row r="333" spans="1:38"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row>
    <row r="334" spans="1:38"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row>
    <row r="335" spans="1:38"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row>
    <row r="336" spans="1:38"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row>
    <row r="337" spans="1:38"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row>
    <row r="338" spans="1:38"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row>
    <row r="339" spans="1:38"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row>
    <row r="340" spans="1:38"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row>
    <row r="341" spans="1:38"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row>
    <row r="342" spans="1:38"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row>
    <row r="343" spans="1:38"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row>
    <row r="344" spans="1:38"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row>
    <row r="345" spans="1:38"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row>
    <row r="346" spans="1:38"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row>
    <row r="347" spans="1:38"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row>
    <row r="348" spans="1:38"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row>
    <row r="349" spans="1:38"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row>
    <row r="350" spans="1:38"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row>
    <row r="351" spans="1:38"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row>
    <row r="352" spans="1:38"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row>
    <row r="353" spans="1:38"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row>
    <row r="354" spans="1:38"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row>
    <row r="355" spans="1:38"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row>
    <row r="356" spans="1:38"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row>
    <row r="357" spans="1:38"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row>
    <row r="358" spans="1:38"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row>
    <row r="359" spans="1:38"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row>
    <row r="360" spans="1:38"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row>
    <row r="361" spans="1:38"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row>
    <row r="362" spans="1:38"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row>
    <row r="363" spans="1:38"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row>
    <row r="364" spans="1:38"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row>
    <row r="365" spans="1:38"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row>
    <row r="366" spans="1:38"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row>
    <row r="367" spans="1:38"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row>
    <row r="368" spans="1:38"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row>
    <row r="369" spans="1:38"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row>
    <row r="370" spans="1:38"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row>
    <row r="371" spans="1:38"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row>
    <row r="372" spans="1:38"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row>
    <row r="373" spans="1:38"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row>
    <row r="374" spans="1:38"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row>
    <row r="375" spans="1:38"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row>
    <row r="376" spans="1:38"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row>
    <row r="377" spans="1:38"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row>
    <row r="378" spans="1:38"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row>
    <row r="379" spans="1:38"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row>
    <row r="380" spans="1:38"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row>
    <row r="381" spans="1:38"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row>
    <row r="382" spans="1:38"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row>
    <row r="383" spans="1:38"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row>
    <row r="384" spans="1:38"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row>
    <row r="385" spans="1:38"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row>
    <row r="386" spans="1:38"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row>
    <row r="387" spans="1:38"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row>
    <row r="388" spans="1:38"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row>
    <row r="389" spans="1:38"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row>
    <row r="390" spans="1:38"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row>
    <row r="391" spans="1:38"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row>
    <row r="392" spans="1:38"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row>
    <row r="393" spans="1:38"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row>
    <row r="394" spans="1:38"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row>
    <row r="395" spans="1:38"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row>
    <row r="396" spans="1:38"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row>
    <row r="397" spans="1:38"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row>
    <row r="398" spans="1:38"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row>
    <row r="399" spans="1:38"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row>
    <row r="400" spans="1:38"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row>
    <row r="401" spans="1:38"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row>
    <row r="402" spans="1:38"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row>
    <row r="403" spans="1:38"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row>
    <row r="404" spans="1:38"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row>
    <row r="405" spans="1:38"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row>
    <row r="406" spans="1:38"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row>
    <row r="407" spans="1:38"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row>
    <row r="408" spans="1:38"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row>
    <row r="409" spans="1:38"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row>
    <row r="410" spans="1:38"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row>
    <row r="411" spans="1:38"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row>
    <row r="412" spans="1:38"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row>
    <row r="413" spans="1:38"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row>
    <row r="414" spans="1:38"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row>
    <row r="415" spans="1:38"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row>
    <row r="416" spans="1:38"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row>
    <row r="417" spans="1:38"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row>
    <row r="418" spans="1:38"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row>
    <row r="419" spans="1:38"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row>
    <row r="420" spans="1:38"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row>
    <row r="421" spans="1:38"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row>
    <row r="422" spans="1:38"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row>
    <row r="423" spans="1:38"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row>
    <row r="424" spans="1:38"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row>
    <row r="425" spans="1:38"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row>
    <row r="426" spans="1:38"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row>
    <row r="427" spans="1:38"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row>
    <row r="428" spans="1:38"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row>
    <row r="429" spans="1:38"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row>
    <row r="430" spans="1:38"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row>
    <row r="431" spans="1:38"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row>
    <row r="432" spans="1:38"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row>
    <row r="433" spans="1:38"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row>
    <row r="434" spans="1:38"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row>
    <row r="435" spans="1:38"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row>
    <row r="436" spans="1:38"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row>
    <row r="437" spans="1:38"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row>
    <row r="438" spans="1:38"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row>
    <row r="439" spans="1:38"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row>
    <row r="440" spans="1:38"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row>
    <row r="441" spans="1:38"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row>
    <row r="442" spans="1:38"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row>
    <row r="443" spans="1:38"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row>
    <row r="444" spans="1:38"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row>
    <row r="445" spans="1:38"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row>
    <row r="446" spans="1:38"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row>
    <row r="447" spans="1:38"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row>
    <row r="448" spans="1:38"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row>
    <row r="449" spans="1:38"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row>
    <row r="450" spans="1:38"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row>
    <row r="451" spans="1:38"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row>
    <row r="452" spans="1:38"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row>
    <row r="453" spans="1:38"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row>
    <row r="454" spans="1:38"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row>
    <row r="455" spans="1:38"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row>
    <row r="456" spans="1:38"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row>
    <row r="457" spans="1:38"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row>
    <row r="458" spans="1:38"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row>
    <row r="459" spans="1:38"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row>
    <row r="460" spans="1:38"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row>
    <row r="461" spans="1:38"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row>
    <row r="462" spans="1:38"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row>
    <row r="463" spans="1:38"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row>
    <row r="464" spans="1:38"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row>
    <row r="465" spans="1:38"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row>
    <row r="466" spans="1:38"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row>
    <row r="467" spans="1:38"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row>
    <row r="468" spans="1:38"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row>
    <row r="469" spans="1:38"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row>
    <row r="470" spans="1:38"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row>
    <row r="471" spans="1:38"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row>
    <row r="472" spans="1:38"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row>
    <row r="473" spans="1:38"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row>
    <row r="474" spans="1:38"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row>
    <row r="475" spans="1:38"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row>
    <row r="476" spans="1:38"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row>
    <row r="477" spans="1:38"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row>
    <row r="478" spans="1:38"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row>
    <row r="479" spans="1:38"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row>
    <row r="480" spans="1:38"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row>
    <row r="481" spans="1:38"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row>
    <row r="482" spans="1:38"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row>
    <row r="483" spans="1:38"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row>
    <row r="484" spans="1:38"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row>
    <row r="485" spans="1:38"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row>
    <row r="486" spans="1:38"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row>
    <row r="487" spans="1:38"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row>
    <row r="488" spans="1:38"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row>
    <row r="489" spans="1:38"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row>
    <row r="490" spans="1:38"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row>
    <row r="491" spans="1:38"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row>
    <row r="492" spans="1:38"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row>
    <row r="493" spans="1:38"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row>
    <row r="494" spans="1:38"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row>
    <row r="495" spans="1:38"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row>
    <row r="496" spans="1:38"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row>
    <row r="497" spans="1:38"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row>
    <row r="498" spans="1:38"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row>
    <row r="499" spans="1:38"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row>
    <row r="500" spans="1:38"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row>
    <row r="501" spans="1:38"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row>
    <row r="502" spans="1:38"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row>
    <row r="503" spans="1:38"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row>
    <row r="504" spans="1:38"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row>
    <row r="505" spans="1:38"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row>
    <row r="506" spans="1:38"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row>
    <row r="507" spans="1:38"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row>
    <row r="508" spans="1:38"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row>
    <row r="509" spans="1:38"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row>
    <row r="510" spans="1:38"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row>
    <row r="511" spans="1:38"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row>
    <row r="512" spans="1:38"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row>
    <row r="513" spans="1:38"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row>
    <row r="514" spans="1:38"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row>
    <row r="515" spans="1:38"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row>
    <row r="516" spans="1:38"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row>
    <row r="517" spans="1:38"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row>
    <row r="518" spans="1:38"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row>
    <row r="519" spans="1:38"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row>
    <row r="520" spans="1:38"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row>
    <row r="521" spans="1:38"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row>
    <row r="522" spans="1:38"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row>
    <row r="523" spans="1:38"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row>
    <row r="524" spans="1:38"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row>
    <row r="525" spans="1:38"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row>
    <row r="526" spans="1:38"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row>
    <row r="527" spans="1:38"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row>
    <row r="528" spans="1:38"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row>
    <row r="529" spans="1:38"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row>
    <row r="530" spans="1:38"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row>
    <row r="531" spans="1:38"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row>
    <row r="532" spans="1:38"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row>
    <row r="533" spans="1:38"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row>
    <row r="534" spans="1:38"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row>
    <row r="535" spans="1:38"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row>
    <row r="536" spans="1:38"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row>
    <row r="537" spans="1:38"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row>
    <row r="538" spans="1:38"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row>
    <row r="539" spans="1:38"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row>
    <row r="540" spans="1:38"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row>
    <row r="541" spans="1:38"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row>
    <row r="542" spans="1:38"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row>
    <row r="543" spans="1:38"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row>
    <row r="544" spans="1:38"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row>
    <row r="545" spans="1:38"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row>
    <row r="546" spans="1:38"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row>
    <row r="547" spans="1:38"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row>
    <row r="548" spans="1:38"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row>
    <row r="549" spans="1:38"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row>
    <row r="550" spans="1:38"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row>
    <row r="551" spans="1:38"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row>
    <row r="552" spans="1:38"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row>
    <row r="553" spans="1:38"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row>
    <row r="554" spans="1:38"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row>
    <row r="555" spans="1:38"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row>
    <row r="556" spans="1:38"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row>
    <row r="557" spans="1:38"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row>
    <row r="558" spans="1:38"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row>
    <row r="559" spans="1:38"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row>
    <row r="560" spans="1:38"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row>
    <row r="561" spans="1:38"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row>
    <row r="562" spans="1:38"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row>
    <row r="563" spans="1:38"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row>
    <row r="564" spans="1:38"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row>
    <row r="565" spans="1:38"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row>
    <row r="566" spans="1:38"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row>
    <row r="567" spans="1:38"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row>
    <row r="568" spans="1:38"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row>
    <row r="569" spans="1:38"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row>
    <row r="570" spans="1:38"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row>
    <row r="571" spans="1:38"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row>
    <row r="572" spans="1:38"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row>
    <row r="573" spans="1:38"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row>
    <row r="574" spans="1:38"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row>
    <row r="575" spans="1:38"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row>
    <row r="576" spans="1:38"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row>
    <row r="577" spans="1:38"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row>
    <row r="578" spans="1:38"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row>
    <row r="579" spans="1:38"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row>
    <row r="580" spans="1:38"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row>
    <row r="581" spans="1:38"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row>
    <row r="582" spans="1:38"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row>
    <row r="583" spans="1:38"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row>
    <row r="584" spans="1:38"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row>
    <row r="585" spans="1:38"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row>
    <row r="586" spans="1:38"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row>
    <row r="587" spans="1:38"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row>
    <row r="588" spans="1:38"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row>
    <row r="589" spans="1:38"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row>
    <row r="590" spans="1:38"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row>
    <row r="591" spans="1:38"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row>
    <row r="592" spans="1:38"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row>
    <row r="593" spans="1:38"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row>
    <row r="594" spans="1:38"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row>
    <row r="595" spans="1:38"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row>
    <row r="596" spans="1:38"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row>
    <row r="597" spans="1:38"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row>
    <row r="598" spans="1:38"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row>
    <row r="599" spans="1:38"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row>
    <row r="600" spans="1:38"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row>
    <row r="601" spans="1:38"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row>
    <row r="602" spans="1:38"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row>
    <row r="603" spans="1:38"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row>
    <row r="604" spans="1:38"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row>
    <row r="605" spans="1:38"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row>
    <row r="606" spans="1:38"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row>
    <row r="607" spans="1:38"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row>
    <row r="608" spans="1:38"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row>
    <row r="609" spans="1:38"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row>
    <row r="610" spans="1:38"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row>
    <row r="611" spans="1:38"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row>
    <row r="612" spans="1:38"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row>
    <row r="613" spans="1:38"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row>
    <row r="614" spans="1:38"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row>
    <row r="615" spans="1:38"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row>
    <row r="616" spans="1:38"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row>
    <row r="617" spans="1:38"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row>
    <row r="618" spans="1:38"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row>
    <row r="619" spans="1:38"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row>
    <row r="620" spans="1:38"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row>
    <row r="621" spans="1:38"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row>
    <row r="622" spans="1:38"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row>
    <row r="623" spans="1:38"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row>
    <row r="624" spans="1:38"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row>
    <row r="625" spans="1:38"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row>
    <row r="626" spans="1:38"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row>
    <row r="627" spans="1:38"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row>
    <row r="628" spans="1:38"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row>
    <row r="629" spans="1:38"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row>
    <row r="630" spans="1:38"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row>
    <row r="631" spans="1:38"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row>
    <row r="632" spans="1:38"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row>
    <row r="633" spans="1:38"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row>
    <row r="634" spans="1:38"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row>
    <row r="635" spans="1:38"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row>
    <row r="636" spans="1:38"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row>
    <row r="637" spans="1:38"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row>
    <row r="638" spans="1:38"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row>
    <row r="639" spans="1:38"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row>
    <row r="640" spans="1:38"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row>
    <row r="641" spans="1:38"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row>
    <row r="642" spans="1:38"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row>
    <row r="643" spans="1:38"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row>
    <row r="644" spans="1:38"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row>
    <row r="645" spans="1:38"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row>
    <row r="646" spans="1:38"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row>
    <row r="647" spans="1:38"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row>
    <row r="648" spans="1:38"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row>
    <row r="649" spans="1:38"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row>
    <row r="650" spans="1:38"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row>
    <row r="651" spans="1:38"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row>
    <row r="652" spans="1:38"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row>
    <row r="653" spans="1:38"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row>
    <row r="654" spans="1:38"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row>
    <row r="655" spans="1:38"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row>
    <row r="656" spans="1:38"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row>
    <row r="657" spans="1:38"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row>
    <row r="658" spans="1:38"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row>
    <row r="659" spans="1:38"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row>
    <row r="660" spans="1:38"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row>
    <row r="661" spans="1:38"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row>
    <row r="662" spans="1:38"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row>
    <row r="663" spans="1:38"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row>
    <row r="664" spans="1:38"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row>
    <row r="665" spans="1:38"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row>
    <row r="666" spans="1:38"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row>
    <row r="667" spans="1:38"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row>
    <row r="668" spans="1:38"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row>
    <row r="669" spans="1:38"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row>
    <row r="670" spans="1:38"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row>
    <row r="671" spans="1:38"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row>
    <row r="672" spans="1:38"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row>
    <row r="673" spans="1:38"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row>
    <row r="674" spans="1:38"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row>
    <row r="675" spans="1:38"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row>
    <row r="676" spans="1:38"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row>
    <row r="677" spans="1:38"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row>
    <row r="678" spans="1:38"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row>
    <row r="679" spans="1:38"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row>
    <row r="680" spans="1:38"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row>
    <row r="681" spans="1:38"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row>
    <row r="682" spans="1:38"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row>
    <row r="683" spans="1:38"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row>
    <row r="684" spans="1:38"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row>
    <row r="685" spans="1:38"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row>
    <row r="686" spans="1:38"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row>
    <row r="687" spans="1:38"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row>
    <row r="688" spans="1:38"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row>
    <row r="689" spans="1:38"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row>
    <row r="690" spans="1:38"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row>
    <row r="691" spans="1:38"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row>
    <row r="692" spans="1:38"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row>
    <row r="693" spans="1:38"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row>
    <row r="694" spans="1:38"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row>
    <row r="695" spans="1:38"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row>
    <row r="696" spans="1:38"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row>
    <row r="697" spans="1:38"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row>
    <row r="698" spans="1:38"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row>
    <row r="699" spans="1:38"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row>
    <row r="700" spans="1:38"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row>
    <row r="701" spans="1:38"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row>
    <row r="702" spans="1:38"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row>
    <row r="703" spans="1:38"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row>
    <row r="704" spans="1:38"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row>
    <row r="705" spans="1:38"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row>
    <row r="706" spans="1:38"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row>
    <row r="707" spans="1:38"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row>
    <row r="708" spans="1:38"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row>
    <row r="709" spans="1:38"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row>
    <row r="710" spans="1:38"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row>
    <row r="711" spans="1:38"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row>
    <row r="712" spans="1:38"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row>
    <row r="713" spans="1:38"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row>
    <row r="714" spans="1:38"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row>
    <row r="715" spans="1:38"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row>
    <row r="716" spans="1:38"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row>
    <row r="717" spans="1:38"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row>
    <row r="718" spans="1:38"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row>
    <row r="719" spans="1:38"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row>
    <row r="720" spans="1:38"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row>
    <row r="721" spans="1:38"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row>
    <row r="722" spans="1:38"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row>
    <row r="723" spans="1:38"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row>
    <row r="724" spans="1:38"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row>
    <row r="725" spans="1:38"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row>
    <row r="726" spans="1:38"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row>
    <row r="727" spans="1:38"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row>
    <row r="728" spans="1:38"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row>
    <row r="729" spans="1:38"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row>
    <row r="730" spans="1:38"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row>
    <row r="731" spans="1:38"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row>
    <row r="732" spans="1:38"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row>
    <row r="733" spans="1:38"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row>
    <row r="734" spans="1:38"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row>
    <row r="735" spans="1:38"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row>
    <row r="736" spans="1:38"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row>
    <row r="737" spans="1:38"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row>
    <row r="738" spans="1:38"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row>
    <row r="739" spans="1:38"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row>
    <row r="740" spans="1:38"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row>
    <row r="741" spans="1:38"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row>
    <row r="742" spans="1:38"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row>
    <row r="743" spans="1:38"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row>
    <row r="744" spans="1:38"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row>
    <row r="745" spans="1:38"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row>
    <row r="746" spans="1:38"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row>
    <row r="747" spans="1:38"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row>
    <row r="748" spans="1:38"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row>
    <row r="749" spans="1:38"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row>
    <row r="750" spans="1:38"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row>
    <row r="751" spans="1:38"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row>
    <row r="752" spans="1:38"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row>
    <row r="753" spans="1:38"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row>
    <row r="754" spans="1:38"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row>
    <row r="755" spans="1:38"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row>
    <row r="756" spans="1:38"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row>
    <row r="757" spans="1:38"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row>
    <row r="758" spans="1:38"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row>
    <row r="759" spans="1:38"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row>
    <row r="760" spans="1:38"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row>
    <row r="761" spans="1:38"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row>
    <row r="762" spans="1:38"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row>
    <row r="763" spans="1:38"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row>
    <row r="764" spans="1:38"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row>
    <row r="765" spans="1:38"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row>
    <row r="766" spans="1:38"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row>
    <row r="767" spans="1:38"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row>
    <row r="768" spans="1:38"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row>
    <row r="769" spans="1:38"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row>
    <row r="770" spans="1:38"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row>
    <row r="771" spans="1:38"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row>
    <row r="772" spans="1:38"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row>
    <row r="773" spans="1:38"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row>
    <row r="774" spans="1:38"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row>
    <row r="775" spans="1:38"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row>
    <row r="776" spans="1:38"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row>
    <row r="777" spans="1:38"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row>
    <row r="778" spans="1:38"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row>
    <row r="779" spans="1:38"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row>
    <row r="780" spans="1:38"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row>
    <row r="781" spans="1:38"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row>
    <row r="782" spans="1:38"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row>
    <row r="783" spans="1:38"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row>
    <row r="784" spans="1:38"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row>
    <row r="785" spans="1:38"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row>
    <row r="786" spans="1:38"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row>
    <row r="787" spans="1:38"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row>
    <row r="788" spans="1:38"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row>
    <row r="789" spans="1:38"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row>
    <row r="790" spans="1:38"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row>
    <row r="791" spans="1:38"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row>
    <row r="792" spans="1:38"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row>
    <row r="793" spans="1:38"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row>
    <row r="794" spans="1:38"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row>
    <row r="795" spans="1:38"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row>
    <row r="796" spans="1:38"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row>
    <row r="797" spans="1:38"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row>
    <row r="798" spans="1:38"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row>
    <row r="799" spans="1:38"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row>
    <row r="800" spans="1:38"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row>
    <row r="801" spans="1:38"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row>
    <row r="802" spans="1:38"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row>
    <row r="803" spans="1:38"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row>
    <row r="804" spans="1:38"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row>
    <row r="805" spans="1:38"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row>
    <row r="806" spans="1:38"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row>
    <row r="807" spans="1:38"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row>
    <row r="808" spans="1:38"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row>
    <row r="809" spans="1:38"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row>
    <row r="810" spans="1:38"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row>
    <row r="811" spans="1:38"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row>
    <row r="812" spans="1:38"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row>
    <row r="813" spans="1:38"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row>
    <row r="814" spans="1:38"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row>
    <row r="815" spans="1:38"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row>
    <row r="816" spans="1:38"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row>
    <row r="817" spans="1:38"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row>
    <row r="818" spans="1:38"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row>
    <row r="819" spans="1:38"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row>
    <row r="820" spans="1:38"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row>
    <row r="821" spans="1:38"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row>
    <row r="822" spans="1:38"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row>
    <row r="823" spans="1:38"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row>
    <row r="824" spans="1:38"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row>
    <row r="825" spans="1:38"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row>
    <row r="826" spans="1:38"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row>
    <row r="827" spans="1:38"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row>
    <row r="828" spans="1:38"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row>
    <row r="829" spans="1:38"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row>
    <row r="830" spans="1:38"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row>
    <row r="831" spans="1:38"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row>
    <row r="832" spans="1:38"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row>
    <row r="833" spans="1:38"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row>
    <row r="834" spans="1:38"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row>
    <row r="835" spans="1:38"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row>
    <row r="836" spans="1:38"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row>
    <row r="837" spans="1:38"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row>
    <row r="838" spans="1:38"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row>
    <row r="839" spans="1:38"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row>
    <row r="840" spans="1:38"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row>
    <row r="841" spans="1:38"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row>
    <row r="842" spans="1:38"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row>
    <row r="843" spans="1:38"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row>
    <row r="844" spans="1:38"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row>
    <row r="845" spans="1:38"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row>
    <row r="846" spans="1:38"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row>
    <row r="847" spans="1:38"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row>
    <row r="848" spans="1:38"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row>
    <row r="849" spans="1:38"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row>
    <row r="850" spans="1:38"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row>
    <row r="851" spans="1:38"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row>
    <row r="852" spans="1:38"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row>
    <row r="853" spans="1:38"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row>
    <row r="854" spans="1:38"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row>
    <row r="855" spans="1:38"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row>
    <row r="856" spans="1:38"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row>
    <row r="857" spans="1:38"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row>
    <row r="858" spans="1:38"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row>
    <row r="859" spans="1:38"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row>
    <row r="860" spans="1:38"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row>
    <row r="861" spans="1:38"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row>
    <row r="862" spans="1:38"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row>
    <row r="863" spans="1:38"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row>
    <row r="864" spans="1:38"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row>
    <row r="865" spans="1:38"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row>
    <row r="866" spans="1:38"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row>
    <row r="867" spans="1:38"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row>
    <row r="868" spans="1:38"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row>
    <row r="869" spans="1:38"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row>
    <row r="870" spans="1:38"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row>
    <row r="871" spans="1:38"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row>
    <row r="872" spans="1:38"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row>
    <row r="873" spans="1:38"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row>
    <row r="874" spans="1:38"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row>
    <row r="875" spans="1:38"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row>
    <row r="876" spans="1:38"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row>
    <row r="877" spans="1:38"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row>
    <row r="878" spans="1:38"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row>
    <row r="879" spans="1:38"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row>
    <row r="880" spans="1:38"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row>
    <row r="881" spans="1:38"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row>
    <row r="882" spans="1:38"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row>
    <row r="883" spans="1:38"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row>
    <row r="884" spans="1:38"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row>
    <row r="885" spans="1:38"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row>
    <row r="886" spans="1:38"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row>
    <row r="887" spans="1:38"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row>
    <row r="888" spans="1:38"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row>
    <row r="889" spans="1:38"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row>
    <row r="890" spans="1:38"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row>
    <row r="891" spans="1:38"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row>
    <row r="892" spans="1:38"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row>
    <row r="893" spans="1:38"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row>
    <row r="894" spans="1:38"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row>
    <row r="895" spans="1:38"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row>
    <row r="896" spans="1:38"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row>
    <row r="897" spans="1:38"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row>
    <row r="898" spans="1:38"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row>
    <row r="899" spans="1:38"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row>
    <row r="900" spans="1:38"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row>
    <row r="901" spans="1:38"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row>
    <row r="902" spans="1:38"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row>
    <row r="903" spans="1:38"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row>
    <row r="904" spans="1:38"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row>
    <row r="905" spans="1:38"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row>
    <row r="906" spans="1:38"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row>
    <row r="907" spans="1:38"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row>
    <row r="908" spans="1:38"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row>
    <row r="909" spans="1:38"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row>
    <row r="910" spans="1:38"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row>
    <row r="911" spans="1:38"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row>
    <row r="912" spans="1:38"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row>
    <row r="913" spans="1:38"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row>
    <row r="914" spans="1:38"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row>
    <row r="915" spans="1:38"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row>
    <row r="916" spans="1:38"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row>
    <row r="917" spans="1:38"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row>
    <row r="918" spans="1:38"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row>
    <row r="919" spans="1:38"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row>
    <row r="920" spans="1:38"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row>
    <row r="921" spans="1:38"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row>
    <row r="922" spans="1:38"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row>
    <row r="923" spans="1:38"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row>
    <row r="924" spans="1:38"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row>
    <row r="925" spans="1:38"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row>
    <row r="926" spans="1:38"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row>
    <row r="927" spans="1:38"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row>
    <row r="928" spans="1:38"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row>
    <row r="929" spans="1:38"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row>
    <row r="930" spans="1:38"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row>
    <row r="931" spans="1:38"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row>
    <row r="932" spans="1:38"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row>
    <row r="933" spans="1:38"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row>
    <row r="934" spans="1:38"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row>
    <row r="935" spans="1:38"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row>
    <row r="936" spans="1:38"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row>
    <row r="937" spans="1:38"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row>
    <row r="938" spans="1:38"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row>
    <row r="939" spans="1:38"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row>
    <row r="940" spans="1:38"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row>
    <row r="941" spans="1:38"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row>
    <row r="942" spans="1:38"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row>
    <row r="943" spans="1:38"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row>
    <row r="944" spans="1:38"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row>
    <row r="945" spans="1:38"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row>
    <row r="946" spans="1:38"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row>
    <row r="947" spans="1:38"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row>
    <row r="948" spans="1:38"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row>
    <row r="949" spans="1:38"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row>
    <row r="950" spans="1:38"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row>
    <row r="951" spans="1:38"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row>
    <row r="952" spans="1:38"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row>
    <row r="953" spans="1:38"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row>
    <row r="954" spans="1:38"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row>
    <row r="955" spans="1:38"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row>
    <row r="956" spans="1:38"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row>
    <row r="957" spans="1:38"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row>
    <row r="958" spans="1:38"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row>
    <row r="959" spans="1:38"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row>
    <row r="960" spans="1:38"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row>
    <row r="961" spans="1:38"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row>
    <row r="962" spans="1:38"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row>
    <row r="963" spans="1:38"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row>
    <row r="964" spans="1:38"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row>
    <row r="965" spans="1:38"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row>
    <row r="966" spans="1:38"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row>
    <row r="967" spans="1:38"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row>
    <row r="968" spans="1:38"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row>
    <row r="969" spans="1:38"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row>
    <row r="970" spans="1:38"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row>
    <row r="971" spans="1:38"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row>
    <row r="972" spans="1:38"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row>
    <row r="973" spans="1:38"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row>
    <row r="974" spans="1:38"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row>
    <row r="975" spans="1:38"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row>
    <row r="976" spans="1:38"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row>
    <row r="977" spans="1:38"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row>
    <row r="978" spans="1:38"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row>
    <row r="979" spans="1:38"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row>
    <row r="980" spans="1:38"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row>
    <row r="981" spans="1:38"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row>
    <row r="982" spans="1:38"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row>
    <row r="983" spans="1:38"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row>
    <row r="984" spans="1:38"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row>
    <row r="985" spans="1:38"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row>
    <row r="986" spans="1:38"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row>
    <row r="987" spans="1:38"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row>
    <row r="988" spans="1:38"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row>
    <row r="989" spans="1:38"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row>
    <row r="990" spans="1:38"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row>
    <row r="991" spans="1:38"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row>
    <row r="992" spans="1:38"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row>
    <row r="993" spans="1:38"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row>
    <row r="994" spans="1:38"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row>
    <row r="995" spans="1:38"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row>
    <row r="996" spans="1:38"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row>
    <row r="997" spans="1:38"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row>
    <row r="998" spans="1:38"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row>
    <row r="999" spans="1:38"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row>
    <row r="1000" spans="1:38"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row>
  </sheetData>
  <mergeCells count="1">
    <mergeCell ref="A1:S1"/>
  </mergeCells>
  <hyperlinks>
    <hyperlink ref="R3" location="'Cover Sheet'!A1" display="BACK TO COVER SHEET" xr:uid="{00000000-0004-0000-28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1000"/>
  <sheetViews>
    <sheetView showGridLines="0" workbookViewId="0"/>
  </sheetViews>
  <sheetFormatPr baseColWidth="10" defaultColWidth="12.5703125" defaultRowHeight="15" customHeight="1"/>
  <cols>
    <col min="1" max="21" width="5" customWidth="1"/>
    <col min="22" max="22" width="6.42578125" customWidth="1"/>
    <col min="23" max="38" width="5" customWidth="1"/>
  </cols>
  <sheetData>
    <row r="1" spans="1:38" ht="12.75" customHeight="1">
      <c r="A1" s="675" t="s">
        <v>882</v>
      </c>
      <c r="B1" s="595"/>
      <c r="C1" s="595"/>
      <c r="D1" s="595"/>
      <c r="E1" s="595"/>
      <c r="F1" s="595"/>
      <c r="G1" s="595"/>
      <c r="H1" s="595"/>
      <c r="I1" s="595"/>
      <c r="J1" s="595"/>
      <c r="K1" s="595"/>
      <c r="L1" s="595"/>
      <c r="M1" s="595"/>
      <c r="N1" s="595"/>
      <c r="O1" s="595"/>
      <c r="P1" s="595"/>
      <c r="Q1" s="595"/>
      <c r="R1" s="595"/>
      <c r="S1" s="596"/>
      <c r="T1" s="382"/>
      <c r="U1" s="37"/>
      <c r="V1" s="37"/>
      <c r="W1" s="37"/>
      <c r="X1" s="37"/>
      <c r="Y1" s="37"/>
      <c r="Z1" s="37"/>
      <c r="AA1" s="37"/>
      <c r="AB1" s="37"/>
      <c r="AC1" s="37"/>
      <c r="AD1" s="37"/>
      <c r="AE1" s="37"/>
      <c r="AF1" s="37"/>
      <c r="AG1" s="37"/>
      <c r="AH1" s="37"/>
      <c r="AI1" s="37"/>
      <c r="AJ1" s="37"/>
      <c r="AK1" s="37"/>
      <c r="AL1" s="38"/>
    </row>
    <row r="2" spans="1:38" ht="12.75" customHeight="1">
      <c r="A2" s="525"/>
      <c r="B2" s="526"/>
      <c r="C2" s="526"/>
      <c r="D2" s="526"/>
      <c r="E2" s="526"/>
      <c r="F2" s="526"/>
      <c r="G2" s="526"/>
      <c r="H2" s="526"/>
      <c r="I2" s="526"/>
      <c r="J2" s="526"/>
      <c r="K2" s="526"/>
      <c r="L2" s="526"/>
      <c r="M2" s="526"/>
      <c r="N2" s="526"/>
      <c r="O2" s="526"/>
      <c r="P2" s="526"/>
      <c r="Q2" s="526"/>
      <c r="R2" s="526"/>
      <c r="S2" s="527"/>
      <c r="T2" s="80"/>
      <c r="AL2" s="141"/>
    </row>
    <row r="3" spans="1:38" ht="12.75" customHeight="1">
      <c r="A3" s="528"/>
      <c r="B3" s="529" t="s">
        <v>883</v>
      </c>
      <c r="C3" s="529"/>
      <c r="D3" s="529"/>
      <c r="E3" s="529"/>
      <c r="F3" s="529"/>
      <c r="G3" s="529"/>
      <c r="H3" s="529"/>
      <c r="I3" s="529"/>
      <c r="J3" s="529"/>
      <c r="K3" s="529"/>
      <c r="L3" s="529"/>
      <c r="M3" s="529"/>
      <c r="N3" s="529"/>
      <c r="O3" s="529"/>
      <c r="P3" s="529"/>
      <c r="R3" s="39" t="s">
        <v>884</v>
      </c>
      <c r="S3" s="531"/>
      <c r="T3" s="80"/>
      <c r="AL3" s="141"/>
    </row>
    <row r="4" spans="1:38" ht="12.75" customHeight="1">
      <c r="A4" s="528"/>
      <c r="C4" s="529"/>
      <c r="D4" s="529"/>
      <c r="E4" s="529"/>
      <c r="F4" s="529"/>
      <c r="G4" s="529"/>
      <c r="H4" s="529"/>
      <c r="I4" s="529"/>
      <c r="J4" s="529"/>
      <c r="K4" s="529"/>
      <c r="L4" s="529"/>
      <c r="M4" s="529"/>
      <c r="N4" s="529"/>
      <c r="O4" s="529"/>
      <c r="P4" s="529"/>
      <c r="Q4" s="529"/>
      <c r="R4" s="529"/>
      <c r="S4" s="531"/>
      <c r="T4" s="80"/>
      <c r="AL4" s="141"/>
    </row>
    <row r="5" spans="1:38" ht="12.75" customHeight="1">
      <c r="A5" s="528"/>
      <c r="B5" s="67" t="s">
        <v>885</v>
      </c>
      <c r="C5" s="529"/>
      <c r="D5" s="529"/>
      <c r="E5" s="529"/>
      <c r="F5" s="529"/>
      <c r="G5" s="529"/>
      <c r="H5" s="529"/>
      <c r="I5" s="529"/>
      <c r="J5" s="529"/>
      <c r="K5" s="529"/>
      <c r="L5" s="529"/>
      <c r="M5" s="529"/>
      <c r="N5" s="529"/>
      <c r="O5" s="529"/>
      <c r="P5" s="529"/>
      <c r="Q5" s="529"/>
      <c r="R5" s="529"/>
      <c r="S5" s="531"/>
      <c r="T5" s="80"/>
      <c r="AL5" s="141"/>
    </row>
    <row r="6" spans="1:38" ht="12.75" customHeight="1">
      <c r="A6" s="528"/>
      <c r="B6" s="529" t="s">
        <v>886</v>
      </c>
      <c r="C6" s="529"/>
      <c r="D6" s="529"/>
      <c r="E6" s="529"/>
      <c r="F6" s="529"/>
      <c r="G6" s="529"/>
      <c r="H6" s="529"/>
      <c r="I6" s="529"/>
      <c r="J6" s="529"/>
      <c r="K6" s="529"/>
      <c r="L6" s="529"/>
      <c r="M6" s="529"/>
      <c r="N6" s="529"/>
      <c r="O6" s="529"/>
      <c r="P6" s="529"/>
      <c r="Q6" s="529"/>
      <c r="R6" s="529"/>
      <c r="S6" s="531"/>
      <c r="T6" s="80"/>
      <c r="AL6" s="141"/>
    </row>
    <row r="7" spans="1:38" ht="12.75" customHeight="1">
      <c r="A7" s="528"/>
      <c r="B7" s="67" t="s">
        <v>887</v>
      </c>
      <c r="C7" s="529"/>
      <c r="D7" s="529"/>
      <c r="E7" s="529"/>
      <c r="F7" s="529"/>
      <c r="G7" s="529"/>
      <c r="H7" s="529"/>
      <c r="I7" s="529"/>
      <c r="J7" s="529"/>
      <c r="K7" s="529"/>
      <c r="L7" s="529"/>
      <c r="M7" s="529"/>
      <c r="N7" s="529"/>
      <c r="O7" s="529"/>
      <c r="P7" s="529"/>
      <c r="Q7" s="529"/>
      <c r="R7" s="529"/>
      <c r="S7" s="531"/>
      <c r="T7" s="80"/>
      <c r="AL7" s="141"/>
    </row>
    <row r="8" spans="1:38" ht="12.75" customHeight="1">
      <c r="A8" s="528"/>
      <c r="C8" s="529"/>
      <c r="D8" s="529"/>
      <c r="E8" s="529"/>
      <c r="F8" s="529"/>
      <c r="G8" s="529"/>
      <c r="H8" s="529"/>
      <c r="I8" s="529"/>
      <c r="J8" s="529"/>
      <c r="K8" s="529"/>
      <c r="L8" s="529"/>
      <c r="M8" s="529"/>
      <c r="N8" s="529"/>
      <c r="O8" s="529"/>
      <c r="P8" s="529"/>
      <c r="Q8" s="529"/>
      <c r="R8" s="529"/>
      <c r="S8" s="531"/>
      <c r="T8" s="80"/>
      <c r="AL8" s="141"/>
    </row>
    <row r="9" spans="1:38" ht="12.75" customHeight="1">
      <c r="A9" s="528"/>
      <c r="B9" s="67" t="s">
        <v>888</v>
      </c>
      <c r="C9" s="529"/>
      <c r="D9" s="529"/>
      <c r="E9" s="529"/>
      <c r="F9" s="529"/>
      <c r="G9" s="529"/>
      <c r="H9" s="529"/>
      <c r="I9" s="529"/>
      <c r="J9" s="529"/>
      <c r="K9" s="529"/>
      <c r="L9" s="529"/>
      <c r="M9" s="529"/>
      <c r="N9" s="529"/>
      <c r="O9" s="529"/>
      <c r="P9" s="529"/>
      <c r="Q9" s="529"/>
      <c r="R9" s="529"/>
      <c r="S9" s="531"/>
      <c r="T9" s="80"/>
      <c r="AL9" s="141"/>
    </row>
    <row r="10" spans="1:38" ht="12.75" customHeight="1">
      <c r="A10" s="528"/>
      <c r="B10" s="529" t="s">
        <v>889</v>
      </c>
      <c r="C10" s="529"/>
      <c r="D10" s="529"/>
      <c r="E10" s="529"/>
      <c r="F10" s="529"/>
      <c r="G10" s="529"/>
      <c r="H10" s="529"/>
      <c r="I10" s="529"/>
      <c r="J10" s="529"/>
      <c r="K10" s="529"/>
      <c r="L10" s="529"/>
      <c r="M10" s="529"/>
      <c r="N10" s="529"/>
      <c r="O10" s="529"/>
      <c r="P10" s="529"/>
      <c r="Q10" s="529"/>
      <c r="R10" s="529"/>
      <c r="S10" s="531"/>
      <c r="T10" s="80"/>
      <c r="AL10" s="141"/>
    </row>
    <row r="11" spans="1:38" ht="12.75" customHeight="1">
      <c r="A11" s="528"/>
      <c r="B11" s="67" t="s">
        <v>890</v>
      </c>
      <c r="C11" s="529"/>
      <c r="D11" s="529"/>
      <c r="E11" s="529"/>
      <c r="F11" s="529"/>
      <c r="G11" s="529"/>
      <c r="H11" s="529"/>
      <c r="I11" s="529"/>
      <c r="J11" s="529"/>
      <c r="K11" s="529"/>
      <c r="L11" s="529"/>
      <c r="M11" s="529"/>
      <c r="N11" s="529"/>
      <c r="O11" s="529"/>
      <c r="P11" s="529"/>
      <c r="Q11" s="529"/>
      <c r="R11" s="529"/>
      <c r="S11" s="531"/>
      <c r="T11" s="80"/>
      <c r="AL11" s="141"/>
    </row>
    <row r="12" spans="1:38" ht="12.75" customHeight="1">
      <c r="A12" s="528"/>
      <c r="B12" s="529" t="s">
        <v>891</v>
      </c>
      <c r="C12" s="529"/>
      <c r="D12" s="529"/>
      <c r="E12" s="529"/>
      <c r="F12" s="529"/>
      <c r="G12" s="529"/>
      <c r="H12" s="529"/>
      <c r="I12" s="529"/>
      <c r="J12" s="529"/>
      <c r="K12" s="529"/>
      <c r="L12" s="529"/>
      <c r="M12" s="529"/>
      <c r="N12" s="529"/>
      <c r="O12" s="529"/>
      <c r="P12" s="529"/>
      <c r="Q12" s="529"/>
      <c r="R12" s="529"/>
      <c r="S12" s="531"/>
      <c r="T12" s="80"/>
      <c r="AL12" s="141"/>
    </row>
    <row r="13" spans="1:38" ht="12.75" customHeight="1">
      <c r="A13" s="528"/>
      <c r="B13" s="529" t="s">
        <v>892</v>
      </c>
      <c r="C13" s="529"/>
      <c r="D13" s="529"/>
      <c r="E13" s="529"/>
      <c r="F13" s="529"/>
      <c r="G13" s="529"/>
      <c r="H13" s="529"/>
      <c r="I13" s="529"/>
      <c r="J13" s="529"/>
      <c r="K13" s="529"/>
      <c r="L13" s="529"/>
      <c r="M13" s="529"/>
      <c r="N13" s="529"/>
      <c r="O13" s="529"/>
      <c r="P13" s="529"/>
      <c r="Q13" s="529"/>
      <c r="R13" s="529"/>
      <c r="S13" s="531"/>
      <c r="T13" s="80"/>
      <c r="AL13" s="141"/>
    </row>
    <row r="14" spans="1:38" ht="12.75" customHeight="1">
      <c r="A14" s="528"/>
      <c r="B14" s="529" t="s">
        <v>893</v>
      </c>
      <c r="C14" s="529"/>
      <c r="D14" s="529"/>
      <c r="E14" s="529"/>
      <c r="F14" s="529"/>
      <c r="G14" s="529"/>
      <c r="H14" s="529"/>
      <c r="I14" s="529"/>
      <c r="J14" s="529"/>
      <c r="K14" s="529"/>
      <c r="L14" s="529"/>
      <c r="M14" s="529"/>
      <c r="N14" s="529"/>
      <c r="O14" s="529"/>
      <c r="P14" s="529"/>
      <c r="Q14" s="529"/>
      <c r="R14" s="529"/>
      <c r="S14" s="531"/>
      <c r="T14" s="80"/>
      <c r="AL14" s="141"/>
    </row>
    <row r="15" spans="1:38" ht="12.75" customHeight="1">
      <c r="A15" s="528"/>
      <c r="B15" s="529"/>
      <c r="C15" s="529"/>
      <c r="D15" s="529"/>
      <c r="E15" s="529"/>
      <c r="F15" s="529"/>
      <c r="G15" s="529"/>
      <c r="H15" s="529"/>
      <c r="I15" s="529"/>
      <c r="J15" s="529"/>
      <c r="K15" s="529"/>
      <c r="L15" s="529"/>
      <c r="M15" s="529"/>
      <c r="N15" s="529"/>
      <c r="O15" s="529"/>
      <c r="P15" s="529"/>
      <c r="Q15" s="529"/>
      <c r="R15" s="529"/>
      <c r="S15" s="531"/>
      <c r="T15" s="80"/>
      <c r="AL15" s="141"/>
    </row>
    <row r="16" spans="1:38" ht="12.75" customHeight="1">
      <c r="A16" s="528"/>
      <c r="B16" s="529" t="s">
        <v>880</v>
      </c>
      <c r="C16" s="529"/>
      <c r="D16" s="529"/>
      <c r="E16" s="529"/>
      <c r="F16" s="529"/>
      <c r="G16" s="529"/>
      <c r="H16" s="529"/>
      <c r="I16" s="529"/>
      <c r="J16" s="529"/>
      <c r="K16" s="529"/>
      <c r="L16" s="529"/>
      <c r="M16" s="529"/>
      <c r="N16" s="529"/>
      <c r="O16" s="529"/>
      <c r="P16" s="529"/>
      <c r="Q16" s="529"/>
      <c r="R16" s="529"/>
      <c r="S16" s="531"/>
      <c r="T16" s="80"/>
      <c r="AL16" s="141"/>
    </row>
    <row r="17" spans="1:38" ht="12.75" customHeight="1">
      <c r="A17" s="528"/>
      <c r="C17" s="529"/>
      <c r="D17" s="529"/>
      <c r="E17" s="529"/>
      <c r="F17" s="529"/>
      <c r="G17" s="529"/>
      <c r="H17" s="529"/>
      <c r="I17" s="529"/>
      <c r="J17" s="529"/>
      <c r="K17" s="529"/>
      <c r="L17" s="529"/>
      <c r="M17" s="529"/>
      <c r="N17" s="529"/>
      <c r="O17" s="529"/>
      <c r="P17" s="529"/>
      <c r="Q17" s="529"/>
      <c r="R17" s="529"/>
      <c r="S17" s="531"/>
      <c r="T17" s="80"/>
      <c r="AL17" s="141"/>
    </row>
    <row r="18" spans="1:38" ht="12.75" customHeight="1">
      <c r="A18" s="528"/>
      <c r="C18" s="529"/>
      <c r="D18" s="529"/>
      <c r="E18" s="529"/>
      <c r="F18" s="529"/>
      <c r="G18" s="529"/>
      <c r="H18" s="529"/>
      <c r="I18" s="529"/>
      <c r="J18" s="529"/>
      <c r="K18" s="529"/>
      <c r="L18" s="529"/>
      <c r="M18" s="529"/>
      <c r="N18" s="529"/>
      <c r="O18" s="529"/>
      <c r="P18" s="529"/>
      <c r="Q18" s="529"/>
      <c r="R18" s="529"/>
      <c r="S18" s="531"/>
      <c r="T18" s="80"/>
      <c r="U18" s="529" t="s">
        <v>894</v>
      </c>
      <c r="AL18" s="141"/>
    </row>
    <row r="19" spans="1:38" ht="12.75" customHeight="1">
      <c r="A19" s="528"/>
      <c r="C19" s="529"/>
      <c r="D19" s="529"/>
      <c r="E19" s="529"/>
      <c r="F19" s="529"/>
      <c r="G19" s="529"/>
      <c r="H19" s="529"/>
      <c r="I19" s="529"/>
      <c r="J19" s="529"/>
      <c r="K19" s="529"/>
      <c r="L19" s="529"/>
      <c r="M19" s="529"/>
      <c r="N19" s="529"/>
      <c r="O19" s="529"/>
      <c r="P19" s="529"/>
      <c r="Q19" s="529"/>
      <c r="R19" s="529"/>
      <c r="S19" s="531"/>
      <c r="T19" s="80"/>
      <c r="AL19" s="141"/>
    </row>
    <row r="20" spans="1:38" ht="12.75" customHeight="1">
      <c r="A20" s="528"/>
      <c r="B20" s="529"/>
      <c r="C20" s="529"/>
      <c r="D20" s="529"/>
      <c r="E20" s="529"/>
      <c r="F20" s="529"/>
      <c r="G20" s="529"/>
      <c r="H20" s="529"/>
      <c r="I20" s="529"/>
      <c r="J20" s="529"/>
      <c r="K20" s="529"/>
      <c r="L20" s="529"/>
      <c r="M20" s="529"/>
      <c r="N20" s="529"/>
      <c r="O20" s="529"/>
      <c r="P20" s="529"/>
      <c r="Q20" s="529"/>
      <c r="R20" s="529"/>
      <c r="S20" s="531"/>
      <c r="T20" s="80"/>
      <c r="AL20" s="141"/>
    </row>
    <row r="21" spans="1:38" ht="12.75" customHeight="1">
      <c r="A21" s="528"/>
      <c r="B21" s="529"/>
      <c r="C21" s="529"/>
      <c r="D21" s="529"/>
      <c r="E21" s="529"/>
      <c r="F21" s="529"/>
      <c r="G21" s="529"/>
      <c r="H21" s="529"/>
      <c r="I21" s="529"/>
      <c r="J21" s="529"/>
      <c r="K21" s="529"/>
      <c r="L21" s="529"/>
      <c r="M21" s="529"/>
      <c r="N21" s="529"/>
      <c r="O21" s="529"/>
      <c r="P21" s="529"/>
      <c r="Q21" s="529"/>
      <c r="R21" s="529"/>
      <c r="S21" s="531"/>
      <c r="T21" s="80"/>
      <c r="AL21" s="141"/>
    </row>
    <row r="22" spans="1:38" ht="12.75" customHeight="1">
      <c r="A22" s="528"/>
      <c r="B22" s="529"/>
      <c r="C22" s="529"/>
      <c r="D22" s="529"/>
      <c r="E22" s="529"/>
      <c r="F22" s="529"/>
      <c r="G22" s="529"/>
      <c r="H22" s="529"/>
      <c r="I22" s="529"/>
      <c r="J22" s="529"/>
      <c r="K22" s="529"/>
      <c r="L22" s="529"/>
      <c r="M22" s="529"/>
      <c r="N22" s="529"/>
      <c r="O22" s="529"/>
      <c r="P22" s="529"/>
      <c r="Q22" s="529"/>
      <c r="R22" s="529"/>
      <c r="S22" s="531"/>
      <c r="T22" s="80"/>
      <c r="AL22" s="141"/>
    </row>
    <row r="23" spans="1:38" ht="12.75" customHeight="1">
      <c r="A23" s="528"/>
      <c r="B23" s="532"/>
      <c r="C23" s="529"/>
      <c r="D23" s="529"/>
      <c r="E23" s="529"/>
      <c r="F23" s="529"/>
      <c r="G23" s="529"/>
      <c r="H23" s="529"/>
      <c r="I23" s="529"/>
      <c r="J23" s="529"/>
      <c r="K23" s="529"/>
      <c r="L23" s="529"/>
      <c r="M23" s="529"/>
      <c r="N23" s="529"/>
      <c r="O23" s="529"/>
      <c r="P23" s="529"/>
      <c r="Q23" s="529"/>
      <c r="R23" s="529"/>
      <c r="S23" s="531"/>
      <c r="T23" s="80"/>
      <c r="AL23" s="141"/>
    </row>
    <row r="24" spans="1:38" ht="12.75" customHeight="1">
      <c r="A24" s="528"/>
      <c r="C24" s="529"/>
      <c r="D24" s="529"/>
      <c r="E24" s="529"/>
      <c r="F24" s="529"/>
      <c r="G24" s="529"/>
      <c r="H24" s="529"/>
      <c r="I24" s="529"/>
      <c r="J24" s="529"/>
      <c r="K24" s="529"/>
      <c r="L24" s="529"/>
      <c r="M24" s="529"/>
      <c r="N24" s="529"/>
      <c r="O24" s="529"/>
      <c r="P24" s="529"/>
      <c r="Q24" s="529"/>
      <c r="R24" s="529"/>
      <c r="S24" s="531"/>
      <c r="T24" s="80"/>
      <c r="AL24" s="141"/>
    </row>
    <row r="25" spans="1:38" ht="12.75" customHeight="1">
      <c r="A25" s="528"/>
      <c r="B25" s="532"/>
      <c r="C25" s="529"/>
      <c r="D25" s="529"/>
      <c r="E25" s="529"/>
      <c r="F25" s="529"/>
      <c r="G25" s="529"/>
      <c r="H25" s="529"/>
      <c r="I25" s="529"/>
      <c r="J25" s="529"/>
      <c r="K25" s="529"/>
      <c r="L25" s="529"/>
      <c r="M25" s="529"/>
      <c r="N25" s="529"/>
      <c r="O25" s="529"/>
      <c r="P25" s="529"/>
      <c r="Q25" s="529"/>
      <c r="R25" s="529"/>
      <c r="S25" s="531"/>
      <c r="T25" s="80"/>
      <c r="AL25" s="141"/>
    </row>
    <row r="26" spans="1:38" ht="12.75" customHeight="1">
      <c r="A26" s="528"/>
      <c r="C26" s="529"/>
      <c r="D26" s="529"/>
      <c r="E26" s="529"/>
      <c r="F26" s="529"/>
      <c r="G26" s="529"/>
      <c r="H26" s="529"/>
      <c r="I26" s="529"/>
      <c r="J26" s="529"/>
      <c r="K26" s="529"/>
      <c r="L26" s="529"/>
      <c r="M26" s="529"/>
      <c r="N26" s="529"/>
      <c r="O26" s="529"/>
      <c r="P26" s="529"/>
      <c r="Q26" s="529"/>
      <c r="R26" s="529"/>
      <c r="S26" s="531"/>
      <c r="T26" s="80"/>
      <c r="AL26" s="141"/>
    </row>
    <row r="27" spans="1:38" ht="12.75" customHeight="1">
      <c r="A27" s="528"/>
      <c r="B27" s="532"/>
      <c r="C27" s="529"/>
      <c r="D27" s="529"/>
      <c r="E27" s="529"/>
      <c r="F27" s="529"/>
      <c r="G27" s="529"/>
      <c r="H27" s="529"/>
      <c r="I27" s="529"/>
      <c r="J27" s="529"/>
      <c r="K27" s="529"/>
      <c r="L27" s="529"/>
      <c r="M27" s="529"/>
      <c r="N27" s="529"/>
      <c r="O27" s="529"/>
      <c r="P27" s="529"/>
      <c r="Q27" s="529"/>
      <c r="R27" s="529"/>
      <c r="S27" s="531"/>
      <c r="T27" s="80"/>
      <c r="AL27" s="141"/>
    </row>
    <row r="28" spans="1:38" ht="12.75" customHeight="1">
      <c r="A28" s="528"/>
      <c r="C28" s="529"/>
      <c r="D28" s="529"/>
      <c r="E28" s="529"/>
      <c r="F28" s="529"/>
      <c r="G28" s="529"/>
      <c r="H28" s="529"/>
      <c r="I28" s="529"/>
      <c r="J28" s="529"/>
      <c r="K28" s="529"/>
      <c r="L28" s="529"/>
      <c r="M28" s="529"/>
      <c r="N28" s="529"/>
      <c r="O28" s="529"/>
      <c r="P28" s="529"/>
      <c r="Q28" s="529"/>
      <c r="R28" s="529"/>
      <c r="S28" s="531"/>
      <c r="T28" s="80"/>
      <c r="AL28" s="141"/>
    </row>
    <row r="29" spans="1:38" ht="12.75" customHeight="1">
      <c r="A29" s="528"/>
      <c r="B29" s="529"/>
      <c r="C29" s="529"/>
      <c r="D29" s="529"/>
      <c r="E29" s="529"/>
      <c r="F29" s="529"/>
      <c r="G29" s="529"/>
      <c r="H29" s="529"/>
      <c r="I29" s="529"/>
      <c r="J29" s="529"/>
      <c r="K29" s="529"/>
      <c r="L29" s="529"/>
      <c r="M29" s="529"/>
      <c r="N29" s="529"/>
      <c r="O29" s="529"/>
      <c r="P29" s="529"/>
      <c r="Q29" s="529"/>
      <c r="R29" s="529"/>
      <c r="S29" s="531"/>
      <c r="T29" s="80"/>
      <c r="AL29" s="141"/>
    </row>
    <row r="30" spans="1:38" ht="12.75" customHeight="1">
      <c r="A30" s="528"/>
      <c r="B30" s="529"/>
      <c r="C30" s="529"/>
      <c r="D30" s="529"/>
      <c r="E30" s="529"/>
      <c r="F30" s="529"/>
      <c r="G30" s="529"/>
      <c r="H30" s="529"/>
      <c r="I30" s="529"/>
      <c r="J30" s="529"/>
      <c r="K30" s="529"/>
      <c r="L30" s="529"/>
      <c r="M30" s="529"/>
      <c r="N30" s="529"/>
      <c r="O30" s="529"/>
      <c r="P30" s="529"/>
      <c r="Q30" s="529"/>
      <c r="R30" s="529"/>
      <c r="S30" s="531"/>
      <c r="T30" s="80"/>
      <c r="AL30" s="141"/>
    </row>
    <row r="31" spans="1:38" ht="12.75" customHeight="1">
      <c r="A31" s="528"/>
      <c r="B31" s="529"/>
      <c r="C31" s="529"/>
      <c r="D31" s="529"/>
      <c r="E31" s="529"/>
      <c r="F31" s="529"/>
      <c r="G31" s="529"/>
      <c r="H31" s="529"/>
      <c r="I31" s="529"/>
      <c r="J31" s="529"/>
      <c r="K31" s="529"/>
      <c r="L31" s="529"/>
      <c r="M31" s="529"/>
      <c r="N31" s="529"/>
      <c r="O31" s="529"/>
      <c r="P31" s="529"/>
      <c r="Q31" s="529"/>
      <c r="R31" s="529"/>
      <c r="S31" s="531"/>
      <c r="T31" s="80"/>
      <c r="AL31" s="141"/>
    </row>
    <row r="32" spans="1:38" ht="12.75" customHeight="1">
      <c r="A32" s="528"/>
      <c r="B32" s="529" t="s">
        <v>894</v>
      </c>
      <c r="C32" s="529"/>
      <c r="D32" s="529"/>
      <c r="E32" s="529"/>
      <c r="F32" s="529"/>
      <c r="G32" s="529"/>
      <c r="H32" s="529"/>
      <c r="I32" s="529"/>
      <c r="J32" s="529"/>
      <c r="K32" s="529"/>
      <c r="L32" s="529"/>
      <c r="M32" s="529"/>
      <c r="N32" s="529"/>
      <c r="O32" s="529"/>
      <c r="P32" s="529"/>
      <c r="Q32" s="529"/>
      <c r="R32" s="529"/>
      <c r="S32" s="531"/>
      <c r="T32" s="80"/>
      <c r="AL32" s="141"/>
    </row>
    <row r="33" spans="1:38" ht="12.75" customHeight="1">
      <c r="A33" s="528"/>
      <c r="B33" s="529"/>
      <c r="C33" s="529"/>
      <c r="D33" s="529"/>
      <c r="E33" s="529"/>
      <c r="F33" s="529"/>
      <c r="G33" s="529"/>
      <c r="H33" s="529"/>
      <c r="I33" s="529"/>
      <c r="J33" s="529"/>
      <c r="K33" s="529"/>
      <c r="L33" s="529"/>
      <c r="M33" s="529"/>
      <c r="N33" s="529"/>
      <c r="O33" s="529"/>
      <c r="P33" s="529"/>
      <c r="Q33" s="529"/>
      <c r="R33" s="529"/>
      <c r="S33" s="531"/>
      <c r="T33" s="80"/>
      <c r="AL33" s="141"/>
    </row>
    <row r="34" spans="1:38" ht="12.75" customHeight="1">
      <c r="A34" s="528"/>
      <c r="B34" s="529"/>
      <c r="C34" s="529"/>
      <c r="D34" s="529"/>
      <c r="E34" s="529"/>
      <c r="F34" s="529"/>
      <c r="G34" s="529"/>
      <c r="H34" s="529"/>
      <c r="I34" s="529"/>
      <c r="J34" s="529"/>
      <c r="K34" s="529"/>
      <c r="L34" s="529"/>
      <c r="M34" s="529"/>
      <c r="N34" s="529"/>
      <c r="O34" s="529"/>
      <c r="P34" s="529"/>
      <c r="Q34" s="529"/>
      <c r="R34" s="529"/>
      <c r="S34" s="531"/>
      <c r="T34" s="80"/>
      <c r="AL34" s="141"/>
    </row>
    <row r="35" spans="1:38" ht="12.75" customHeight="1">
      <c r="A35" s="528"/>
      <c r="B35" s="529"/>
      <c r="C35" s="529"/>
      <c r="D35" s="529"/>
      <c r="E35" s="529"/>
      <c r="F35" s="529"/>
      <c r="G35" s="529"/>
      <c r="H35" s="529"/>
      <c r="I35" s="529"/>
      <c r="J35" s="529"/>
      <c r="K35" s="529"/>
      <c r="L35" s="529"/>
      <c r="M35" s="529"/>
      <c r="N35" s="529"/>
      <c r="O35" s="529"/>
      <c r="P35" s="529"/>
      <c r="Q35" s="529"/>
      <c r="R35" s="529"/>
      <c r="S35" s="531"/>
      <c r="T35" s="80"/>
      <c r="AL35" s="141"/>
    </row>
    <row r="36" spans="1:38" ht="12.75" customHeight="1">
      <c r="A36" s="528"/>
      <c r="B36" s="529"/>
      <c r="C36" s="529"/>
      <c r="D36" s="529"/>
      <c r="E36" s="529"/>
      <c r="F36" s="529"/>
      <c r="G36" s="529"/>
      <c r="H36" s="529"/>
      <c r="I36" s="529"/>
      <c r="J36" s="529"/>
      <c r="K36" s="529"/>
      <c r="L36" s="529"/>
      <c r="M36" s="529"/>
      <c r="N36" s="529"/>
      <c r="O36" s="529"/>
      <c r="P36" s="529"/>
      <c r="Q36" s="529"/>
      <c r="R36" s="529"/>
      <c r="S36" s="531"/>
      <c r="T36" s="80"/>
      <c r="AL36" s="141"/>
    </row>
    <row r="37" spans="1:38" ht="12.75" customHeight="1">
      <c r="A37" s="528"/>
      <c r="B37" s="529"/>
      <c r="C37" s="529"/>
      <c r="D37" s="529"/>
      <c r="E37" s="529"/>
      <c r="F37" s="529"/>
      <c r="G37" s="529"/>
      <c r="H37" s="529"/>
      <c r="I37" s="529"/>
      <c r="J37" s="529"/>
      <c r="K37" s="529"/>
      <c r="L37" s="529"/>
      <c r="M37" s="529"/>
      <c r="N37" s="529"/>
      <c r="O37" s="529"/>
      <c r="P37" s="529"/>
      <c r="Q37" s="529"/>
      <c r="R37" s="529"/>
      <c r="S37" s="531"/>
      <c r="T37" s="80"/>
      <c r="AL37" s="141"/>
    </row>
    <row r="38" spans="1:38" ht="12.75" customHeight="1">
      <c r="A38" s="528"/>
      <c r="B38" s="529"/>
      <c r="C38" s="529"/>
      <c r="D38" s="529"/>
      <c r="E38" s="529"/>
      <c r="F38" s="529"/>
      <c r="G38" s="529"/>
      <c r="H38" s="529"/>
      <c r="I38" s="529"/>
      <c r="J38" s="529"/>
      <c r="K38" s="529"/>
      <c r="L38" s="529"/>
      <c r="M38" s="529"/>
      <c r="N38" s="529"/>
      <c r="O38" s="529"/>
      <c r="P38" s="529"/>
      <c r="Q38" s="529"/>
      <c r="R38" s="529"/>
      <c r="S38" s="531"/>
      <c r="T38" s="80"/>
      <c r="AL38" s="141"/>
    </row>
    <row r="39" spans="1:38" ht="12.75" customHeight="1">
      <c r="A39" s="528"/>
      <c r="B39" s="529"/>
      <c r="C39" s="529"/>
      <c r="D39" s="529"/>
      <c r="E39" s="529"/>
      <c r="F39" s="529"/>
      <c r="G39" s="529"/>
      <c r="H39" s="529"/>
      <c r="I39" s="529"/>
      <c r="J39" s="529"/>
      <c r="K39" s="529"/>
      <c r="L39" s="529"/>
      <c r="M39" s="529"/>
      <c r="N39" s="529"/>
      <c r="O39" s="529"/>
      <c r="P39" s="529"/>
      <c r="Q39" s="529"/>
      <c r="R39" s="529"/>
      <c r="S39" s="531"/>
      <c r="T39" s="80"/>
      <c r="AL39" s="141"/>
    </row>
    <row r="40" spans="1:38" ht="12.75" customHeight="1">
      <c r="A40" s="528"/>
      <c r="B40" s="529"/>
      <c r="C40" s="529"/>
      <c r="D40" s="529"/>
      <c r="E40" s="529"/>
      <c r="F40" s="529"/>
      <c r="G40" s="529"/>
      <c r="H40" s="529"/>
      <c r="I40" s="529"/>
      <c r="J40" s="529"/>
      <c r="K40" s="529"/>
      <c r="L40" s="529"/>
      <c r="M40" s="529"/>
      <c r="N40" s="529"/>
      <c r="O40" s="529"/>
      <c r="P40" s="529"/>
      <c r="Q40" s="529"/>
      <c r="R40" s="529"/>
      <c r="S40" s="531"/>
      <c r="T40" s="80"/>
      <c r="AL40" s="141"/>
    </row>
    <row r="41" spans="1:38" ht="12.75" customHeight="1">
      <c r="A41" s="528"/>
      <c r="B41" s="529"/>
      <c r="C41" s="529"/>
      <c r="D41" s="529"/>
      <c r="E41" s="529"/>
      <c r="F41" s="529"/>
      <c r="G41" s="529"/>
      <c r="H41" s="529"/>
      <c r="I41" s="529"/>
      <c r="J41" s="529"/>
      <c r="K41" s="529"/>
      <c r="L41" s="529"/>
      <c r="M41" s="529"/>
      <c r="N41" s="529"/>
      <c r="O41" s="529"/>
      <c r="P41" s="529"/>
      <c r="Q41" s="529"/>
      <c r="R41" s="529"/>
      <c r="S41" s="531"/>
      <c r="T41" s="80"/>
      <c r="AL41" s="141"/>
    </row>
    <row r="42" spans="1:38" ht="12.75" customHeight="1">
      <c r="A42" s="528"/>
      <c r="B42" s="529"/>
      <c r="C42" s="529"/>
      <c r="D42" s="529"/>
      <c r="E42" s="529"/>
      <c r="F42" s="529"/>
      <c r="G42" s="529"/>
      <c r="H42" s="529"/>
      <c r="I42" s="529"/>
      <c r="J42" s="529"/>
      <c r="K42" s="529"/>
      <c r="L42" s="529"/>
      <c r="M42" s="529"/>
      <c r="N42" s="529"/>
      <c r="O42" s="529"/>
      <c r="P42" s="529"/>
      <c r="Q42" s="529"/>
      <c r="R42" s="529"/>
      <c r="S42" s="531"/>
      <c r="T42" s="80"/>
      <c r="AL42" s="141"/>
    </row>
    <row r="43" spans="1:38" ht="12.75" customHeight="1">
      <c r="A43" s="528"/>
      <c r="B43" s="529"/>
      <c r="C43" s="529"/>
      <c r="D43" s="529"/>
      <c r="E43" s="529"/>
      <c r="F43" s="529"/>
      <c r="G43" s="529"/>
      <c r="H43" s="529"/>
      <c r="I43" s="529"/>
      <c r="J43" s="529"/>
      <c r="K43" s="529"/>
      <c r="L43" s="529"/>
      <c r="M43" s="529"/>
      <c r="N43" s="529"/>
      <c r="O43" s="529"/>
      <c r="P43" s="529"/>
      <c r="Q43" s="529"/>
      <c r="R43" s="529"/>
      <c r="S43" s="531"/>
      <c r="T43" s="80"/>
      <c r="AL43" s="141"/>
    </row>
    <row r="44" spans="1:38" ht="12.75" customHeight="1">
      <c r="A44" s="528"/>
      <c r="B44" s="529"/>
      <c r="C44" s="529"/>
      <c r="D44" s="529"/>
      <c r="E44" s="529"/>
      <c r="F44" s="529"/>
      <c r="G44" s="529"/>
      <c r="H44" s="529"/>
      <c r="I44" s="529"/>
      <c r="J44" s="529"/>
      <c r="K44" s="529"/>
      <c r="L44" s="529"/>
      <c r="M44" s="529"/>
      <c r="N44" s="529"/>
      <c r="O44" s="529"/>
      <c r="P44" s="529"/>
      <c r="Q44" s="529"/>
      <c r="R44" s="529"/>
      <c r="S44" s="531"/>
      <c r="T44" s="80"/>
      <c r="AL44" s="141"/>
    </row>
    <row r="45" spans="1:38" ht="12.75" customHeight="1">
      <c r="A45" s="528"/>
      <c r="B45" s="529"/>
      <c r="C45" s="529"/>
      <c r="D45" s="529"/>
      <c r="E45" s="529"/>
      <c r="F45" s="529"/>
      <c r="G45" s="529"/>
      <c r="H45" s="529"/>
      <c r="I45" s="529"/>
      <c r="J45" s="529"/>
      <c r="K45" s="529"/>
      <c r="L45" s="529"/>
      <c r="M45" s="529"/>
      <c r="N45" s="529"/>
      <c r="O45" s="529"/>
      <c r="P45" s="529"/>
      <c r="Q45" s="529"/>
      <c r="R45" s="529"/>
      <c r="S45" s="531"/>
      <c r="T45" s="80"/>
      <c r="V45" s="39"/>
      <c r="AL45" s="141"/>
    </row>
    <row r="46" spans="1:38" ht="12.75" customHeight="1">
      <c r="A46" s="528"/>
      <c r="B46" s="529"/>
      <c r="C46" s="529"/>
      <c r="D46" s="529"/>
      <c r="E46" s="529"/>
      <c r="F46" s="529"/>
      <c r="G46" s="529"/>
      <c r="H46" s="529"/>
      <c r="I46" s="529"/>
      <c r="J46" s="529"/>
      <c r="K46" s="529"/>
      <c r="L46" s="529"/>
      <c r="M46" s="529"/>
      <c r="N46" s="529"/>
      <c r="O46" s="529"/>
      <c r="P46" s="529"/>
      <c r="Q46" s="529"/>
      <c r="R46" s="529"/>
      <c r="S46" s="531"/>
      <c r="T46" s="80"/>
      <c r="AL46" s="141"/>
    </row>
    <row r="47" spans="1:38" ht="12.75" customHeight="1">
      <c r="A47" s="528"/>
      <c r="B47" s="529"/>
      <c r="C47" s="529"/>
      <c r="D47" s="529"/>
      <c r="E47" s="529"/>
      <c r="F47" s="529"/>
      <c r="G47" s="529"/>
      <c r="H47" s="529"/>
      <c r="I47" s="529"/>
      <c r="J47" s="529"/>
      <c r="K47" s="529"/>
      <c r="L47" s="529"/>
      <c r="M47" s="529"/>
      <c r="N47" s="529"/>
      <c r="O47" s="529"/>
      <c r="P47" s="529"/>
      <c r="Q47" s="529"/>
      <c r="R47" s="529"/>
      <c r="S47" s="531"/>
      <c r="T47" s="80"/>
      <c r="AL47" s="141"/>
    </row>
    <row r="48" spans="1:38" ht="12.75" customHeight="1">
      <c r="A48" s="528"/>
      <c r="C48" s="529"/>
      <c r="D48" s="529"/>
      <c r="E48" s="529"/>
      <c r="F48" s="529"/>
      <c r="G48" s="529"/>
      <c r="H48" s="529"/>
      <c r="I48" s="529"/>
      <c r="J48" s="529"/>
      <c r="K48" s="529"/>
      <c r="L48" s="529"/>
      <c r="M48" s="529"/>
      <c r="N48" s="529"/>
      <c r="O48" s="529"/>
      <c r="P48" s="529"/>
      <c r="Q48" s="529"/>
      <c r="R48" s="529"/>
      <c r="S48" s="531"/>
      <c r="T48" s="80"/>
      <c r="AL48" s="141"/>
    </row>
    <row r="49" spans="1:38" ht="12.75" customHeight="1">
      <c r="A49" s="528"/>
      <c r="B49" s="529"/>
      <c r="C49" s="529"/>
      <c r="D49" s="529"/>
      <c r="E49" s="529"/>
      <c r="F49" s="529"/>
      <c r="G49" s="529"/>
      <c r="H49" s="529"/>
      <c r="I49" s="529"/>
      <c r="J49" s="529"/>
      <c r="K49" s="529"/>
      <c r="L49" s="529"/>
      <c r="M49" s="529"/>
      <c r="N49" s="529"/>
      <c r="O49" s="529"/>
      <c r="P49" s="529"/>
      <c r="Q49" s="529"/>
      <c r="R49" s="529"/>
      <c r="S49" s="531"/>
      <c r="T49" s="80"/>
      <c r="AL49" s="141"/>
    </row>
    <row r="50" spans="1:38" ht="12.75" customHeight="1">
      <c r="A50" s="528"/>
      <c r="B50" s="529"/>
      <c r="C50" s="529"/>
      <c r="D50" s="529"/>
      <c r="E50" s="529"/>
      <c r="F50" s="529"/>
      <c r="G50" s="529"/>
      <c r="H50" s="529"/>
      <c r="I50" s="529"/>
      <c r="J50" s="529"/>
      <c r="K50" s="529"/>
      <c r="L50" s="529"/>
      <c r="M50" s="529"/>
      <c r="N50" s="529"/>
      <c r="O50" s="529"/>
      <c r="P50" s="529"/>
      <c r="Q50" s="529"/>
      <c r="R50" s="529"/>
      <c r="S50" s="531"/>
      <c r="T50" s="80"/>
      <c r="AL50" s="141"/>
    </row>
    <row r="51" spans="1:38" ht="12.75" customHeight="1">
      <c r="A51" s="528"/>
      <c r="B51" s="529"/>
      <c r="C51" s="529"/>
      <c r="D51" s="529"/>
      <c r="E51" s="529"/>
      <c r="F51" s="529"/>
      <c r="G51" s="529"/>
      <c r="H51" s="529"/>
      <c r="I51" s="529"/>
      <c r="J51" s="529"/>
      <c r="K51" s="529"/>
      <c r="L51" s="529"/>
      <c r="M51" s="529"/>
      <c r="N51" s="529"/>
      <c r="O51" s="529"/>
      <c r="P51" s="529"/>
      <c r="Q51" s="529"/>
      <c r="R51" s="529"/>
      <c r="S51" s="531"/>
      <c r="T51" s="80"/>
      <c r="AL51" s="141"/>
    </row>
    <row r="52" spans="1:38" ht="12.75" customHeight="1">
      <c r="A52" s="528"/>
      <c r="B52" s="529"/>
      <c r="C52" s="529"/>
      <c r="D52" s="529"/>
      <c r="E52" s="529"/>
      <c r="F52" s="529"/>
      <c r="G52" s="529"/>
      <c r="H52" s="529"/>
      <c r="I52" s="529"/>
      <c r="J52" s="529"/>
      <c r="K52" s="529"/>
      <c r="L52" s="529"/>
      <c r="M52" s="529"/>
      <c r="N52" s="529"/>
      <c r="O52" s="529"/>
      <c r="P52" s="529"/>
      <c r="Q52" s="529"/>
      <c r="R52" s="529"/>
      <c r="S52" s="531"/>
      <c r="T52" s="80"/>
      <c r="AL52" s="141"/>
    </row>
    <row r="53" spans="1:38" ht="12.75" customHeight="1">
      <c r="A53" s="528"/>
      <c r="B53" s="529"/>
      <c r="C53" s="529"/>
      <c r="D53" s="529"/>
      <c r="E53" s="529"/>
      <c r="F53" s="529"/>
      <c r="G53" s="529"/>
      <c r="H53" s="529"/>
      <c r="I53" s="529"/>
      <c r="J53" s="529"/>
      <c r="K53" s="529"/>
      <c r="L53" s="529"/>
      <c r="M53" s="529"/>
      <c r="N53" s="529"/>
      <c r="O53" s="529"/>
      <c r="P53" s="529"/>
      <c r="Q53" s="529"/>
      <c r="R53" s="529"/>
      <c r="S53" s="531"/>
      <c r="T53" s="80"/>
      <c r="AL53" s="141"/>
    </row>
    <row r="54" spans="1:38" ht="12.75" customHeight="1">
      <c r="A54" s="528"/>
      <c r="B54" s="529"/>
      <c r="C54" s="529"/>
      <c r="D54" s="529"/>
      <c r="E54" s="529"/>
      <c r="F54" s="529"/>
      <c r="G54" s="529"/>
      <c r="H54" s="529"/>
      <c r="I54" s="529"/>
      <c r="J54" s="529"/>
      <c r="K54" s="529"/>
      <c r="L54" s="529"/>
      <c r="M54" s="529"/>
      <c r="N54" s="529"/>
      <c r="O54" s="529"/>
      <c r="P54" s="529"/>
      <c r="Q54" s="529"/>
      <c r="R54" s="529"/>
      <c r="S54" s="531"/>
      <c r="T54" s="80"/>
      <c r="AL54" s="141"/>
    </row>
    <row r="55" spans="1:38" ht="12.75" customHeight="1">
      <c r="A55" s="528"/>
      <c r="B55" s="529"/>
      <c r="C55" s="529"/>
      <c r="D55" s="529"/>
      <c r="E55" s="529"/>
      <c r="F55" s="529"/>
      <c r="G55" s="529"/>
      <c r="H55" s="529"/>
      <c r="I55" s="529"/>
      <c r="J55" s="529"/>
      <c r="K55" s="529"/>
      <c r="L55" s="529"/>
      <c r="M55" s="529"/>
      <c r="N55" s="529"/>
      <c r="O55" s="529"/>
      <c r="P55" s="529"/>
      <c r="Q55" s="529"/>
      <c r="R55" s="529"/>
      <c r="S55" s="531"/>
      <c r="T55" s="80"/>
      <c r="AL55" s="141"/>
    </row>
    <row r="56" spans="1:38" ht="12.75" customHeight="1">
      <c r="A56" s="528"/>
      <c r="B56" s="529"/>
      <c r="C56" s="529"/>
      <c r="D56" s="529"/>
      <c r="E56" s="529"/>
      <c r="F56" s="529"/>
      <c r="G56" s="529"/>
      <c r="H56" s="529"/>
      <c r="I56" s="529"/>
      <c r="J56" s="529"/>
      <c r="K56" s="529"/>
      <c r="L56" s="529"/>
      <c r="M56" s="529"/>
      <c r="N56" s="529"/>
      <c r="O56" s="529"/>
      <c r="P56" s="529"/>
      <c r="Q56" s="529"/>
      <c r="R56" s="529"/>
      <c r="S56" s="531"/>
      <c r="T56" s="80"/>
      <c r="AL56" s="141"/>
    </row>
    <row r="57" spans="1:38" ht="12.75" customHeight="1">
      <c r="A57" s="528"/>
      <c r="B57" s="529"/>
      <c r="C57" s="529"/>
      <c r="D57" s="529"/>
      <c r="E57" s="529"/>
      <c r="F57" s="529"/>
      <c r="G57" s="529"/>
      <c r="H57" s="529"/>
      <c r="I57" s="529"/>
      <c r="J57" s="529"/>
      <c r="K57" s="529"/>
      <c r="L57" s="529"/>
      <c r="M57" s="529"/>
      <c r="N57" s="529"/>
      <c r="O57" s="529"/>
      <c r="P57" s="529"/>
      <c r="Q57" s="529"/>
      <c r="R57" s="529"/>
      <c r="S57" s="531"/>
      <c r="T57" s="80"/>
      <c r="AL57" s="141"/>
    </row>
    <row r="58" spans="1:38" ht="12.75" customHeight="1">
      <c r="A58" s="528"/>
      <c r="B58" s="529"/>
      <c r="C58" s="529"/>
      <c r="D58" s="529"/>
      <c r="E58" s="529"/>
      <c r="F58" s="529"/>
      <c r="G58" s="529"/>
      <c r="H58" s="529"/>
      <c r="I58" s="529"/>
      <c r="J58" s="529"/>
      <c r="K58" s="529"/>
      <c r="L58" s="529"/>
      <c r="M58" s="529"/>
      <c r="N58" s="529"/>
      <c r="O58" s="529"/>
      <c r="P58" s="529"/>
      <c r="Q58" s="529"/>
      <c r="R58" s="529"/>
      <c r="S58" s="531"/>
      <c r="T58" s="80"/>
      <c r="AL58" s="141"/>
    </row>
    <row r="59" spans="1:38" ht="12.75" customHeight="1">
      <c r="A59" s="528"/>
      <c r="B59" s="529"/>
      <c r="C59" s="529"/>
      <c r="D59" s="529"/>
      <c r="E59" s="529"/>
      <c r="F59" s="529"/>
      <c r="G59" s="529"/>
      <c r="H59" s="529"/>
      <c r="I59" s="529"/>
      <c r="J59" s="529"/>
      <c r="K59" s="529"/>
      <c r="L59" s="529"/>
      <c r="M59" s="529"/>
      <c r="N59" s="529"/>
      <c r="O59" s="529"/>
      <c r="P59" s="529"/>
      <c r="Q59" s="529"/>
      <c r="R59" s="529"/>
      <c r="S59" s="531"/>
      <c r="T59" s="80"/>
      <c r="AL59" s="141"/>
    </row>
    <row r="60" spans="1:38" ht="12.75" customHeight="1">
      <c r="A60" s="528"/>
      <c r="B60" s="529"/>
      <c r="C60" s="529"/>
      <c r="D60" s="529"/>
      <c r="E60" s="529"/>
      <c r="F60" s="529"/>
      <c r="G60" s="529"/>
      <c r="H60" s="529"/>
      <c r="I60" s="529"/>
      <c r="J60" s="529"/>
      <c r="K60" s="529"/>
      <c r="L60" s="529"/>
      <c r="M60" s="529"/>
      <c r="N60" s="529"/>
      <c r="O60" s="529"/>
      <c r="P60" s="529"/>
      <c r="Q60" s="529"/>
      <c r="R60" s="529"/>
      <c r="S60" s="531"/>
      <c r="T60" s="80"/>
      <c r="AL60" s="141"/>
    </row>
    <row r="61" spans="1:38" ht="12.75" customHeight="1">
      <c r="A61" s="528"/>
      <c r="B61" s="529"/>
      <c r="C61" s="529"/>
      <c r="D61" s="529"/>
      <c r="E61" s="529"/>
      <c r="F61" s="529"/>
      <c r="G61" s="529"/>
      <c r="H61" s="529"/>
      <c r="I61" s="529"/>
      <c r="J61" s="529"/>
      <c r="K61" s="529"/>
      <c r="L61" s="529"/>
      <c r="M61" s="529"/>
      <c r="N61" s="529"/>
      <c r="O61" s="529"/>
      <c r="P61" s="529"/>
      <c r="Q61" s="529"/>
      <c r="R61" s="529"/>
      <c r="S61" s="531"/>
      <c r="T61" s="80"/>
      <c r="AL61" s="141"/>
    </row>
    <row r="62" spans="1:38" ht="12.75" customHeight="1">
      <c r="A62" s="528"/>
      <c r="B62" s="529"/>
      <c r="C62" s="529"/>
      <c r="D62" s="529"/>
      <c r="E62" s="529"/>
      <c r="F62" s="529"/>
      <c r="G62" s="529"/>
      <c r="H62" s="529"/>
      <c r="I62" s="529"/>
      <c r="J62" s="529"/>
      <c r="K62" s="529"/>
      <c r="L62" s="529"/>
      <c r="M62" s="529"/>
      <c r="N62" s="529"/>
      <c r="O62" s="529"/>
      <c r="P62" s="529"/>
      <c r="Q62" s="529"/>
      <c r="R62" s="529"/>
      <c r="S62" s="531"/>
      <c r="T62" s="80"/>
      <c r="AL62" s="141"/>
    </row>
    <row r="63" spans="1:38" ht="12.75" customHeight="1">
      <c r="A63" s="528"/>
      <c r="B63" s="529"/>
      <c r="C63" s="529"/>
      <c r="D63" s="529"/>
      <c r="E63" s="529"/>
      <c r="F63" s="529"/>
      <c r="G63" s="529"/>
      <c r="H63" s="529"/>
      <c r="I63" s="529"/>
      <c r="J63" s="529"/>
      <c r="K63" s="529"/>
      <c r="L63" s="529"/>
      <c r="M63" s="529"/>
      <c r="N63" s="529"/>
      <c r="O63" s="529"/>
      <c r="P63" s="529"/>
      <c r="Q63" s="529"/>
      <c r="R63" s="529"/>
      <c r="S63" s="531"/>
      <c r="T63" s="80"/>
      <c r="AL63" s="141"/>
    </row>
    <row r="64" spans="1:38" ht="12.75" customHeight="1">
      <c r="A64" s="528"/>
      <c r="B64" s="529"/>
      <c r="C64" s="529"/>
      <c r="D64" s="529"/>
      <c r="E64" s="529"/>
      <c r="F64" s="529"/>
      <c r="G64" s="529"/>
      <c r="H64" s="529"/>
      <c r="I64" s="529"/>
      <c r="J64" s="529"/>
      <c r="K64" s="529"/>
      <c r="L64" s="529"/>
      <c r="M64" s="529"/>
      <c r="N64" s="529"/>
      <c r="O64" s="529"/>
      <c r="P64" s="529"/>
      <c r="Q64" s="529"/>
      <c r="R64" s="529"/>
      <c r="S64" s="531"/>
      <c r="T64" s="80"/>
      <c r="AL64" s="141"/>
    </row>
    <row r="65" spans="1:38" ht="12.75" customHeight="1">
      <c r="A65" s="528"/>
      <c r="B65" s="529"/>
      <c r="C65" s="529"/>
      <c r="D65" s="529"/>
      <c r="E65" s="529"/>
      <c r="F65" s="529"/>
      <c r="G65" s="529"/>
      <c r="H65" s="529"/>
      <c r="I65" s="529"/>
      <c r="J65" s="529"/>
      <c r="K65" s="529"/>
      <c r="L65" s="529"/>
      <c r="M65" s="529"/>
      <c r="N65" s="529"/>
      <c r="O65" s="529"/>
      <c r="P65" s="529"/>
      <c r="Q65" s="529"/>
      <c r="R65" s="529"/>
      <c r="S65" s="531"/>
      <c r="T65" s="80"/>
      <c r="AL65" s="141"/>
    </row>
    <row r="66" spans="1:38" ht="12.75" customHeight="1">
      <c r="A66" s="528"/>
      <c r="B66" s="529"/>
      <c r="C66" s="529"/>
      <c r="D66" s="529"/>
      <c r="E66" s="529"/>
      <c r="F66" s="529"/>
      <c r="G66" s="529"/>
      <c r="H66" s="529"/>
      <c r="I66" s="529"/>
      <c r="J66" s="529"/>
      <c r="K66" s="529"/>
      <c r="L66" s="529"/>
      <c r="M66" s="529"/>
      <c r="N66" s="529"/>
      <c r="O66" s="529"/>
      <c r="P66" s="529"/>
      <c r="Q66" s="529"/>
      <c r="R66" s="529"/>
      <c r="S66" s="531"/>
      <c r="T66" s="80"/>
      <c r="AL66" s="141"/>
    </row>
    <row r="67" spans="1:38" ht="12.75" customHeight="1">
      <c r="A67" s="528"/>
      <c r="B67" s="529"/>
      <c r="C67" s="529"/>
      <c r="D67" s="529"/>
      <c r="E67" s="529"/>
      <c r="F67" s="529"/>
      <c r="G67" s="529"/>
      <c r="H67" s="529"/>
      <c r="I67" s="529"/>
      <c r="J67" s="529"/>
      <c r="K67" s="529"/>
      <c r="L67" s="529"/>
      <c r="M67" s="529"/>
      <c r="N67" s="529"/>
      <c r="O67" s="529"/>
      <c r="P67" s="529"/>
      <c r="Q67" s="529"/>
      <c r="R67" s="529"/>
      <c r="S67" s="531"/>
      <c r="T67" s="80"/>
      <c r="AL67" s="141"/>
    </row>
    <row r="68" spans="1:38" ht="12.75" customHeight="1">
      <c r="A68" s="528"/>
      <c r="B68" s="529"/>
      <c r="C68" s="529"/>
      <c r="D68" s="529"/>
      <c r="E68" s="529"/>
      <c r="F68" s="529"/>
      <c r="G68" s="529"/>
      <c r="H68" s="529"/>
      <c r="I68" s="529"/>
      <c r="J68" s="529"/>
      <c r="K68" s="529"/>
      <c r="L68" s="529"/>
      <c r="M68" s="529"/>
      <c r="N68" s="529"/>
      <c r="O68" s="529"/>
      <c r="P68" s="529"/>
      <c r="Q68" s="529"/>
      <c r="R68" s="529"/>
      <c r="S68" s="531"/>
      <c r="T68" s="80"/>
      <c r="AL68" s="141"/>
    </row>
    <row r="69" spans="1:38" ht="12.75" customHeight="1">
      <c r="A69" s="528"/>
      <c r="B69" s="529"/>
      <c r="C69" s="529"/>
      <c r="D69" s="529"/>
      <c r="E69" s="529"/>
      <c r="F69" s="529"/>
      <c r="G69" s="529"/>
      <c r="H69" s="529"/>
      <c r="I69" s="529"/>
      <c r="J69" s="529"/>
      <c r="K69" s="529"/>
      <c r="L69" s="529"/>
      <c r="M69" s="529"/>
      <c r="N69" s="529"/>
      <c r="O69" s="529"/>
      <c r="P69" s="529"/>
      <c r="Q69" s="529"/>
      <c r="R69" s="529"/>
      <c r="S69" s="531"/>
      <c r="T69" s="80"/>
      <c r="AL69" s="141"/>
    </row>
    <row r="70" spans="1:38" ht="12.75" customHeight="1">
      <c r="A70" s="528"/>
      <c r="B70" s="529"/>
      <c r="C70" s="529"/>
      <c r="D70" s="529"/>
      <c r="E70" s="529"/>
      <c r="F70" s="529"/>
      <c r="G70" s="529"/>
      <c r="H70" s="529"/>
      <c r="I70" s="529"/>
      <c r="J70" s="529"/>
      <c r="K70" s="529"/>
      <c r="L70" s="529"/>
      <c r="M70" s="529"/>
      <c r="N70" s="529"/>
      <c r="O70" s="529"/>
      <c r="P70" s="529"/>
      <c r="Q70" s="529"/>
      <c r="R70" s="529"/>
      <c r="S70" s="531"/>
      <c r="T70" s="80"/>
      <c r="AL70" s="141"/>
    </row>
    <row r="71" spans="1:38" ht="12.75" customHeight="1">
      <c r="A71" s="528"/>
      <c r="B71" s="529"/>
      <c r="C71" s="529"/>
      <c r="D71" s="529"/>
      <c r="E71" s="529"/>
      <c r="F71" s="529"/>
      <c r="G71" s="529"/>
      <c r="H71" s="529"/>
      <c r="I71" s="529"/>
      <c r="J71" s="529"/>
      <c r="K71" s="529"/>
      <c r="L71" s="529"/>
      <c r="M71" s="529"/>
      <c r="N71" s="529"/>
      <c r="O71" s="529"/>
      <c r="P71" s="529"/>
      <c r="Q71" s="529"/>
      <c r="R71" s="529"/>
      <c r="S71" s="531"/>
      <c r="T71" s="80"/>
      <c r="AL71" s="141"/>
    </row>
    <row r="72" spans="1:38" ht="12.75" customHeight="1">
      <c r="A72" s="528"/>
      <c r="B72" s="529"/>
      <c r="C72" s="529"/>
      <c r="D72" s="529"/>
      <c r="E72" s="529"/>
      <c r="F72" s="529"/>
      <c r="G72" s="529"/>
      <c r="H72" s="529"/>
      <c r="I72" s="529"/>
      <c r="J72" s="529"/>
      <c r="K72" s="529"/>
      <c r="L72" s="529"/>
      <c r="M72" s="529"/>
      <c r="N72" s="529"/>
      <c r="O72" s="529"/>
      <c r="P72" s="529"/>
      <c r="Q72" s="529"/>
      <c r="R72" s="529"/>
      <c r="S72" s="531"/>
      <c r="T72" s="80"/>
      <c r="AL72" s="141"/>
    </row>
    <row r="73" spans="1:38" ht="12.75" customHeight="1">
      <c r="A73" s="534"/>
      <c r="B73" s="533"/>
      <c r="C73" s="533"/>
      <c r="D73" s="533"/>
      <c r="E73" s="533"/>
      <c r="F73" s="533"/>
      <c r="G73" s="533"/>
      <c r="H73" s="533"/>
      <c r="I73" s="533"/>
      <c r="J73" s="533"/>
      <c r="K73" s="533"/>
      <c r="L73" s="533"/>
      <c r="M73" s="533"/>
      <c r="N73" s="533"/>
      <c r="O73" s="533"/>
      <c r="P73" s="533"/>
      <c r="Q73" s="533"/>
      <c r="R73" s="533"/>
      <c r="S73" s="535"/>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R3" location="'T3.10.5 T3.5 MHoop Brace Spt'!A1" display="BACK" xr:uid="{00000000-0004-0000-29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1000"/>
  <sheetViews>
    <sheetView showGridLines="0" workbookViewId="0"/>
  </sheetViews>
  <sheetFormatPr baseColWidth="10" defaultColWidth="12.5703125" defaultRowHeight="15" customHeight="1"/>
  <cols>
    <col min="1" max="21" width="5" customWidth="1"/>
    <col min="22" max="22" width="6.42578125" customWidth="1"/>
    <col min="23" max="38" width="5" customWidth="1"/>
  </cols>
  <sheetData>
    <row r="1" spans="1:38" ht="12.75" customHeight="1">
      <c r="A1" s="675" t="s">
        <v>895</v>
      </c>
      <c r="B1" s="595"/>
      <c r="C1" s="595"/>
      <c r="D1" s="595"/>
      <c r="E1" s="595"/>
      <c r="F1" s="595"/>
      <c r="G1" s="595"/>
      <c r="H1" s="595"/>
      <c r="I1" s="595"/>
      <c r="J1" s="595"/>
      <c r="K1" s="595"/>
      <c r="L1" s="595"/>
      <c r="M1" s="595"/>
      <c r="N1" s="595"/>
      <c r="O1" s="595"/>
      <c r="P1" s="595"/>
      <c r="Q1" s="595"/>
      <c r="R1" s="595"/>
      <c r="S1" s="596"/>
      <c r="T1" s="382"/>
      <c r="U1" s="37"/>
      <c r="V1" s="37"/>
      <c r="W1" s="37"/>
      <c r="X1" s="37"/>
      <c r="Y1" s="37"/>
      <c r="Z1" s="37"/>
      <c r="AA1" s="37"/>
      <c r="AB1" s="37"/>
      <c r="AC1" s="37"/>
      <c r="AD1" s="37"/>
      <c r="AE1" s="37"/>
      <c r="AF1" s="37"/>
      <c r="AG1" s="37"/>
      <c r="AH1" s="37"/>
      <c r="AI1" s="37"/>
      <c r="AJ1" s="37"/>
      <c r="AK1" s="37"/>
      <c r="AL1" s="38"/>
    </row>
    <row r="2" spans="1:38" ht="12.75" customHeight="1">
      <c r="A2" s="525"/>
      <c r="B2" s="526"/>
      <c r="C2" s="526"/>
      <c r="D2" s="526"/>
      <c r="E2" s="526"/>
      <c r="F2" s="526"/>
      <c r="G2" s="526"/>
      <c r="H2" s="526"/>
      <c r="I2" s="526"/>
      <c r="J2" s="526"/>
      <c r="K2" s="526"/>
      <c r="L2" s="526"/>
      <c r="M2" s="526"/>
      <c r="N2" s="526"/>
      <c r="O2" s="526"/>
      <c r="P2" s="526"/>
      <c r="Q2" s="526"/>
      <c r="R2" s="526"/>
      <c r="S2" s="527"/>
      <c r="T2" s="80"/>
      <c r="AL2" s="141"/>
    </row>
    <row r="3" spans="1:38" ht="12.75" customHeight="1">
      <c r="A3" s="528"/>
      <c r="B3" s="536" t="s">
        <v>896</v>
      </c>
      <c r="C3" s="529"/>
      <c r="D3" s="529"/>
      <c r="E3" s="529"/>
      <c r="F3" s="529"/>
      <c r="G3" s="529"/>
      <c r="H3" s="529"/>
      <c r="I3" s="529"/>
      <c r="J3" s="529"/>
      <c r="K3" s="529"/>
      <c r="L3" s="529"/>
      <c r="M3" s="529"/>
      <c r="N3" s="529"/>
      <c r="O3" s="529"/>
      <c r="P3" s="529"/>
      <c r="Q3" s="39" t="s">
        <v>884</v>
      </c>
      <c r="R3" s="529"/>
      <c r="S3" s="531"/>
      <c r="T3" s="80"/>
      <c r="U3" s="155" t="s">
        <v>897</v>
      </c>
      <c r="AL3" s="141"/>
    </row>
    <row r="4" spans="1:38" ht="12.75" customHeight="1">
      <c r="A4" s="528"/>
      <c r="B4" s="536" t="s">
        <v>898</v>
      </c>
      <c r="C4" s="529"/>
      <c r="D4" s="529"/>
      <c r="E4" s="529"/>
      <c r="F4" s="529"/>
      <c r="G4" s="529"/>
      <c r="H4" s="529"/>
      <c r="I4" s="529"/>
      <c r="J4" s="529"/>
      <c r="K4" s="529"/>
      <c r="L4" s="529"/>
      <c r="M4" s="529"/>
      <c r="N4" s="529"/>
      <c r="O4" s="529"/>
      <c r="P4" s="529"/>
      <c r="Q4" s="529"/>
      <c r="R4" s="529"/>
      <c r="S4" s="531"/>
      <c r="T4" s="80"/>
      <c r="U4" s="155" t="s">
        <v>899</v>
      </c>
      <c r="AL4" s="141"/>
    </row>
    <row r="5" spans="1:38" ht="12.75" customHeight="1">
      <c r="A5" s="528"/>
      <c r="B5" s="536"/>
      <c r="C5" s="529"/>
      <c r="D5" s="529"/>
      <c r="E5" s="529"/>
      <c r="F5" s="529"/>
      <c r="G5" s="529"/>
      <c r="H5" s="529"/>
      <c r="I5" s="529"/>
      <c r="J5" s="529"/>
      <c r="K5" s="529"/>
      <c r="L5" s="529"/>
      <c r="M5" s="529"/>
      <c r="N5" s="529"/>
      <c r="O5" s="529"/>
      <c r="P5" s="529"/>
      <c r="Q5" s="529"/>
      <c r="R5" s="529"/>
      <c r="S5" s="531"/>
      <c r="T5" s="80"/>
      <c r="U5" s="155" t="s">
        <v>900</v>
      </c>
      <c r="AL5" s="141"/>
    </row>
    <row r="6" spans="1:38" ht="12.75" customHeight="1">
      <c r="A6" s="528"/>
      <c r="B6" s="536" t="s">
        <v>901</v>
      </c>
      <c r="C6" s="529"/>
      <c r="D6" s="529"/>
      <c r="E6" s="529"/>
      <c r="F6" s="529"/>
      <c r="G6" s="529"/>
      <c r="H6" s="529"/>
      <c r="I6" s="529"/>
      <c r="J6" s="529"/>
      <c r="K6" s="529"/>
      <c r="L6" s="529"/>
      <c r="M6" s="529"/>
      <c r="N6" s="529"/>
      <c r="O6" s="529"/>
      <c r="P6" s="529"/>
      <c r="Q6" s="529"/>
      <c r="R6" s="529"/>
      <c r="S6" s="531"/>
      <c r="T6" s="80"/>
      <c r="U6" s="155"/>
      <c r="AL6" s="141"/>
    </row>
    <row r="7" spans="1:38" ht="12.75" customHeight="1">
      <c r="A7" s="528"/>
      <c r="B7" s="536" t="s">
        <v>902</v>
      </c>
      <c r="C7" s="529"/>
      <c r="D7" s="529"/>
      <c r="E7" s="529"/>
      <c r="F7" s="529"/>
      <c r="G7" s="529"/>
      <c r="H7" s="529"/>
      <c r="I7" s="529"/>
      <c r="J7" s="529"/>
      <c r="K7" s="529"/>
      <c r="L7" s="529"/>
      <c r="M7" s="529"/>
      <c r="N7" s="529"/>
      <c r="O7" s="529"/>
      <c r="P7" s="529"/>
      <c r="Q7" s="529"/>
      <c r="R7" s="529"/>
      <c r="S7" s="531"/>
      <c r="T7" s="80"/>
      <c r="AL7" s="141"/>
    </row>
    <row r="8" spans="1:38" ht="12.75" customHeight="1">
      <c r="A8" s="528"/>
      <c r="B8" s="536" t="s">
        <v>903</v>
      </c>
      <c r="C8" s="529"/>
      <c r="D8" s="529"/>
      <c r="E8" s="529"/>
      <c r="F8" s="529"/>
      <c r="G8" s="529"/>
      <c r="H8" s="529"/>
      <c r="I8" s="529"/>
      <c r="J8" s="529"/>
      <c r="K8" s="529"/>
      <c r="L8" s="529"/>
      <c r="M8" s="529"/>
      <c r="N8" s="529"/>
      <c r="O8" s="529"/>
      <c r="P8" s="529"/>
      <c r="Q8" s="529"/>
      <c r="R8" s="529"/>
      <c r="S8" s="531"/>
      <c r="T8" s="80"/>
      <c r="AL8" s="141"/>
    </row>
    <row r="9" spans="1:38" ht="12.75" customHeight="1">
      <c r="A9" s="528"/>
      <c r="B9" s="536" t="s">
        <v>904</v>
      </c>
      <c r="C9" s="529"/>
      <c r="D9" s="529"/>
      <c r="E9" s="529"/>
      <c r="F9" s="529"/>
      <c r="G9" s="529"/>
      <c r="H9" s="529"/>
      <c r="I9" s="529"/>
      <c r="J9" s="529"/>
      <c r="K9" s="529"/>
      <c r="L9" s="529"/>
      <c r="M9" s="529"/>
      <c r="N9" s="529"/>
      <c r="O9" s="529"/>
      <c r="P9" s="529"/>
      <c r="Q9" s="529"/>
      <c r="R9" s="529"/>
      <c r="S9" s="531"/>
      <c r="T9" s="80"/>
      <c r="AL9" s="141"/>
    </row>
    <row r="10" spans="1:38" ht="12.75" customHeight="1">
      <c r="A10" s="528"/>
      <c r="B10" s="536" t="s">
        <v>905</v>
      </c>
      <c r="C10" s="529"/>
      <c r="D10" s="529"/>
      <c r="E10" s="529"/>
      <c r="F10" s="529"/>
      <c r="G10" s="529"/>
      <c r="H10" s="529"/>
      <c r="I10" s="529"/>
      <c r="J10" s="529"/>
      <c r="K10" s="529"/>
      <c r="L10" s="529"/>
      <c r="M10" s="529"/>
      <c r="N10" s="529"/>
      <c r="O10" s="529"/>
      <c r="P10" s="529"/>
      <c r="Q10" s="529"/>
      <c r="R10" s="529"/>
      <c r="S10" s="531"/>
      <c r="T10" s="80"/>
      <c r="AL10" s="141"/>
    </row>
    <row r="11" spans="1:38" ht="12.75" customHeight="1">
      <c r="A11" s="528"/>
      <c r="B11" s="536"/>
      <c r="C11" s="529"/>
      <c r="D11" s="529"/>
      <c r="E11" s="529"/>
      <c r="F11" s="529"/>
      <c r="G11" s="529"/>
      <c r="H11" s="529"/>
      <c r="I11" s="529"/>
      <c r="J11" s="529"/>
      <c r="K11" s="529"/>
      <c r="L11" s="529"/>
      <c r="M11" s="529"/>
      <c r="N11" s="529"/>
      <c r="O11" s="529"/>
      <c r="P11" s="529"/>
      <c r="Q11" s="529"/>
      <c r="R11" s="529"/>
      <c r="S11" s="531"/>
      <c r="T11" s="80"/>
      <c r="AL11" s="141"/>
    </row>
    <row r="12" spans="1:38" ht="12.75" customHeight="1">
      <c r="A12" s="528"/>
      <c r="B12" s="536" t="s">
        <v>906</v>
      </c>
      <c r="C12" s="529"/>
      <c r="D12" s="529"/>
      <c r="E12" s="529"/>
      <c r="F12" s="529"/>
      <c r="G12" s="529"/>
      <c r="H12" s="529"/>
      <c r="I12" s="529"/>
      <c r="J12" s="529"/>
      <c r="K12" s="529"/>
      <c r="L12" s="529"/>
      <c r="M12" s="529"/>
      <c r="N12" s="529"/>
      <c r="O12" s="529"/>
      <c r="P12" s="529"/>
      <c r="Q12" s="529"/>
      <c r="R12" s="529"/>
      <c r="S12" s="531"/>
      <c r="T12" s="80"/>
      <c r="AL12" s="141"/>
    </row>
    <row r="13" spans="1:38" ht="12.75" customHeight="1">
      <c r="A13" s="528"/>
      <c r="B13" s="536"/>
      <c r="C13" s="529"/>
      <c r="D13" s="529"/>
      <c r="E13" s="529"/>
      <c r="F13" s="529"/>
      <c r="G13" s="529"/>
      <c r="H13" s="529"/>
      <c r="I13" s="529"/>
      <c r="J13" s="529"/>
      <c r="K13" s="529"/>
      <c r="L13" s="529"/>
      <c r="M13" s="529"/>
      <c r="N13" s="529"/>
      <c r="O13" s="529"/>
      <c r="P13" s="529"/>
      <c r="Q13" s="529"/>
      <c r="R13" s="529"/>
      <c r="S13" s="531"/>
      <c r="T13" s="80"/>
      <c r="AL13" s="141"/>
    </row>
    <row r="14" spans="1:38" ht="12.75" customHeight="1">
      <c r="A14" s="528"/>
      <c r="B14" s="536" t="s">
        <v>907</v>
      </c>
      <c r="C14" s="529"/>
      <c r="D14" s="529"/>
      <c r="E14" s="529"/>
      <c r="F14" s="529"/>
      <c r="G14" s="529"/>
      <c r="H14" s="529"/>
      <c r="I14" s="529"/>
      <c r="J14" s="529"/>
      <c r="K14" s="529"/>
      <c r="L14" s="529"/>
      <c r="M14" s="529"/>
      <c r="N14" s="529"/>
      <c r="O14" s="529"/>
      <c r="P14" s="529"/>
      <c r="Q14" s="529"/>
      <c r="R14" s="529"/>
      <c r="S14" s="531"/>
      <c r="T14" s="80"/>
      <c r="AL14" s="141"/>
    </row>
    <row r="15" spans="1:38" ht="12.75" customHeight="1">
      <c r="A15" s="528"/>
      <c r="B15" s="536" t="s">
        <v>908</v>
      </c>
      <c r="C15" s="529"/>
      <c r="D15" s="529"/>
      <c r="E15" s="529"/>
      <c r="F15" s="529"/>
      <c r="G15" s="529"/>
      <c r="H15" s="529"/>
      <c r="I15" s="529"/>
      <c r="J15" s="529"/>
      <c r="K15" s="529"/>
      <c r="L15" s="529"/>
      <c r="M15" s="529"/>
      <c r="N15" s="529"/>
      <c r="O15" s="529"/>
      <c r="P15" s="529"/>
      <c r="Q15" s="529"/>
      <c r="R15" s="529"/>
      <c r="S15" s="531"/>
      <c r="T15" s="80"/>
      <c r="AL15" s="141"/>
    </row>
    <row r="16" spans="1:38" ht="12.75" customHeight="1">
      <c r="A16" s="528"/>
      <c r="B16" s="536" t="s">
        <v>909</v>
      </c>
      <c r="C16" s="529"/>
      <c r="D16" s="529"/>
      <c r="E16" s="529"/>
      <c r="F16" s="529"/>
      <c r="G16" s="529"/>
      <c r="H16" s="529"/>
      <c r="I16" s="529"/>
      <c r="J16" s="529"/>
      <c r="K16" s="529"/>
      <c r="L16" s="529"/>
      <c r="M16" s="529"/>
      <c r="N16" s="529"/>
      <c r="O16" s="529"/>
      <c r="P16" s="529"/>
      <c r="Q16" s="529"/>
      <c r="R16" s="529"/>
      <c r="S16" s="531"/>
      <c r="T16" s="80"/>
      <c r="AL16" s="141"/>
    </row>
    <row r="17" spans="1:38" ht="12.75" customHeight="1">
      <c r="A17" s="528"/>
      <c r="B17" s="536"/>
      <c r="C17" s="529"/>
      <c r="D17" s="529"/>
      <c r="E17" s="529"/>
      <c r="F17" s="529"/>
      <c r="G17" s="529"/>
      <c r="H17" s="529"/>
      <c r="I17" s="529"/>
      <c r="J17" s="529"/>
      <c r="K17" s="529"/>
      <c r="L17" s="529"/>
      <c r="M17" s="529"/>
      <c r="N17" s="529"/>
      <c r="O17" s="529"/>
      <c r="P17" s="529"/>
      <c r="Q17" s="529"/>
      <c r="R17" s="529"/>
      <c r="S17" s="531"/>
      <c r="T17" s="80"/>
      <c r="AL17" s="141"/>
    </row>
    <row r="18" spans="1:38" ht="12.75" customHeight="1">
      <c r="A18" s="528"/>
      <c r="B18" s="536" t="s">
        <v>910</v>
      </c>
      <c r="C18" s="529"/>
      <c r="D18" s="529"/>
      <c r="E18" s="529"/>
      <c r="F18" s="529"/>
      <c r="G18" s="529"/>
      <c r="H18" s="529"/>
      <c r="I18" s="529"/>
      <c r="J18" s="529"/>
      <c r="K18" s="529"/>
      <c r="L18" s="529"/>
      <c r="M18" s="529"/>
      <c r="N18" s="529"/>
      <c r="O18" s="529"/>
      <c r="P18" s="529"/>
      <c r="Q18" s="529"/>
      <c r="R18" s="529"/>
      <c r="S18" s="531"/>
      <c r="T18" s="80"/>
      <c r="AL18" s="141"/>
    </row>
    <row r="19" spans="1:38" ht="12.75" customHeight="1">
      <c r="A19" s="528"/>
      <c r="B19" s="529"/>
      <c r="C19" s="529"/>
      <c r="D19" s="529"/>
      <c r="E19" s="529"/>
      <c r="F19" s="529"/>
      <c r="G19" s="529"/>
      <c r="H19" s="529"/>
      <c r="I19" s="529"/>
      <c r="J19" s="529"/>
      <c r="K19" s="529"/>
      <c r="L19" s="529"/>
      <c r="M19" s="529"/>
      <c r="N19" s="529"/>
      <c r="O19" s="529"/>
      <c r="P19" s="529"/>
      <c r="Q19" s="529"/>
      <c r="R19" s="529"/>
      <c r="S19" s="531"/>
      <c r="T19" s="80"/>
      <c r="AL19" s="141"/>
    </row>
    <row r="20" spans="1:38" ht="12.75" customHeight="1">
      <c r="A20" s="528"/>
      <c r="B20" s="529"/>
      <c r="C20" s="529"/>
      <c r="D20" s="529"/>
      <c r="E20" s="529"/>
      <c r="F20" s="529"/>
      <c r="G20" s="529"/>
      <c r="H20" s="529"/>
      <c r="I20" s="529"/>
      <c r="J20" s="529"/>
      <c r="K20" s="529"/>
      <c r="L20" s="529"/>
      <c r="M20" s="529"/>
      <c r="N20" s="529"/>
      <c r="O20" s="529"/>
      <c r="P20" s="529"/>
      <c r="Q20" s="529"/>
      <c r="R20" s="529"/>
      <c r="S20" s="531"/>
      <c r="T20" s="80"/>
      <c r="AL20" s="141"/>
    </row>
    <row r="21" spans="1:38" ht="12.75" customHeight="1">
      <c r="A21" s="528"/>
      <c r="B21" s="536" t="s">
        <v>911</v>
      </c>
      <c r="C21" s="529"/>
      <c r="D21" s="529"/>
      <c r="E21" s="529"/>
      <c r="F21" s="529"/>
      <c r="G21" s="529"/>
      <c r="H21" s="529"/>
      <c r="I21" s="529"/>
      <c r="J21" s="529"/>
      <c r="K21" s="529"/>
      <c r="L21" s="529"/>
      <c r="M21" s="529"/>
      <c r="N21" s="529"/>
      <c r="O21" s="529"/>
      <c r="P21" s="529"/>
      <c r="Q21" s="529"/>
      <c r="R21" s="529"/>
      <c r="S21" s="531"/>
      <c r="T21" s="80"/>
      <c r="AL21" s="141"/>
    </row>
    <row r="22" spans="1:38" ht="12.75" customHeight="1">
      <c r="A22" s="528"/>
      <c r="B22" s="536" t="s">
        <v>912</v>
      </c>
      <c r="C22" s="529"/>
      <c r="D22" s="529"/>
      <c r="E22" s="529"/>
      <c r="F22" s="529"/>
      <c r="G22" s="529"/>
      <c r="H22" s="529"/>
      <c r="I22" s="529"/>
      <c r="J22" s="529"/>
      <c r="K22" s="529"/>
      <c r="L22" s="529"/>
      <c r="M22" s="529"/>
      <c r="N22" s="529"/>
      <c r="O22" s="529"/>
      <c r="P22" s="529"/>
      <c r="Q22" s="529"/>
      <c r="R22" s="529"/>
      <c r="S22" s="531"/>
      <c r="T22" s="80"/>
      <c r="AL22" s="141"/>
    </row>
    <row r="23" spans="1:38" ht="12.75" customHeight="1">
      <c r="A23" s="528"/>
      <c r="C23" s="529"/>
      <c r="D23" s="529"/>
      <c r="E23" s="529"/>
      <c r="F23" s="529"/>
      <c r="G23" s="529"/>
      <c r="H23" s="529"/>
      <c r="I23" s="529"/>
      <c r="J23" s="529"/>
      <c r="K23" s="529"/>
      <c r="L23" s="529"/>
      <c r="M23" s="529"/>
      <c r="N23" s="529"/>
      <c r="O23" s="529"/>
      <c r="P23" s="529"/>
      <c r="Q23" s="529"/>
      <c r="R23" s="529"/>
      <c r="S23" s="531"/>
      <c r="T23" s="80"/>
      <c r="AL23" s="141"/>
    </row>
    <row r="24" spans="1:38" ht="12.75" customHeight="1">
      <c r="A24" s="528"/>
      <c r="B24" s="155" t="s">
        <v>913</v>
      </c>
      <c r="C24" s="529"/>
      <c r="D24" s="529"/>
      <c r="E24" s="529"/>
      <c r="F24" s="529"/>
      <c r="G24" s="529"/>
      <c r="H24" s="529"/>
      <c r="I24" s="529"/>
      <c r="J24" s="529"/>
      <c r="K24" s="529"/>
      <c r="L24" s="529"/>
      <c r="M24" s="529"/>
      <c r="N24" s="529"/>
      <c r="O24" s="529"/>
      <c r="P24" s="529"/>
      <c r="Q24" s="529"/>
      <c r="R24" s="529"/>
      <c r="S24" s="531"/>
      <c r="T24" s="80"/>
      <c r="AL24" s="141"/>
    </row>
    <row r="25" spans="1:38" ht="12.75" customHeight="1">
      <c r="A25" s="528"/>
      <c r="B25" s="155" t="s">
        <v>914</v>
      </c>
      <c r="C25" s="529"/>
      <c r="D25" s="529"/>
      <c r="E25" s="529"/>
      <c r="F25" s="529"/>
      <c r="G25" s="529"/>
      <c r="H25" s="529"/>
      <c r="I25" s="529"/>
      <c r="J25" s="529"/>
      <c r="K25" s="529"/>
      <c r="L25" s="529"/>
      <c r="M25" s="529"/>
      <c r="N25" s="529"/>
      <c r="O25" s="529"/>
      <c r="P25" s="529"/>
      <c r="Q25" s="529"/>
      <c r="R25" s="529"/>
      <c r="S25" s="531"/>
      <c r="T25" s="80"/>
      <c r="AL25" s="141"/>
    </row>
    <row r="26" spans="1:38" ht="12.75" customHeight="1">
      <c r="A26" s="528"/>
      <c r="C26" s="529"/>
      <c r="D26" s="529"/>
      <c r="E26" s="529"/>
      <c r="F26" s="529"/>
      <c r="G26" s="529"/>
      <c r="H26" s="529"/>
      <c r="I26" s="529"/>
      <c r="J26" s="529"/>
      <c r="K26" s="529"/>
      <c r="L26" s="529"/>
      <c r="M26" s="529"/>
      <c r="N26" s="529"/>
      <c r="O26" s="529"/>
      <c r="P26" s="529"/>
      <c r="Q26" s="529"/>
      <c r="R26" s="529"/>
      <c r="S26" s="531"/>
      <c r="T26" s="80"/>
      <c r="AL26" s="141"/>
    </row>
    <row r="27" spans="1:38" ht="12.75" customHeight="1">
      <c r="A27" s="528"/>
      <c r="B27" s="536" t="s">
        <v>915</v>
      </c>
      <c r="C27" s="529"/>
      <c r="D27" s="529"/>
      <c r="E27" s="529"/>
      <c r="F27" s="529"/>
      <c r="G27" s="529"/>
      <c r="H27" s="529"/>
      <c r="I27" s="529"/>
      <c r="J27" s="529"/>
      <c r="K27" s="529"/>
      <c r="L27" s="529"/>
      <c r="M27" s="529"/>
      <c r="N27" s="529"/>
      <c r="O27" s="529"/>
      <c r="P27" s="529"/>
      <c r="Q27" s="529"/>
      <c r="R27" s="529"/>
      <c r="S27" s="531"/>
      <c r="T27" s="80"/>
      <c r="AL27" s="141"/>
    </row>
    <row r="28" spans="1:38" ht="12.75" customHeight="1">
      <c r="A28" s="528"/>
      <c r="B28" s="536" t="s">
        <v>916</v>
      </c>
      <c r="C28" s="529"/>
      <c r="D28" s="529"/>
      <c r="E28" s="529"/>
      <c r="F28" s="529"/>
      <c r="G28" s="529"/>
      <c r="H28" s="529"/>
      <c r="I28" s="529"/>
      <c r="J28" s="529"/>
      <c r="K28" s="529"/>
      <c r="L28" s="529"/>
      <c r="M28" s="529"/>
      <c r="N28" s="529"/>
      <c r="O28" s="529"/>
      <c r="P28" s="529"/>
      <c r="Q28" s="529"/>
      <c r="R28" s="529"/>
      <c r="S28" s="531"/>
      <c r="T28" s="80"/>
      <c r="AL28" s="141"/>
    </row>
    <row r="29" spans="1:38" ht="12.75" customHeight="1">
      <c r="A29" s="528"/>
      <c r="B29" s="536" t="s">
        <v>917</v>
      </c>
      <c r="C29" s="529"/>
      <c r="D29" s="529"/>
      <c r="E29" s="529"/>
      <c r="F29" s="529"/>
      <c r="G29" s="529"/>
      <c r="H29" s="529"/>
      <c r="I29" s="529"/>
      <c r="J29" s="529"/>
      <c r="K29" s="529"/>
      <c r="L29" s="529"/>
      <c r="M29" s="529"/>
      <c r="N29" s="529"/>
      <c r="O29" s="529"/>
      <c r="P29" s="529"/>
      <c r="Q29" s="529"/>
      <c r="R29" s="529"/>
      <c r="S29" s="531"/>
      <c r="T29" s="80"/>
      <c r="AL29" s="141"/>
    </row>
    <row r="30" spans="1:38" ht="12.75" customHeight="1">
      <c r="A30" s="528"/>
      <c r="B30" s="529"/>
      <c r="C30" s="529"/>
      <c r="D30" s="529"/>
      <c r="E30" s="529"/>
      <c r="F30" s="529"/>
      <c r="G30" s="529"/>
      <c r="H30" s="529"/>
      <c r="I30" s="529"/>
      <c r="J30" s="529"/>
      <c r="K30" s="529"/>
      <c r="L30" s="529"/>
      <c r="M30" s="529"/>
      <c r="N30" s="529"/>
      <c r="O30" s="529"/>
      <c r="P30" s="529"/>
      <c r="Q30" s="529"/>
      <c r="R30" s="529"/>
      <c r="S30" s="531"/>
      <c r="T30" s="80"/>
      <c r="AL30" s="141"/>
    </row>
    <row r="31" spans="1:38" ht="12.75" customHeight="1">
      <c r="A31" s="528"/>
      <c r="B31" s="536" t="s">
        <v>918</v>
      </c>
      <c r="C31" s="529"/>
      <c r="D31" s="529"/>
      <c r="E31" s="529"/>
      <c r="F31" s="529"/>
      <c r="G31" s="529"/>
      <c r="H31" s="529"/>
      <c r="I31" s="529"/>
      <c r="J31" s="529"/>
      <c r="K31" s="529"/>
      <c r="L31" s="529"/>
      <c r="M31" s="529"/>
      <c r="N31" s="529"/>
      <c r="O31" s="529"/>
      <c r="P31" s="529"/>
      <c r="Q31" s="529"/>
      <c r="R31" s="529"/>
      <c r="S31" s="531"/>
      <c r="T31" s="80"/>
      <c r="AL31" s="141"/>
    </row>
    <row r="32" spans="1:38" ht="12.75" customHeight="1">
      <c r="A32" s="528"/>
      <c r="B32" s="536" t="s">
        <v>919</v>
      </c>
      <c r="C32" s="529"/>
      <c r="D32" s="529"/>
      <c r="E32" s="529"/>
      <c r="F32" s="529"/>
      <c r="G32" s="529"/>
      <c r="H32" s="529"/>
      <c r="I32" s="529"/>
      <c r="J32" s="529"/>
      <c r="K32" s="529"/>
      <c r="L32" s="529"/>
      <c r="M32" s="529"/>
      <c r="N32" s="529"/>
      <c r="O32" s="529"/>
      <c r="P32" s="529"/>
      <c r="Q32" s="529"/>
      <c r="R32" s="529"/>
      <c r="S32" s="531"/>
      <c r="T32" s="80"/>
      <c r="AL32" s="141"/>
    </row>
    <row r="33" spans="1:38" ht="12.75" customHeight="1">
      <c r="A33" s="528"/>
      <c r="B33" s="529"/>
      <c r="C33" s="529"/>
      <c r="D33" s="529"/>
      <c r="E33" s="529"/>
      <c r="F33" s="529"/>
      <c r="G33" s="529"/>
      <c r="H33" s="529"/>
      <c r="I33" s="529"/>
      <c r="J33" s="529"/>
      <c r="K33" s="529"/>
      <c r="L33" s="529"/>
      <c r="M33" s="529"/>
      <c r="N33" s="529"/>
      <c r="O33" s="529"/>
      <c r="P33" s="529"/>
      <c r="Q33" s="529"/>
      <c r="R33" s="529"/>
      <c r="S33" s="531"/>
      <c r="T33" s="80"/>
      <c r="AL33" s="141"/>
    </row>
    <row r="34" spans="1:38" ht="12.75" customHeight="1">
      <c r="A34" s="528"/>
      <c r="B34" s="536" t="s">
        <v>920</v>
      </c>
      <c r="C34" s="529"/>
      <c r="D34" s="529"/>
      <c r="E34" s="529"/>
      <c r="F34" s="529"/>
      <c r="G34" s="529"/>
      <c r="H34" s="529"/>
      <c r="I34" s="529"/>
      <c r="J34" s="529"/>
      <c r="K34" s="529"/>
      <c r="L34" s="529"/>
      <c r="M34" s="529"/>
      <c r="N34" s="529"/>
      <c r="O34" s="529"/>
      <c r="P34" s="529"/>
      <c r="Q34" s="529"/>
      <c r="R34" s="529"/>
      <c r="S34" s="531"/>
      <c r="T34" s="80"/>
      <c r="AL34" s="141"/>
    </row>
    <row r="35" spans="1:38" ht="12.75" customHeight="1">
      <c r="A35" s="528"/>
      <c r="B35" s="536" t="s">
        <v>921</v>
      </c>
      <c r="C35" s="529"/>
      <c r="D35" s="529"/>
      <c r="E35" s="529"/>
      <c r="F35" s="529"/>
      <c r="G35" s="529"/>
      <c r="H35" s="529"/>
      <c r="I35" s="529"/>
      <c r="J35" s="529"/>
      <c r="K35" s="529"/>
      <c r="L35" s="529"/>
      <c r="M35" s="529"/>
      <c r="N35" s="529"/>
      <c r="O35" s="529"/>
      <c r="P35" s="529"/>
      <c r="Q35" s="529"/>
      <c r="R35" s="529"/>
      <c r="S35" s="531"/>
      <c r="T35" s="80"/>
      <c r="AL35" s="141"/>
    </row>
    <row r="36" spans="1:38" ht="12.75" customHeight="1">
      <c r="A36" s="528"/>
      <c r="B36" s="536" t="s">
        <v>922</v>
      </c>
      <c r="C36" s="529"/>
      <c r="D36" s="529"/>
      <c r="E36" s="529"/>
      <c r="F36" s="529"/>
      <c r="G36" s="529"/>
      <c r="H36" s="529"/>
      <c r="I36" s="529"/>
      <c r="J36" s="529"/>
      <c r="K36" s="529"/>
      <c r="L36" s="529"/>
      <c r="M36" s="529"/>
      <c r="N36" s="529"/>
      <c r="O36" s="529"/>
      <c r="P36" s="529"/>
      <c r="Q36" s="529"/>
      <c r="R36" s="529"/>
      <c r="S36" s="531"/>
      <c r="T36" s="80"/>
      <c r="AL36" s="141"/>
    </row>
    <row r="37" spans="1:38" ht="12.75" customHeight="1">
      <c r="A37" s="528"/>
      <c r="B37" s="529"/>
      <c r="C37" s="529"/>
      <c r="D37" s="529"/>
      <c r="E37" s="529"/>
      <c r="F37" s="529"/>
      <c r="G37" s="529"/>
      <c r="H37" s="529"/>
      <c r="I37" s="529"/>
      <c r="J37" s="529"/>
      <c r="K37" s="529"/>
      <c r="L37" s="529"/>
      <c r="M37" s="529"/>
      <c r="N37" s="529"/>
      <c r="O37" s="529"/>
      <c r="P37" s="529"/>
      <c r="Q37" s="529"/>
      <c r="R37" s="529"/>
      <c r="S37" s="531"/>
      <c r="T37" s="80"/>
      <c r="AL37" s="141"/>
    </row>
    <row r="38" spans="1:38" ht="12.75" customHeight="1">
      <c r="A38" s="528"/>
      <c r="B38" s="529"/>
      <c r="C38" s="529"/>
      <c r="D38" s="529"/>
      <c r="E38" s="529"/>
      <c r="F38" s="529"/>
      <c r="G38" s="529"/>
      <c r="H38" s="529"/>
      <c r="I38" s="529"/>
      <c r="J38" s="529"/>
      <c r="K38" s="529"/>
      <c r="L38" s="529"/>
      <c r="M38" s="529"/>
      <c r="N38" s="529"/>
      <c r="O38" s="529"/>
      <c r="P38" s="529"/>
      <c r="Q38" s="529"/>
      <c r="R38" s="529"/>
      <c r="S38" s="531"/>
      <c r="T38" s="80"/>
      <c r="AL38" s="141"/>
    </row>
    <row r="39" spans="1:38" ht="12.75" customHeight="1">
      <c r="A39" s="528"/>
      <c r="B39" s="529"/>
      <c r="C39" s="529"/>
      <c r="D39" s="529"/>
      <c r="E39" s="529"/>
      <c r="F39" s="529"/>
      <c r="G39" s="529"/>
      <c r="H39" s="529"/>
      <c r="I39" s="529"/>
      <c r="J39" s="529"/>
      <c r="K39" s="529"/>
      <c r="L39" s="529"/>
      <c r="M39" s="529"/>
      <c r="N39" s="529"/>
      <c r="O39" s="529"/>
      <c r="P39" s="529"/>
      <c r="Q39" s="529"/>
      <c r="R39" s="529"/>
      <c r="S39" s="531"/>
      <c r="T39" s="80"/>
      <c r="AL39" s="141"/>
    </row>
    <row r="40" spans="1:38" ht="12.75" customHeight="1">
      <c r="A40" s="528"/>
      <c r="B40" s="529"/>
      <c r="C40" s="529"/>
      <c r="D40" s="529"/>
      <c r="E40" s="529"/>
      <c r="F40" s="529"/>
      <c r="G40" s="529"/>
      <c r="H40" s="529"/>
      <c r="I40" s="529"/>
      <c r="J40" s="529"/>
      <c r="K40" s="529"/>
      <c r="L40" s="529"/>
      <c r="M40" s="529"/>
      <c r="N40" s="529"/>
      <c r="O40" s="529"/>
      <c r="P40" s="529"/>
      <c r="Q40" s="529"/>
      <c r="R40" s="529"/>
      <c r="S40" s="531"/>
      <c r="T40" s="80"/>
      <c r="AL40" s="141"/>
    </row>
    <row r="41" spans="1:38" ht="12.75" customHeight="1">
      <c r="A41" s="528"/>
      <c r="B41" s="529"/>
      <c r="C41" s="529"/>
      <c r="D41" s="529"/>
      <c r="E41" s="529"/>
      <c r="F41" s="529"/>
      <c r="G41" s="529"/>
      <c r="H41" s="529"/>
      <c r="I41" s="529"/>
      <c r="J41" s="529"/>
      <c r="K41" s="529"/>
      <c r="L41" s="529"/>
      <c r="M41" s="529"/>
      <c r="N41" s="529"/>
      <c r="O41" s="529"/>
      <c r="P41" s="529"/>
      <c r="Q41" s="529"/>
      <c r="R41" s="529"/>
      <c r="S41" s="531"/>
      <c r="T41" s="80"/>
      <c r="AL41" s="141"/>
    </row>
    <row r="42" spans="1:38" ht="12.75" customHeight="1">
      <c r="A42" s="528"/>
      <c r="B42" s="529"/>
      <c r="C42" s="529"/>
      <c r="D42" s="529"/>
      <c r="E42" s="529"/>
      <c r="F42" s="529"/>
      <c r="G42" s="529"/>
      <c r="H42" s="529"/>
      <c r="I42" s="529"/>
      <c r="J42" s="529"/>
      <c r="K42" s="529"/>
      <c r="L42" s="529"/>
      <c r="M42" s="529"/>
      <c r="N42" s="529"/>
      <c r="O42" s="529"/>
      <c r="P42" s="529"/>
      <c r="Q42" s="529"/>
      <c r="R42" s="529"/>
      <c r="S42" s="531"/>
      <c r="T42" s="80"/>
      <c r="AL42" s="141"/>
    </row>
    <row r="43" spans="1:38" ht="12.75" customHeight="1">
      <c r="A43" s="528"/>
      <c r="B43" s="529"/>
      <c r="C43" s="529"/>
      <c r="D43" s="529"/>
      <c r="E43" s="529"/>
      <c r="F43" s="529"/>
      <c r="G43" s="529"/>
      <c r="H43" s="529"/>
      <c r="I43" s="529"/>
      <c r="J43" s="529"/>
      <c r="K43" s="529"/>
      <c r="L43" s="529"/>
      <c r="M43" s="529"/>
      <c r="N43" s="529"/>
      <c r="O43" s="529"/>
      <c r="P43" s="529"/>
      <c r="Q43" s="529"/>
      <c r="R43" s="529"/>
      <c r="S43" s="531"/>
      <c r="T43" s="80"/>
      <c r="AL43" s="141"/>
    </row>
    <row r="44" spans="1:38" ht="12.75" customHeight="1">
      <c r="A44" s="528"/>
      <c r="B44" s="529"/>
      <c r="C44" s="529"/>
      <c r="D44" s="529"/>
      <c r="E44" s="529"/>
      <c r="F44" s="529"/>
      <c r="G44" s="529"/>
      <c r="H44" s="529"/>
      <c r="I44" s="529"/>
      <c r="J44" s="529"/>
      <c r="K44" s="529"/>
      <c r="L44" s="529"/>
      <c r="M44" s="529"/>
      <c r="N44" s="529"/>
      <c r="O44" s="529"/>
      <c r="P44" s="529"/>
      <c r="Q44" s="529"/>
      <c r="R44" s="529"/>
      <c r="S44" s="531"/>
      <c r="T44" s="80"/>
      <c r="AL44" s="141"/>
    </row>
    <row r="45" spans="1:38" ht="12.75" customHeight="1">
      <c r="A45" s="528"/>
      <c r="B45" s="529"/>
      <c r="C45" s="529"/>
      <c r="D45" s="529"/>
      <c r="E45" s="529"/>
      <c r="F45" s="529"/>
      <c r="G45" s="529"/>
      <c r="H45" s="529"/>
      <c r="I45" s="529"/>
      <c r="J45" s="529"/>
      <c r="K45" s="529"/>
      <c r="L45" s="529"/>
      <c r="M45" s="529"/>
      <c r="N45" s="529"/>
      <c r="O45" s="529"/>
      <c r="P45" s="529"/>
      <c r="Q45" s="529"/>
      <c r="R45" s="529"/>
      <c r="S45" s="531"/>
      <c r="T45" s="80"/>
      <c r="V45" s="39"/>
      <c r="AL45" s="141"/>
    </row>
    <row r="46" spans="1:38" ht="12.75" customHeight="1">
      <c r="A46" s="528"/>
      <c r="B46" s="529"/>
      <c r="C46" s="529"/>
      <c r="D46" s="529"/>
      <c r="E46" s="529"/>
      <c r="F46" s="529"/>
      <c r="G46" s="529"/>
      <c r="H46" s="529"/>
      <c r="I46" s="529"/>
      <c r="J46" s="529"/>
      <c r="K46" s="529"/>
      <c r="L46" s="529"/>
      <c r="M46" s="529"/>
      <c r="N46" s="529"/>
      <c r="O46" s="529"/>
      <c r="P46" s="529"/>
      <c r="Q46" s="529"/>
      <c r="R46" s="529"/>
      <c r="S46" s="531"/>
      <c r="T46" s="80"/>
      <c r="AL46" s="141"/>
    </row>
    <row r="47" spans="1:38" ht="12.75" customHeight="1">
      <c r="A47" s="528"/>
      <c r="B47" s="529"/>
      <c r="C47" s="529"/>
      <c r="D47" s="529"/>
      <c r="E47" s="529"/>
      <c r="F47" s="529"/>
      <c r="G47" s="529"/>
      <c r="H47" s="529"/>
      <c r="I47" s="529"/>
      <c r="J47" s="529"/>
      <c r="K47" s="529"/>
      <c r="L47" s="529"/>
      <c r="M47" s="529"/>
      <c r="N47" s="529"/>
      <c r="O47" s="529"/>
      <c r="P47" s="529"/>
      <c r="Q47" s="529"/>
      <c r="R47" s="529"/>
      <c r="S47" s="531"/>
      <c r="T47" s="80"/>
      <c r="AL47" s="141"/>
    </row>
    <row r="48" spans="1:38" ht="12.75" customHeight="1">
      <c r="A48" s="528"/>
      <c r="B48" s="529"/>
      <c r="C48" s="529"/>
      <c r="D48" s="529"/>
      <c r="E48" s="529"/>
      <c r="F48" s="529"/>
      <c r="G48" s="529"/>
      <c r="H48" s="529"/>
      <c r="I48" s="529"/>
      <c r="J48" s="529"/>
      <c r="K48" s="529"/>
      <c r="L48" s="529"/>
      <c r="M48" s="529"/>
      <c r="N48" s="529"/>
      <c r="O48" s="529"/>
      <c r="P48" s="529"/>
      <c r="Q48" s="529"/>
      <c r="R48" s="529"/>
      <c r="S48" s="531"/>
      <c r="T48" s="80"/>
      <c r="AL48" s="141"/>
    </row>
    <row r="49" spans="1:38" ht="12.75" customHeight="1">
      <c r="A49" s="528"/>
      <c r="B49" s="529"/>
      <c r="C49" s="529"/>
      <c r="D49" s="529"/>
      <c r="E49" s="529"/>
      <c r="F49" s="529"/>
      <c r="G49" s="529"/>
      <c r="H49" s="529"/>
      <c r="I49" s="529"/>
      <c r="J49" s="529"/>
      <c r="K49" s="529"/>
      <c r="L49" s="529"/>
      <c r="M49" s="529"/>
      <c r="N49" s="529"/>
      <c r="O49" s="529"/>
      <c r="P49" s="529"/>
      <c r="Q49" s="529"/>
      <c r="R49" s="529"/>
      <c r="S49" s="531"/>
      <c r="T49" s="80"/>
      <c r="AL49" s="141"/>
    </row>
    <row r="50" spans="1:38" ht="12.75" customHeight="1">
      <c r="A50" s="528"/>
      <c r="B50" s="529"/>
      <c r="C50" s="529"/>
      <c r="D50" s="529"/>
      <c r="E50" s="529"/>
      <c r="F50" s="529"/>
      <c r="G50" s="529"/>
      <c r="H50" s="529"/>
      <c r="I50" s="529"/>
      <c r="J50" s="529"/>
      <c r="K50" s="529"/>
      <c r="L50" s="529"/>
      <c r="M50" s="529"/>
      <c r="N50" s="529"/>
      <c r="O50" s="529"/>
      <c r="P50" s="529"/>
      <c r="Q50" s="529"/>
      <c r="R50" s="529"/>
      <c r="S50" s="531"/>
      <c r="T50" s="80"/>
      <c r="AL50" s="141"/>
    </row>
    <row r="51" spans="1:38" ht="12.75" customHeight="1">
      <c r="A51" s="528"/>
      <c r="B51" s="529"/>
      <c r="C51" s="529"/>
      <c r="D51" s="529"/>
      <c r="E51" s="529"/>
      <c r="F51" s="529"/>
      <c r="G51" s="529"/>
      <c r="H51" s="529"/>
      <c r="I51" s="529"/>
      <c r="J51" s="529"/>
      <c r="K51" s="529"/>
      <c r="L51" s="529"/>
      <c r="M51" s="529"/>
      <c r="N51" s="529"/>
      <c r="O51" s="529"/>
      <c r="P51" s="529"/>
      <c r="Q51" s="529"/>
      <c r="R51" s="529"/>
      <c r="S51" s="531"/>
      <c r="T51" s="80"/>
      <c r="AL51" s="141"/>
    </row>
    <row r="52" spans="1:38" ht="12.75" customHeight="1">
      <c r="A52" s="528"/>
      <c r="B52" s="529"/>
      <c r="C52" s="529"/>
      <c r="D52" s="529"/>
      <c r="E52" s="529"/>
      <c r="F52" s="529"/>
      <c r="G52" s="529"/>
      <c r="H52" s="529"/>
      <c r="I52" s="529"/>
      <c r="J52" s="529"/>
      <c r="K52" s="529"/>
      <c r="L52" s="529"/>
      <c r="M52" s="529"/>
      <c r="N52" s="529"/>
      <c r="O52" s="529"/>
      <c r="P52" s="529"/>
      <c r="Q52" s="529"/>
      <c r="R52" s="529"/>
      <c r="S52" s="531"/>
      <c r="T52" s="80"/>
      <c r="AL52" s="141"/>
    </row>
    <row r="53" spans="1:38" ht="12.75" customHeight="1">
      <c r="A53" s="528"/>
      <c r="B53" s="529"/>
      <c r="C53" s="529"/>
      <c r="D53" s="529"/>
      <c r="E53" s="529"/>
      <c r="F53" s="529"/>
      <c r="G53" s="529"/>
      <c r="H53" s="529"/>
      <c r="I53" s="529"/>
      <c r="J53" s="529"/>
      <c r="K53" s="529"/>
      <c r="L53" s="529"/>
      <c r="M53" s="529"/>
      <c r="N53" s="529"/>
      <c r="O53" s="529"/>
      <c r="P53" s="529"/>
      <c r="Q53" s="529"/>
      <c r="R53" s="529"/>
      <c r="S53" s="531"/>
      <c r="T53" s="80"/>
      <c r="AL53" s="141"/>
    </row>
    <row r="54" spans="1:38" ht="12.75" customHeight="1">
      <c r="A54" s="528"/>
      <c r="B54" s="529"/>
      <c r="C54" s="529"/>
      <c r="D54" s="529"/>
      <c r="E54" s="529"/>
      <c r="F54" s="529"/>
      <c r="G54" s="529"/>
      <c r="H54" s="529"/>
      <c r="I54" s="529"/>
      <c r="J54" s="529"/>
      <c r="K54" s="529"/>
      <c r="L54" s="529"/>
      <c r="M54" s="529"/>
      <c r="N54" s="529"/>
      <c r="O54" s="529"/>
      <c r="P54" s="529"/>
      <c r="Q54" s="529"/>
      <c r="R54" s="529"/>
      <c r="S54" s="531"/>
      <c r="T54" s="80"/>
      <c r="AL54" s="141"/>
    </row>
    <row r="55" spans="1:38" ht="12.75" customHeight="1">
      <c r="A55" s="528"/>
      <c r="B55" s="529"/>
      <c r="C55" s="529"/>
      <c r="D55" s="529"/>
      <c r="E55" s="529"/>
      <c r="F55" s="529"/>
      <c r="G55" s="529"/>
      <c r="H55" s="529"/>
      <c r="I55" s="529"/>
      <c r="J55" s="529"/>
      <c r="K55" s="529"/>
      <c r="L55" s="529"/>
      <c r="M55" s="529"/>
      <c r="N55" s="529"/>
      <c r="O55" s="529"/>
      <c r="P55" s="529"/>
      <c r="Q55" s="529"/>
      <c r="R55" s="529"/>
      <c r="S55" s="531"/>
      <c r="T55" s="80"/>
      <c r="AL55" s="141"/>
    </row>
    <row r="56" spans="1:38" ht="12.75" customHeight="1">
      <c r="A56" s="528"/>
      <c r="B56" s="529"/>
      <c r="C56" s="529"/>
      <c r="D56" s="529"/>
      <c r="E56" s="529"/>
      <c r="F56" s="529"/>
      <c r="G56" s="529"/>
      <c r="H56" s="529"/>
      <c r="I56" s="529"/>
      <c r="J56" s="529"/>
      <c r="K56" s="529"/>
      <c r="L56" s="529"/>
      <c r="M56" s="529"/>
      <c r="N56" s="529"/>
      <c r="O56" s="529"/>
      <c r="P56" s="529"/>
      <c r="Q56" s="529"/>
      <c r="R56" s="529"/>
      <c r="S56" s="531"/>
      <c r="T56" s="80"/>
      <c r="AL56" s="141"/>
    </row>
    <row r="57" spans="1:38" ht="12.75" customHeight="1">
      <c r="A57" s="528"/>
      <c r="B57" s="529"/>
      <c r="C57" s="529"/>
      <c r="D57" s="529"/>
      <c r="E57" s="529"/>
      <c r="F57" s="529"/>
      <c r="G57" s="529"/>
      <c r="H57" s="529"/>
      <c r="I57" s="529"/>
      <c r="J57" s="529"/>
      <c r="K57" s="529"/>
      <c r="L57" s="529"/>
      <c r="M57" s="529"/>
      <c r="N57" s="529"/>
      <c r="O57" s="529"/>
      <c r="P57" s="529"/>
      <c r="Q57" s="529"/>
      <c r="R57" s="529"/>
      <c r="S57" s="531"/>
      <c r="T57" s="80"/>
      <c r="AL57" s="141"/>
    </row>
    <row r="58" spans="1:38" ht="12.75" customHeight="1">
      <c r="A58" s="528"/>
      <c r="B58" s="529"/>
      <c r="C58" s="529"/>
      <c r="D58" s="529"/>
      <c r="E58" s="529"/>
      <c r="F58" s="529"/>
      <c r="G58" s="529"/>
      <c r="H58" s="529"/>
      <c r="I58" s="529"/>
      <c r="J58" s="529"/>
      <c r="K58" s="529"/>
      <c r="L58" s="529"/>
      <c r="M58" s="529"/>
      <c r="N58" s="529"/>
      <c r="O58" s="529"/>
      <c r="P58" s="529"/>
      <c r="Q58" s="529"/>
      <c r="R58" s="529"/>
      <c r="S58" s="531"/>
      <c r="T58" s="80"/>
      <c r="AL58" s="141"/>
    </row>
    <row r="59" spans="1:38" ht="12.75" customHeight="1">
      <c r="A59" s="528"/>
      <c r="B59" s="529"/>
      <c r="C59" s="529"/>
      <c r="D59" s="529"/>
      <c r="E59" s="529"/>
      <c r="F59" s="529"/>
      <c r="G59" s="529"/>
      <c r="H59" s="529"/>
      <c r="I59" s="529"/>
      <c r="J59" s="529"/>
      <c r="K59" s="529"/>
      <c r="L59" s="529"/>
      <c r="M59" s="529"/>
      <c r="N59" s="529"/>
      <c r="O59" s="529"/>
      <c r="P59" s="529"/>
      <c r="Q59" s="529"/>
      <c r="R59" s="529"/>
      <c r="S59" s="531"/>
      <c r="T59" s="80"/>
      <c r="AL59" s="141"/>
    </row>
    <row r="60" spans="1:38" ht="12.75" customHeight="1">
      <c r="A60" s="528"/>
      <c r="B60" s="529"/>
      <c r="C60" s="529"/>
      <c r="D60" s="529"/>
      <c r="E60" s="529"/>
      <c r="F60" s="529"/>
      <c r="G60" s="529"/>
      <c r="H60" s="529"/>
      <c r="I60" s="529"/>
      <c r="J60" s="529"/>
      <c r="K60" s="529"/>
      <c r="L60" s="529"/>
      <c r="M60" s="529"/>
      <c r="N60" s="529"/>
      <c r="O60" s="529"/>
      <c r="P60" s="529"/>
      <c r="Q60" s="529"/>
      <c r="R60" s="529"/>
      <c r="S60" s="531"/>
      <c r="T60" s="80"/>
      <c r="AL60" s="141"/>
    </row>
    <row r="61" spans="1:38" ht="12.75" customHeight="1">
      <c r="A61" s="528"/>
      <c r="B61" s="529"/>
      <c r="C61" s="529"/>
      <c r="D61" s="529"/>
      <c r="E61" s="529"/>
      <c r="F61" s="529"/>
      <c r="G61" s="529"/>
      <c r="H61" s="529"/>
      <c r="I61" s="529"/>
      <c r="J61" s="529"/>
      <c r="K61" s="529"/>
      <c r="L61" s="529"/>
      <c r="M61" s="529"/>
      <c r="N61" s="529"/>
      <c r="O61" s="529"/>
      <c r="P61" s="529"/>
      <c r="Q61" s="529"/>
      <c r="R61" s="529"/>
      <c r="S61" s="531"/>
      <c r="T61" s="80"/>
      <c r="AL61" s="141"/>
    </row>
    <row r="62" spans="1:38" ht="12.75" customHeight="1">
      <c r="A62" s="528"/>
      <c r="B62" s="529"/>
      <c r="C62" s="529"/>
      <c r="D62" s="529"/>
      <c r="E62" s="529"/>
      <c r="F62" s="529"/>
      <c r="G62" s="529"/>
      <c r="H62" s="529"/>
      <c r="I62" s="529"/>
      <c r="J62" s="529"/>
      <c r="K62" s="529"/>
      <c r="L62" s="529"/>
      <c r="M62" s="529"/>
      <c r="N62" s="529"/>
      <c r="O62" s="529"/>
      <c r="P62" s="529"/>
      <c r="Q62" s="529"/>
      <c r="R62" s="529"/>
      <c r="S62" s="531"/>
      <c r="T62" s="80"/>
      <c r="AL62" s="141"/>
    </row>
    <row r="63" spans="1:38" ht="12.75" customHeight="1">
      <c r="A63" s="528"/>
      <c r="B63" s="529"/>
      <c r="C63" s="529"/>
      <c r="D63" s="529"/>
      <c r="E63" s="529"/>
      <c r="F63" s="529"/>
      <c r="G63" s="529"/>
      <c r="H63" s="529"/>
      <c r="I63" s="529"/>
      <c r="J63" s="529"/>
      <c r="K63" s="529"/>
      <c r="L63" s="529"/>
      <c r="M63" s="529"/>
      <c r="N63" s="529"/>
      <c r="O63" s="529"/>
      <c r="P63" s="529"/>
      <c r="Q63" s="529"/>
      <c r="R63" s="529"/>
      <c r="S63" s="531"/>
      <c r="T63" s="80"/>
      <c r="AL63" s="141"/>
    </row>
    <row r="64" spans="1:38" ht="12.75" customHeight="1">
      <c r="A64" s="528"/>
      <c r="B64" s="529"/>
      <c r="C64" s="529"/>
      <c r="D64" s="529"/>
      <c r="E64" s="529"/>
      <c r="F64" s="529"/>
      <c r="G64" s="529"/>
      <c r="H64" s="529"/>
      <c r="I64" s="529"/>
      <c r="J64" s="529"/>
      <c r="K64" s="529"/>
      <c r="L64" s="529"/>
      <c r="M64" s="529"/>
      <c r="N64" s="529"/>
      <c r="O64" s="529"/>
      <c r="P64" s="529"/>
      <c r="Q64" s="529"/>
      <c r="R64" s="529"/>
      <c r="S64" s="531"/>
      <c r="T64" s="80"/>
      <c r="AL64" s="141"/>
    </row>
    <row r="65" spans="1:38" ht="12.75" customHeight="1">
      <c r="A65" s="528"/>
      <c r="B65" s="529"/>
      <c r="C65" s="529"/>
      <c r="D65" s="529"/>
      <c r="E65" s="529"/>
      <c r="F65" s="529"/>
      <c r="G65" s="529"/>
      <c r="H65" s="529"/>
      <c r="I65" s="529"/>
      <c r="J65" s="529"/>
      <c r="K65" s="529"/>
      <c r="L65" s="529"/>
      <c r="M65" s="529"/>
      <c r="N65" s="529"/>
      <c r="O65" s="529"/>
      <c r="P65" s="529"/>
      <c r="Q65" s="529"/>
      <c r="R65" s="529"/>
      <c r="S65" s="531"/>
      <c r="T65" s="80"/>
      <c r="AL65" s="141"/>
    </row>
    <row r="66" spans="1:38" ht="12.75" customHeight="1">
      <c r="A66" s="528"/>
      <c r="B66" s="529"/>
      <c r="C66" s="529"/>
      <c r="D66" s="529"/>
      <c r="E66" s="529"/>
      <c r="F66" s="529"/>
      <c r="G66" s="529"/>
      <c r="H66" s="529"/>
      <c r="I66" s="529"/>
      <c r="J66" s="529"/>
      <c r="K66" s="529"/>
      <c r="L66" s="529"/>
      <c r="M66" s="529"/>
      <c r="N66" s="529"/>
      <c r="O66" s="529"/>
      <c r="P66" s="529"/>
      <c r="Q66" s="529"/>
      <c r="R66" s="529"/>
      <c r="S66" s="531"/>
      <c r="T66" s="80"/>
      <c r="AL66" s="141"/>
    </row>
    <row r="67" spans="1:38" ht="12.75" customHeight="1">
      <c r="A67" s="528"/>
      <c r="B67" s="529"/>
      <c r="C67" s="529"/>
      <c r="D67" s="529"/>
      <c r="E67" s="529"/>
      <c r="F67" s="529"/>
      <c r="G67" s="529"/>
      <c r="H67" s="529"/>
      <c r="I67" s="529"/>
      <c r="J67" s="529"/>
      <c r="K67" s="529"/>
      <c r="L67" s="529"/>
      <c r="M67" s="529"/>
      <c r="N67" s="529"/>
      <c r="O67" s="529"/>
      <c r="P67" s="529"/>
      <c r="Q67" s="529"/>
      <c r="R67" s="529"/>
      <c r="S67" s="531"/>
      <c r="T67" s="80"/>
      <c r="AL67" s="141"/>
    </row>
    <row r="68" spans="1:38" ht="12.75" customHeight="1">
      <c r="A68" s="528"/>
      <c r="B68" s="529"/>
      <c r="C68" s="529"/>
      <c r="D68" s="529"/>
      <c r="E68" s="529"/>
      <c r="F68" s="529"/>
      <c r="G68" s="529"/>
      <c r="H68" s="529"/>
      <c r="I68" s="529"/>
      <c r="J68" s="529"/>
      <c r="K68" s="529"/>
      <c r="L68" s="529"/>
      <c r="M68" s="529"/>
      <c r="N68" s="529"/>
      <c r="O68" s="529"/>
      <c r="P68" s="529"/>
      <c r="Q68" s="529"/>
      <c r="R68" s="529"/>
      <c r="S68" s="531"/>
      <c r="T68" s="80"/>
      <c r="AL68" s="141"/>
    </row>
    <row r="69" spans="1:38" ht="12.75" customHeight="1">
      <c r="A69" s="528"/>
      <c r="B69" s="529"/>
      <c r="C69" s="529"/>
      <c r="D69" s="529"/>
      <c r="E69" s="529"/>
      <c r="F69" s="529"/>
      <c r="G69" s="529"/>
      <c r="H69" s="529"/>
      <c r="I69" s="529"/>
      <c r="J69" s="529"/>
      <c r="K69" s="529"/>
      <c r="L69" s="529"/>
      <c r="M69" s="529"/>
      <c r="N69" s="529"/>
      <c r="O69" s="529"/>
      <c r="P69" s="529"/>
      <c r="Q69" s="529"/>
      <c r="R69" s="529"/>
      <c r="S69" s="531"/>
      <c r="T69" s="80"/>
      <c r="AL69" s="141"/>
    </row>
    <row r="70" spans="1:38" ht="12.75" customHeight="1">
      <c r="A70" s="528"/>
      <c r="B70" s="529"/>
      <c r="C70" s="529"/>
      <c r="D70" s="529"/>
      <c r="E70" s="529"/>
      <c r="F70" s="529"/>
      <c r="G70" s="529"/>
      <c r="H70" s="529"/>
      <c r="I70" s="529"/>
      <c r="J70" s="529"/>
      <c r="K70" s="529"/>
      <c r="L70" s="529"/>
      <c r="M70" s="529"/>
      <c r="N70" s="529"/>
      <c r="O70" s="529"/>
      <c r="P70" s="529"/>
      <c r="Q70" s="529"/>
      <c r="R70" s="529"/>
      <c r="S70" s="531"/>
      <c r="T70" s="80"/>
      <c r="AL70" s="141"/>
    </row>
    <row r="71" spans="1:38" ht="12.75" customHeight="1">
      <c r="A71" s="528"/>
      <c r="B71" s="536" t="s">
        <v>923</v>
      </c>
      <c r="C71" s="529"/>
      <c r="D71" s="529"/>
      <c r="E71" s="529"/>
      <c r="F71" s="529"/>
      <c r="G71" s="529"/>
      <c r="H71" s="529"/>
      <c r="I71" s="529"/>
      <c r="J71" s="529"/>
      <c r="K71" s="529"/>
      <c r="L71" s="529"/>
      <c r="M71" s="529"/>
      <c r="N71" s="529"/>
      <c r="O71" s="529"/>
      <c r="P71" s="529"/>
      <c r="Q71" s="529"/>
      <c r="R71" s="529"/>
      <c r="S71" s="531"/>
      <c r="T71" s="80"/>
      <c r="AL71" s="141"/>
    </row>
    <row r="72" spans="1:38" ht="12.75" customHeight="1">
      <c r="A72" s="528"/>
      <c r="B72" s="536" t="s">
        <v>924</v>
      </c>
      <c r="C72" s="529"/>
      <c r="D72" s="529"/>
      <c r="E72" s="529"/>
      <c r="F72" s="529"/>
      <c r="G72" s="529"/>
      <c r="H72" s="529"/>
      <c r="I72" s="529"/>
      <c r="J72" s="529"/>
      <c r="K72" s="529"/>
      <c r="L72" s="529"/>
      <c r="M72" s="529"/>
      <c r="N72" s="529"/>
      <c r="O72" s="529"/>
      <c r="P72" s="529"/>
      <c r="Q72" s="529"/>
      <c r="R72" s="529"/>
      <c r="S72" s="531"/>
      <c r="T72" s="80"/>
      <c r="AL72" s="141"/>
    </row>
    <row r="73" spans="1:38" ht="12.75" customHeight="1">
      <c r="A73" s="534"/>
      <c r="B73" s="533"/>
      <c r="C73" s="533"/>
      <c r="D73" s="533"/>
      <c r="E73" s="533"/>
      <c r="F73" s="533"/>
      <c r="G73" s="533"/>
      <c r="H73" s="533"/>
      <c r="I73" s="533"/>
      <c r="J73" s="533"/>
      <c r="K73" s="533"/>
      <c r="L73" s="533"/>
      <c r="M73" s="533"/>
      <c r="N73" s="533"/>
      <c r="O73" s="533"/>
      <c r="P73" s="533"/>
      <c r="Q73" s="533"/>
      <c r="R73" s="533"/>
      <c r="S73" s="535"/>
      <c r="T73" s="251"/>
      <c r="U73" s="25"/>
      <c r="V73" s="25"/>
      <c r="W73" s="25"/>
      <c r="X73" s="25"/>
      <c r="Y73" s="25"/>
      <c r="Z73" s="25"/>
      <c r="AA73" s="25"/>
      <c r="AB73" s="25"/>
      <c r="AC73" s="25"/>
      <c r="AD73" s="25"/>
      <c r="AE73" s="25"/>
      <c r="AF73" s="25"/>
      <c r="AG73" s="25"/>
      <c r="AH73" s="25"/>
      <c r="AI73" s="25"/>
      <c r="AJ73" s="25"/>
      <c r="AK73" s="25"/>
      <c r="AL73" s="197"/>
    </row>
    <row r="74" spans="1:38" ht="12.75" customHeight="1"/>
    <row r="75" spans="1:38" ht="12.75" customHeight="1"/>
    <row r="76" spans="1:38" ht="12.75" customHeight="1"/>
    <row r="77" spans="1:38" ht="12.75" customHeight="1"/>
    <row r="78" spans="1:38" ht="12.75" customHeight="1"/>
    <row r="79" spans="1:38" ht="12.75" customHeight="1"/>
    <row r="80" spans="1:38"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Q3" location="'T3.10.5 T3.5 MHoop Brace Spt'!A1" display="BACK" xr:uid="{00000000-0004-0000-2A00-000000000000}"/>
  </hyperlinks>
  <pageMargins left="0.39370078740157483" right="0.39370078740157483" top="0.39370078740157483" bottom="0.39370078740157483" header="0" footer="0"/>
  <pageSetup paperSize="9" orientation="portrait"/>
  <colBreaks count="1" manualBreakCount="1">
    <brk id="19" man="1"/>
  </colBreaks>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Z1000"/>
  <sheetViews>
    <sheetView showGridLines="0" workbookViewId="0"/>
  </sheetViews>
  <sheetFormatPr baseColWidth="10" defaultColWidth="12.5703125" defaultRowHeight="15" customHeight="1"/>
  <cols>
    <col min="1" max="1" width="5" customWidth="1"/>
    <col min="2" max="2" width="6.140625" customWidth="1"/>
    <col min="3" max="22" width="5" customWidth="1"/>
    <col min="23" max="26" width="11.42578125" customWidth="1"/>
  </cols>
  <sheetData>
    <row r="1" spans="1:26" ht="12.75" customHeight="1">
      <c r="A1" s="617" t="s">
        <v>925</v>
      </c>
      <c r="B1" s="598"/>
      <c r="C1" s="598"/>
      <c r="D1" s="598"/>
      <c r="E1" s="598"/>
      <c r="F1" s="598"/>
      <c r="G1" s="598"/>
      <c r="H1" s="598"/>
      <c r="I1" s="598"/>
      <c r="J1" s="598"/>
      <c r="K1" s="598"/>
      <c r="L1" s="598"/>
      <c r="M1" s="598"/>
      <c r="N1" s="598"/>
      <c r="O1" s="598"/>
      <c r="P1" s="598"/>
      <c r="Q1" s="598"/>
      <c r="R1" s="598"/>
      <c r="S1" s="598"/>
      <c r="T1" s="80"/>
      <c r="U1" s="34"/>
      <c r="V1" s="34"/>
      <c r="W1" s="34"/>
      <c r="X1" s="34"/>
      <c r="Y1" s="34"/>
      <c r="Z1" s="34"/>
    </row>
    <row r="2" spans="1:26"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row>
    <row r="3" spans="1:26" ht="12.75" customHeight="1">
      <c r="A3" s="528"/>
      <c r="B3" s="536" t="s">
        <v>926</v>
      </c>
      <c r="C3" s="529"/>
      <c r="D3" s="529"/>
      <c r="E3" s="529"/>
      <c r="F3" s="529"/>
      <c r="G3" s="529"/>
      <c r="H3" s="529"/>
      <c r="I3" s="529"/>
      <c r="J3" s="529"/>
      <c r="K3" s="529"/>
      <c r="L3" s="529"/>
      <c r="M3" s="529"/>
      <c r="N3" s="529"/>
      <c r="O3" s="529"/>
      <c r="P3" s="529"/>
      <c r="Q3" s="529"/>
      <c r="R3" s="529"/>
      <c r="S3" s="531"/>
      <c r="T3" s="80"/>
      <c r="U3" s="155"/>
      <c r="V3" s="34"/>
      <c r="W3" s="34"/>
      <c r="X3" s="34"/>
      <c r="Y3" s="34"/>
      <c r="Z3" s="34"/>
    </row>
    <row r="4" spans="1:26" ht="12.75" customHeight="1">
      <c r="A4" s="528"/>
      <c r="B4" s="536"/>
      <c r="C4" s="529"/>
      <c r="D4" s="529"/>
      <c r="E4" s="529"/>
      <c r="F4" s="529"/>
      <c r="G4" s="529"/>
      <c r="H4" s="529"/>
      <c r="I4" s="529"/>
      <c r="J4" s="529"/>
      <c r="K4" s="529"/>
      <c r="L4" s="529"/>
      <c r="M4" s="529"/>
      <c r="N4" s="529"/>
      <c r="O4" s="529"/>
      <c r="P4" s="529"/>
      <c r="Q4" s="529"/>
      <c r="R4" s="529"/>
      <c r="S4" s="531"/>
      <c r="T4" s="80"/>
      <c r="U4" s="155"/>
      <c r="V4" s="34"/>
      <c r="W4" s="34"/>
      <c r="X4" s="34"/>
      <c r="Y4" s="34"/>
      <c r="Z4" s="34"/>
    </row>
    <row r="5" spans="1:26" ht="12.75" customHeight="1">
      <c r="A5" s="528"/>
      <c r="B5" s="536" t="s">
        <v>927</v>
      </c>
      <c r="C5" s="529"/>
      <c r="D5" s="529"/>
      <c r="E5" s="529"/>
      <c r="F5" s="529"/>
      <c r="G5" s="529"/>
      <c r="H5" s="529"/>
      <c r="I5" s="529"/>
      <c r="J5" s="529"/>
      <c r="K5" s="529"/>
      <c r="L5" s="529"/>
      <c r="M5" s="529"/>
      <c r="N5" s="529"/>
      <c r="O5" s="529"/>
      <c r="P5" s="529"/>
      <c r="Q5" s="529"/>
      <c r="R5" s="529"/>
      <c r="S5" s="531"/>
      <c r="T5" s="80"/>
      <c r="U5" s="155"/>
      <c r="V5" s="34"/>
      <c r="W5" s="34"/>
      <c r="X5" s="34"/>
      <c r="Y5" s="34"/>
      <c r="Z5" s="34"/>
    </row>
    <row r="6" spans="1:26" ht="12.75" customHeight="1">
      <c r="A6" s="528"/>
      <c r="B6" s="536" t="s">
        <v>928</v>
      </c>
      <c r="C6" s="529"/>
      <c r="D6" s="529"/>
      <c r="E6" s="529"/>
      <c r="F6" s="529"/>
      <c r="G6" s="529"/>
      <c r="H6" s="529"/>
      <c r="I6" s="529"/>
      <c r="J6" s="529"/>
      <c r="K6" s="529"/>
      <c r="L6" s="529"/>
      <c r="M6" s="529"/>
      <c r="N6" s="529"/>
      <c r="O6" s="529"/>
      <c r="P6" s="529"/>
      <c r="Q6" s="529"/>
      <c r="R6" s="529"/>
      <c r="S6" s="531"/>
      <c r="T6" s="80"/>
      <c r="U6" s="34"/>
      <c r="V6" s="34"/>
      <c r="W6" s="34"/>
      <c r="X6" s="34"/>
      <c r="Y6" s="34"/>
      <c r="Z6" s="34"/>
    </row>
    <row r="7" spans="1:26" ht="12.75" customHeight="1">
      <c r="A7" s="528"/>
      <c r="B7" s="536" t="s">
        <v>929</v>
      </c>
      <c r="C7" s="529"/>
      <c r="D7" s="529"/>
      <c r="E7" s="529"/>
      <c r="F7" s="529"/>
      <c r="G7" s="529"/>
      <c r="H7" s="529"/>
      <c r="I7" s="529"/>
      <c r="J7" s="529"/>
      <c r="K7" s="529"/>
      <c r="L7" s="529"/>
      <c r="M7" s="529"/>
      <c r="N7" s="529"/>
      <c r="O7" s="529"/>
      <c r="P7" s="529"/>
      <c r="Q7" s="529"/>
      <c r="R7" s="529"/>
      <c r="S7" s="531"/>
      <c r="T7" s="80"/>
      <c r="U7" s="34"/>
      <c r="V7" s="34"/>
      <c r="W7" s="34"/>
      <c r="X7" s="34"/>
      <c r="Y7" s="34"/>
      <c r="Z7" s="34"/>
    </row>
    <row r="8" spans="1:26" ht="12.75" customHeight="1">
      <c r="A8" s="528"/>
      <c r="B8" s="536"/>
      <c r="C8" s="529"/>
      <c r="D8" s="529"/>
      <c r="E8" s="529"/>
      <c r="F8" s="529"/>
      <c r="G8" s="529"/>
      <c r="H8" s="529"/>
      <c r="I8" s="529"/>
      <c r="J8" s="529"/>
      <c r="K8" s="529"/>
      <c r="L8" s="529"/>
      <c r="M8" s="529"/>
      <c r="N8" s="529"/>
      <c r="O8" s="529"/>
      <c r="P8" s="529"/>
      <c r="Q8" s="529"/>
      <c r="R8" s="529"/>
      <c r="S8" s="531"/>
      <c r="T8" s="80"/>
      <c r="U8" s="34"/>
      <c r="V8" s="34"/>
      <c r="W8" s="34"/>
      <c r="X8" s="34"/>
      <c r="Y8" s="34"/>
      <c r="Z8" s="34"/>
    </row>
    <row r="9" spans="1:26" ht="12.75" customHeight="1">
      <c r="A9" s="528"/>
      <c r="B9" s="536" t="s">
        <v>930</v>
      </c>
      <c r="C9" s="529"/>
      <c r="D9" s="529"/>
      <c r="E9" s="529"/>
      <c r="F9" s="529"/>
      <c r="G9" s="529"/>
      <c r="H9" s="529"/>
      <c r="I9" s="529"/>
      <c r="J9" s="529"/>
      <c r="K9" s="529"/>
      <c r="L9" s="529"/>
      <c r="M9" s="529"/>
      <c r="N9" s="529"/>
      <c r="O9" s="529"/>
      <c r="P9" s="529"/>
      <c r="Q9" s="529"/>
      <c r="R9" s="529"/>
      <c r="S9" s="531"/>
      <c r="T9" s="80"/>
      <c r="U9" s="34"/>
      <c r="V9" s="34"/>
      <c r="W9" s="34"/>
      <c r="X9" s="34"/>
      <c r="Y9" s="34"/>
      <c r="Z9" s="34"/>
    </row>
    <row r="10" spans="1:26" ht="12.75" customHeight="1">
      <c r="A10" s="528"/>
      <c r="B10" s="536" t="s">
        <v>931</v>
      </c>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row>
    <row r="11" spans="1:26" ht="12.75" customHeight="1">
      <c r="A11" s="528"/>
      <c r="B11" s="536"/>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row>
    <row r="12" spans="1:26" ht="12.75" customHeight="1">
      <c r="A12" s="528"/>
      <c r="B12" s="536" t="s">
        <v>932</v>
      </c>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row>
    <row r="13" spans="1:26" ht="12.75" customHeight="1">
      <c r="A13" s="528"/>
      <c r="B13" s="536" t="s">
        <v>933</v>
      </c>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row>
    <row r="14" spans="1:26" ht="12.75" customHeight="1">
      <c r="A14" s="528"/>
      <c r="B14" s="529"/>
      <c r="C14" s="529"/>
      <c r="D14" s="529"/>
      <c r="E14" s="529"/>
      <c r="F14" s="529"/>
      <c r="G14" s="529"/>
      <c r="H14" s="529"/>
      <c r="I14" s="529"/>
      <c r="J14" s="529"/>
      <c r="K14" s="529"/>
      <c r="L14" s="529"/>
      <c r="M14" s="529"/>
      <c r="N14" s="529"/>
      <c r="O14" s="529"/>
      <c r="P14" s="529"/>
      <c r="Q14" s="529"/>
      <c r="R14" s="529"/>
      <c r="S14" s="531"/>
      <c r="T14" s="80"/>
      <c r="U14" s="34"/>
      <c r="V14" s="34"/>
      <c r="W14" s="34"/>
      <c r="X14" s="34"/>
      <c r="Y14" s="34"/>
      <c r="Z14" s="34"/>
    </row>
    <row r="15" spans="1:26" ht="12.75" customHeight="1">
      <c r="A15" s="528"/>
      <c r="B15" s="155" t="s">
        <v>913</v>
      </c>
      <c r="C15" s="529"/>
      <c r="D15" s="529"/>
      <c r="E15" s="529"/>
      <c r="F15" s="529"/>
      <c r="G15" s="529"/>
      <c r="H15" s="529"/>
      <c r="I15" s="529"/>
      <c r="J15" s="529"/>
      <c r="K15" s="529"/>
      <c r="L15" s="529"/>
      <c r="M15" s="529"/>
      <c r="N15" s="529"/>
      <c r="O15" s="529"/>
      <c r="P15" s="529"/>
      <c r="Q15" s="529"/>
      <c r="R15" s="529"/>
      <c r="S15" s="531"/>
      <c r="T15" s="80"/>
      <c r="U15" s="34"/>
      <c r="V15" s="34"/>
      <c r="W15" s="34"/>
      <c r="X15" s="34"/>
      <c r="Y15" s="34"/>
      <c r="Z15" s="34"/>
    </row>
    <row r="16" spans="1:26" ht="12.75" customHeight="1">
      <c r="A16" s="528"/>
      <c r="B16" s="155" t="s">
        <v>934</v>
      </c>
      <c r="C16" s="529"/>
      <c r="D16" s="529"/>
      <c r="E16" s="529"/>
      <c r="F16" s="529"/>
      <c r="G16" s="529"/>
      <c r="H16" s="529"/>
      <c r="I16" s="529"/>
      <c r="J16" s="529"/>
      <c r="K16" s="529"/>
      <c r="L16" s="529"/>
      <c r="M16" s="529"/>
      <c r="N16" s="529"/>
      <c r="O16" s="529"/>
      <c r="P16" s="529"/>
      <c r="Q16" s="529"/>
      <c r="R16" s="529"/>
      <c r="S16" s="531"/>
      <c r="T16" s="80"/>
      <c r="U16" s="34"/>
      <c r="V16" s="34"/>
      <c r="W16" s="34"/>
      <c r="X16" s="34"/>
      <c r="Y16" s="34"/>
      <c r="Z16" s="34"/>
    </row>
    <row r="17" spans="1:26" ht="12.75" customHeight="1">
      <c r="A17" s="528"/>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row>
    <row r="18" spans="1:26" ht="12.75" customHeight="1">
      <c r="A18" s="528"/>
      <c r="B18" s="536" t="s">
        <v>935</v>
      </c>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row>
    <row r="19" spans="1:26" ht="12.75" customHeight="1">
      <c r="A19" s="528"/>
      <c r="B19" s="536" t="s">
        <v>936</v>
      </c>
      <c r="C19" s="529"/>
      <c r="D19" s="529"/>
      <c r="E19" s="529"/>
      <c r="F19" s="529"/>
      <c r="G19" s="529"/>
      <c r="H19" s="529"/>
      <c r="I19" s="529"/>
      <c r="J19" s="529"/>
      <c r="K19" s="529"/>
      <c r="L19" s="529"/>
      <c r="M19" s="529"/>
      <c r="N19" s="529"/>
      <c r="O19" s="529"/>
      <c r="P19" s="529"/>
      <c r="Q19" s="529"/>
      <c r="R19" s="529"/>
      <c r="S19" s="531"/>
      <c r="T19" s="80"/>
      <c r="U19" s="34"/>
      <c r="V19" s="34"/>
      <c r="W19" s="34"/>
      <c r="X19" s="34"/>
      <c r="Y19" s="34"/>
      <c r="Z19" s="34"/>
    </row>
    <row r="20" spans="1:26" ht="12.75" customHeight="1">
      <c r="A20" s="528"/>
      <c r="B20" s="529"/>
      <c r="C20" s="529"/>
      <c r="D20" s="529"/>
      <c r="E20" s="529"/>
      <c r="F20" s="529"/>
      <c r="G20" s="529"/>
      <c r="H20" s="529"/>
      <c r="I20" s="529"/>
      <c r="J20" s="529"/>
      <c r="K20" s="529"/>
      <c r="L20" s="529"/>
      <c r="M20" s="529"/>
      <c r="N20" s="529"/>
      <c r="O20" s="529"/>
      <c r="P20" s="529"/>
      <c r="Q20" s="529"/>
      <c r="R20" s="529"/>
      <c r="S20" s="531"/>
      <c r="T20" s="80"/>
      <c r="U20" s="34"/>
      <c r="V20" s="34"/>
      <c r="W20" s="34"/>
      <c r="X20" s="34"/>
      <c r="Y20" s="34"/>
      <c r="Z20" s="34"/>
    </row>
    <row r="21" spans="1:26" ht="12.75" customHeight="1">
      <c r="A21" s="528"/>
      <c r="B21" s="537" t="s">
        <v>937</v>
      </c>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row>
    <row r="22" spans="1:26" ht="12.75" customHeight="1">
      <c r="A22" s="528"/>
      <c r="B22" s="536"/>
      <c r="C22" s="529"/>
      <c r="D22" s="529"/>
      <c r="E22" s="529"/>
      <c r="F22" s="529"/>
      <c r="G22" s="529"/>
      <c r="H22" s="529"/>
      <c r="I22" s="529"/>
      <c r="J22" s="529"/>
      <c r="K22" s="529"/>
      <c r="L22" s="529"/>
      <c r="M22" s="529"/>
      <c r="N22" s="529"/>
      <c r="O22" s="529"/>
      <c r="P22" s="529"/>
      <c r="Q22" s="529"/>
      <c r="R22" s="529"/>
      <c r="S22" s="531"/>
      <c r="T22" s="80"/>
      <c r="U22" s="34"/>
      <c r="V22" s="34"/>
      <c r="W22" s="34"/>
      <c r="X22" s="34"/>
      <c r="Y22" s="34"/>
      <c r="Z22" s="34"/>
    </row>
    <row r="23" spans="1:26" ht="12.75" customHeight="1">
      <c r="A23" s="528"/>
      <c r="B23" s="529"/>
      <c r="C23" s="529"/>
      <c r="D23" s="529"/>
      <c r="E23" s="529"/>
      <c r="F23" s="529"/>
      <c r="G23" s="529"/>
      <c r="H23" s="529"/>
      <c r="I23" s="529"/>
      <c r="J23" s="529"/>
      <c r="K23" s="529"/>
      <c r="L23" s="529"/>
      <c r="M23" s="529"/>
      <c r="N23" s="529"/>
      <c r="O23" s="529"/>
      <c r="P23" s="529"/>
      <c r="Q23" s="529"/>
      <c r="R23" s="529"/>
      <c r="S23" s="531"/>
      <c r="T23" s="80"/>
      <c r="U23" s="34"/>
      <c r="V23" s="34"/>
      <c r="W23" s="34"/>
      <c r="X23" s="34"/>
      <c r="Y23" s="34"/>
      <c r="Z23" s="34"/>
    </row>
    <row r="24" spans="1:26" ht="12.75" customHeight="1">
      <c r="A24" s="528"/>
      <c r="B24" s="536"/>
      <c r="C24" s="529"/>
      <c r="D24" s="529"/>
      <c r="E24" s="529"/>
      <c r="F24" s="529"/>
      <c r="G24" s="529"/>
      <c r="H24" s="529"/>
      <c r="I24" s="529"/>
      <c r="J24" s="529"/>
      <c r="K24" s="529"/>
      <c r="L24" s="529"/>
      <c r="M24" s="529"/>
      <c r="N24" s="529"/>
      <c r="O24" s="529"/>
      <c r="P24" s="529"/>
      <c r="Q24" s="529"/>
      <c r="R24" s="529"/>
      <c r="S24" s="531"/>
      <c r="T24" s="80"/>
      <c r="U24" s="34"/>
      <c r="V24" s="34"/>
      <c r="W24" s="34"/>
      <c r="X24" s="34"/>
      <c r="Y24" s="34"/>
      <c r="Z24" s="34"/>
    </row>
    <row r="25" spans="1:26" ht="12.75" customHeight="1">
      <c r="A25" s="528"/>
      <c r="B25" s="536"/>
      <c r="C25" s="529"/>
      <c r="D25" s="529"/>
      <c r="E25" s="529"/>
      <c r="F25" s="529"/>
      <c r="G25" s="529"/>
      <c r="H25" s="529"/>
      <c r="I25" s="529"/>
      <c r="J25" s="529"/>
      <c r="K25" s="529"/>
      <c r="L25" s="529"/>
      <c r="M25" s="529"/>
      <c r="N25" s="529"/>
      <c r="O25" s="529"/>
      <c r="P25" s="529"/>
      <c r="Q25" s="529"/>
      <c r="R25" s="529"/>
      <c r="S25" s="531"/>
      <c r="T25" s="80"/>
      <c r="U25" s="34"/>
      <c r="V25" s="34"/>
      <c r="W25" s="34"/>
      <c r="X25" s="34"/>
      <c r="Y25" s="34"/>
      <c r="Z25" s="34"/>
    </row>
    <row r="26" spans="1:26" ht="12.75" customHeight="1">
      <c r="A26" s="528"/>
      <c r="B26" s="536"/>
      <c r="C26" s="529"/>
      <c r="D26" s="529"/>
      <c r="E26" s="529"/>
      <c r="F26" s="529"/>
      <c r="G26" s="529"/>
      <c r="H26" s="529"/>
      <c r="I26" s="529"/>
      <c r="J26" s="529"/>
      <c r="K26" s="529"/>
      <c r="L26" s="529"/>
      <c r="M26" s="529"/>
      <c r="N26" s="529"/>
      <c r="O26" s="529"/>
      <c r="P26" s="529"/>
      <c r="Q26" s="529"/>
      <c r="R26" s="529"/>
      <c r="S26" s="531"/>
      <c r="T26" s="80"/>
      <c r="U26" s="34"/>
      <c r="V26" s="34"/>
      <c r="W26" s="34"/>
      <c r="X26" s="34"/>
      <c r="Y26" s="34"/>
      <c r="Z26" s="34"/>
    </row>
    <row r="27" spans="1:26" ht="12.75" customHeight="1">
      <c r="A27" s="528"/>
      <c r="C27" s="529"/>
      <c r="D27" s="529"/>
      <c r="E27" s="529"/>
      <c r="F27" s="529"/>
      <c r="G27" s="529"/>
      <c r="H27" s="529"/>
      <c r="I27" s="529"/>
      <c r="J27" s="529"/>
      <c r="K27" s="529"/>
      <c r="L27" s="529"/>
      <c r="M27" s="529"/>
      <c r="N27" s="529"/>
      <c r="O27" s="529"/>
      <c r="P27" s="529"/>
      <c r="Q27" s="529"/>
      <c r="R27" s="529"/>
      <c r="S27" s="531"/>
      <c r="T27" s="80"/>
      <c r="U27" s="34"/>
      <c r="V27" s="34"/>
      <c r="W27" s="34"/>
      <c r="X27" s="34"/>
      <c r="Y27" s="34"/>
      <c r="Z27" s="34"/>
    </row>
    <row r="28" spans="1:26" ht="12.75" customHeight="1">
      <c r="A28" s="528"/>
      <c r="C28" s="529"/>
      <c r="D28" s="529"/>
      <c r="E28" s="529"/>
      <c r="F28" s="529"/>
      <c r="G28" s="529"/>
      <c r="H28" s="529"/>
      <c r="I28" s="529"/>
      <c r="J28" s="529"/>
      <c r="K28" s="529"/>
      <c r="L28" s="529"/>
      <c r="M28" s="529"/>
      <c r="N28" s="529"/>
      <c r="O28" s="529"/>
      <c r="P28" s="529"/>
      <c r="Q28" s="529"/>
      <c r="R28" s="529"/>
      <c r="S28" s="531"/>
      <c r="T28" s="80"/>
      <c r="U28" s="34"/>
      <c r="V28" s="34"/>
      <c r="W28" s="34"/>
      <c r="X28" s="34"/>
      <c r="Y28" s="34"/>
      <c r="Z28" s="34"/>
    </row>
    <row r="29" spans="1:26" ht="12.75" customHeight="1">
      <c r="A29" s="528"/>
      <c r="C29" s="529"/>
      <c r="D29" s="529"/>
      <c r="E29" s="529"/>
      <c r="F29" s="529"/>
      <c r="G29" s="529"/>
      <c r="H29" s="529"/>
      <c r="I29" s="529"/>
      <c r="J29" s="529"/>
      <c r="K29" s="529"/>
      <c r="L29" s="529"/>
      <c r="M29" s="529"/>
      <c r="N29" s="529"/>
      <c r="O29" s="529"/>
      <c r="P29" s="529"/>
      <c r="Q29" s="529"/>
      <c r="R29" s="529"/>
      <c r="S29" s="531"/>
      <c r="T29" s="80"/>
      <c r="U29" s="34"/>
      <c r="V29" s="34"/>
      <c r="W29" s="34"/>
      <c r="X29" s="34"/>
      <c r="Y29" s="34"/>
      <c r="Z29" s="34"/>
    </row>
    <row r="30" spans="1:26" ht="12.75" customHeight="1">
      <c r="A30" s="528"/>
      <c r="B30" s="529"/>
      <c r="C30" s="529"/>
      <c r="D30" s="529"/>
      <c r="E30" s="529"/>
      <c r="F30" s="529"/>
      <c r="G30" s="529"/>
      <c r="H30" s="529"/>
      <c r="I30" s="529"/>
      <c r="J30" s="529"/>
      <c r="K30" s="529"/>
      <c r="L30" s="529"/>
      <c r="M30" s="529"/>
      <c r="N30" s="529"/>
      <c r="O30" s="529"/>
      <c r="P30" s="529"/>
      <c r="Q30" s="529"/>
      <c r="R30" s="529"/>
      <c r="S30" s="531"/>
      <c r="T30" s="80"/>
      <c r="U30" s="34"/>
      <c r="V30" s="34"/>
      <c r="W30" s="34"/>
      <c r="X30" s="34"/>
      <c r="Y30" s="34"/>
      <c r="Z30" s="34"/>
    </row>
    <row r="31" spans="1:26" ht="12.75" customHeight="1">
      <c r="A31" s="528"/>
      <c r="B31" s="529"/>
      <c r="C31" s="529"/>
      <c r="D31" s="529"/>
      <c r="E31" s="529"/>
      <c r="F31" s="529"/>
      <c r="G31" s="529"/>
      <c r="H31" s="529"/>
      <c r="I31" s="529"/>
      <c r="J31" s="529"/>
      <c r="K31" s="529"/>
      <c r="L31" s="529"/>
      <c r="M31" s="529"/>
      <c r="N31" s="529"/>
      <c r="O31" s="529"/>
      <c r="P31" s="529"/>
      <c r="Q31" s="529"/>
      <c r="R31" s="529"/>
      <c r="S31" s="531"/>
      <c r="T31" s="80"/>
      <c r="U31" s="34"/>
      <c r="V31" s="34"/>
      <c r="W31" s="34"/>
      <c r="X31" s="34"/>
      <c r="Y31" s="34"/>
      <c r="Z31" s="34"/>
    </row>
    <row r="32" spans="1:26" ht="12.75" customHeight="1">
      <c r="A32" s="528"/>
      <c r="B32" s="529"/>
      <c r="C32" s="529"/>
      <c r="D32" s="529"/>
      <c r="E32" s="529"/>
      <c r="F32" s="529"/>
      <c r="G32" s="529"/>
      <c r="H32" s="529"/>
      <c r="I32" s="529"/>
      <c r="J32" s="529"/>
      <c r="K32" s="529"/>
      <c r="L32" s="529"/>
      <c r="M32" s="529"/>
      <c r="N32" s="529"/>
      <c r="O32" s="529"/>
      <c r="P32" s="529"/>
      <c r="Q32" s="529"/>
      <c r="R32" s="529"/>
      <c r="S32" s="531"/>
      <c r="T32" s="80"/>
      <c r="U32" s="34"/>
      <c r="V32" s="34"/>
      <c r="W32" s="34"/>
      <c r="X32" s="34"/>
      <c r="Y32" s="34"/>
      <c r="Z32" s="34"/>
    </row>
    <row r="33" spans="1:26"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row>
    <row r="34" spans="1:26"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row>
    <row r="35" spans="1:26"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row>
    <row r="36" spans="1:26" ht="12.75" customHeight="1">
      <c r="A36" s="528"/>
      <c r="B36" s="529"/>
      <c r="C36" s="529"/>
      <c r="D36" s="529"/>
      <c r="E36" s="529"/>
      <c r="F36" s="529"/>
      <c r="G36" s="529"/>
      <c r="H36" s="529"/>
      <c r="I36" s="529"/>
      <c r="J36" s="529"/>
      <c r="K36" s="529"/>
      <c r="L36" s="529"/>
      <c r="M36" s="529"/>
      <c r="N36" s="529"/>
      <c r="O36" s="529"/>
      <c r="P36" s="529"/>
      <c r="Q36" s="529"/>
      <c r="R36" s="529"/>
      <c r="S36" s="531"/>
      <c r="T36" s="80"/>
      <c r="U36" s="34"/>
      <c r="V36" s="34"/>
      <c r="W36" s="34"/>
      <c r="X36" s="34"/>
      <c r="Y36" s="34"/>
      <c r="Z36" s="34"/>
    </row>
    <row r="37" spans="1:26" ht="12.75" customHeight="1">
      <c r="A37" s="528"/>
      <c r="B37" s="529"/>
      <c r="C37" s="529"/>
      <c r="D37" s="529"/>
      <c r="E37" s="529"/>
      <c r="F37" s="529"/>
      <c r="G37" s="529"/>
      <c r="H37" s="529"/>
      <c r="I37" s="529"/>
      <c r="J37" s="529"/>
      <c r="K37" s="529"/>
      <c r="L37" s="529"/>
      <c r="M37" s="529"/>
      <c r="N37" s="529"/>
      <c r="O37" s="529"/>
      <c r="P37" s="529"/>
      <c r="Q37" s="529"/>
      <c r="R37" s="529"/>
      <c r="S37" s="531"/>
      <c r="T37" s="80"/>
      <c r="U37" s="34"/>
      <c r="V37" s="34"/>
      <c r="W37" s="34"/>
      <c r="X37" s="34"/>
      <c r="Y37" s="34"/>
      <c r="Z37" s="34"/>
    </row>
    <row r="38" spans="1:26" ht="12.75" customHeight="1">
      <c r="A38" s="528"/>
      <c r="B38" s="529"/>
      <c r="C38" s="529"/>
      <c r="D38" s="529"/>
      <c r="E38" s="529"/>
      <c r="F38" s="529"/>
      <c r="G38" s="529"/>
      <c r="H38" s="529"/>
      <c r="I38" s="529"/>
      <c r="J38" s="529"/>
      <c r="K38" s="529"/>
      <c r="L38" s="529"/>
      <c r="M38" s="529"/>
      <c r="N38" s="529"/>
      <c r="O38" s="529"/>
      <c r="P38" s="529"/>
      <c r="Q38" s="529"/>
      <c r="R38" s="529"/>
      <c r="S38" s="531"/>
      <c r="T38" s="80"/>
      <c r="U38" s="34"/>
      <c r="V38" s="34"/>
      <c r="W38" s="34"/>
      <c r="X38" s="34"/>
      <c r="Y38" s="34"/>
      <c r="Z38" s="34"/>
    </row>
    <row r="39" spans="1:26"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row>
    <row r="40" spans="1:26" ht="12.75" customHeight="1">
      <c r="A40" s="528"/>
      <c r="B40" s="529"/>
      <c r="C40" s="529"/>
      <c r="D40" s="529"/>
      <c r="E40" s="529"/>
      <c r="F40" s="529"/>
      <c r="G40" s="529"/>
      <c r="H40" s="529"/>
      <c r="I40" s="529"/>
      <c r="J40" s="529"/>
      <c r="K40" s="529"/>
      <c r="L40" s="529"/>
      <c r="M40" s="529"/>
      <c r="N40" s="529"/>
      <c r="O40" s="529"/>
      <c r="P40" s="529"/>
      <c r="Q40" s="529"/>
      <c r="R40" s="529"/>
      <c r="S40" s="531"/>
      <c r="T40" s="80"/>
      <c r="U40" s="34"/>
      <c r="V40" s="34"/>
      <c r="W40" s="34"/>
      <c r="X40" s="34"/>
      <c r="Y40" s="34"/>
      <c r="Z40" s="34"/>
    </row>
    <row r="41" spans="1:26"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row>
    <row r="42" spans="1:26" ht="12.75" customHeight="1">
      <c r="A42" s="528"/>
      <c r="B42" s="536" t="s">
        <v>923</v>
      </c>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row>
    <row r="43" spans="1:26" ht="12.75" customHeight="1">
      <c r="A43" s="528"/>
      <c r="B43" s="536" t="s">
        <v>924</v>
      </c>
      <c r="C43" s="529"/>
      <c r="D43" s="529"/>
      <c r="E43" s="529"/>
      <c r="F43" s="529"/>
      <c r="G43" s="529"/>
      <c r="H43" s="529"/>
      <c r="I43" s="529"/>
      <c r="J43" s="529"/>
      <c r="K43" s="529"/>
      <c r="L43" s="529"/>
      <c r="M43" s="529"/>
      <c r="N43" s="529"/>
      <c r="O43" s="529"/>
      <c r="P43" s="529"/>
      <c r="Q43" s="529"/>
      <c r="R43" s="529"/>
      <c r="S43" s="531"/>
      <c r="T43" s="80"/>
      <c r="U43" s="34"/>
      <c r="V43" s="34"/>
      <c r="W43" s="34"/>
      <c r="X43" s="34"/>
      <c r="Y43" s="34"/>
      <c r="Z43" s="34"/>
    </row>
    <row r="44" spans="1:26" ht="12.75" customHeight="1">
      <c r="A44" s="528"/>
      <c r="B44" s="529"/>
      <c r="C44" s="529"/>
      <c r="D44" s="529"/>
      <c r="E44" s="529"/>
      <c r="F44" s="529"/>
      <c r="G44" s="529"/>
      <c r="H44" s="529"/>
      <c r="I44" s="529"/>
      <c r="J44" s="529"/>
      <c r="K44" s="529"/>
      <c r="L44" s="529"/>
      <c r="M44" s="529"/>
      <c r="N44" s="529"/>
      <c r="O44" s="529"/>
      <c r="P44" s="529"/>
      <c r="Q44" s="529"/>
      <c r="R44" s="529"/>
      <c r="S44" s="531"/>
      <c r="T44" s="80"/>
      <c r="U44" s="34"/>
      <c r="V44" s="34"/>
      <c r="W44" s="34"/>
      <c r="X44" s="34"/>
      <c r="Y44" s="34"/>
      <c r="Z44" s="34"/>
    </row>
    <row r="45" spans="1:26" ht="12.75" customHeight="1">
      <c r="A45" s="528"/>
      <c r="B45" s="538" t="s">
        <v>884</v>
      </c>
      <c r="C45" s="529"/>
      <c r="D45" s="529"/>
      <c r="E45" s="529"/>
      <c r="F45" s="529"/>
      <c r="G45" s="529"/>
      <c r="H45" s="529"/>
      <c r="I45" s="529"/>
      <c r="J45" s="529"/>
      <c r="K45" s="529"/>
      <c r="L45" s="529"/>
      <c r="M45" s="529"/>
      <c r="N45" s="529"/>
      <c r="O45" s="529"/>
      <c r="P45" s="529"/>
      <c r="Q45" s="529"/>
      <c r="R45" s="529"/>
      <c r="S45" s="531"/>
      <c r="T45" s="80"/>
      <c r="U45" s="34"/>
      <c r="V45" s="34"/>
      <c r="W45" s="34"/>
      <c r="X45" s="34"/>
      <c r="Y45" s="34"/>
      <c r="Z45" s="34"/>
    </row>
    <row r="46" spans="1:26" ht="12.75" customHeight="1">
      <c r="A46" s="528"/>
      <c r="B46" s="529"/>
      <c r="C46" s="529"/>
      <c r="D46" s="529"/>
      <c r="E46" s="529"/>
      <c r="F46" s="529"/>
      <c r="G46" s="529"/>
      <c r="H46" s="529"/>
      <c r="I46" s="529"/>
      <c r="J46" s="529"/>
      <c r="K46" s="529"/>
      <c r="L46" s="529"/>
      <c r="M46" s="529"/>
      <c r="N46" s="529"/>
      <c r="O46" s="529"/>
      <c r="P46" s="529"/>
      <c r="Q46" s="529"/>
      <c r="R46" s="529"/>
      <c r="S46" s="531"/>
      <c r="T46" s="80"/>
      <c r="U46" s="34"/>
      <c r="V46" s="34"/>
      <c r="W46" s="34"/>
      <c r="X46" s="34"/>
      <c r="Y46" s="34"/>
      <c r="Z46" s="34"/>
    </row>
    <row r="47" spans="1:26"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row>
    <row r="48" spans="1:26"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row>
    <row r="49" spans="1:26" ht="12.75" customHeight="1">
      <c r="A49" s="528"/>
      <c r="B49" s="536"/>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row>
    <row r="50" spans="1:26" ht="12.75" customHeight="1">
      <c r="A50" s="528"/>
      <c r="B50" s="536"/>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row>
    <row r="51" spans="1:26"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row>
    <row r="52" spans="1:26" ht="12.75" customHeight="1">
      <c r="A52" s="528"/>
      <c r="B52" s="529"/>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row>
    <row r="53" spans="1:26" ht="12.75" customHeight="1">
      <c r="A53" s="528"/>
      <c r="B53" s="529"/>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row>
    <row r="54" spans="1:26" ht="12.75" customHeight="1">
      <c r="A54" s="528"/>
      <c r="B54" s="529"/>
      <c r="C54" s="529"/>
      <c r="D54" s="529"/>
      <c r="E54" s="529"/>
      <c r="F54" s="529"/>
      <c r="G54" s="529"/>
      <c r="H54" s="529"/>
      <c r="I54" s="529"/>
      <c r="J54" s="529"/>
      <c r="K54" s="529"/>
      <c r="L54" s="529"/>
      <c r="M54" s="529"/>
      <c r="N54" s="529"/>
      <c r="O54" s="529"/>
      <c r="P54" s="529"/>
      <c r="Q54" s="529"/>
      <c r="R54" s="529"/>
      <c r="S54" s="531"/>
      <c r="T54" s="80"/>
      <c r="U54" s="34"/>
      <c r="V54" s="34"/>
      <c r="W54" s="34"/>
      <c r="X54" s="34"/>
      <c r="Y54" s="34"/>
      <c r="Z54" s="34"/>
    </row>
    <row r="55" spans="1:26" ht="12.75" customHeight="1">
      <c r="A55" s="528"/>
      <c r="B55" s="536"/>
      <c r="C55" s="529"/>
      <c r="D55" s="529"/>
      <c r="E55" s="529"/>
      <c r="F55" s="529"/>
      <c r="G55" s="529"/>
      <c r="H55" s="529"/>
      <c r="I55" s="529"/>
      <c r="J55" s="529"/>
      <c r="K55" s="529"/>
      <c r="L55" s="529"/>
      <c r="M55" s="529"/>
      <c r="N55" s="529"/>
      <c r="O55" s="529"/>
      <c r="P55" s="529"/>
      <c r="Q55" s="529"/>
      <c r="R55" s="529"/>
      <c r="S55" s="531"/>
      <c r="T55" s="80"/>
      <c r="U55" s="34"/>
      <c r="V55" s="34"/>
      <c r="W55" s="34"/>
      <c r="X55" s="34"/>
      <c r="Y55" s="34"/>
      <c r="Z55" s="34"/>
    </row>
    <row r="56" spans="1:26" ht="12.75" customHeight="1">
      <c r="A56" s="528"/>
      <c r="B56" s="536"/>
      <c r="C56" s="529"/>
      <c r="D56" s="529"/>
      <c r="E56" s="529"/>
      <c r="F56" s="529"/>
      <c r="G56" s="529"/>
      <c r="H56" s="529"/>
      <c r="I56" s="529"/>
      <c r="J56" s="529"/>
      <c r="K56" s="529"/>
      <c r="L56" s="529"/>
      <c r="M56" s="529"/>
      <c r="N56" s="529"/>
      <c r="O56" s="529"/>
      <c r="P56" s="529"/>
      <c r="Q56" s="529"/>
      <c r="R56" s="529"/>
      <c r="S56" s="531"/>
      <c r="T56" s="80"/>
      <c r="U56" s="34"/>
      <c r="V56" s="34"/>
      <c r="W56" s="34"/>
      <c r="X56" s="34"/>
      <c r="Y56" s="34"/>
      <c r="Z56" s="34"/>
    </row>
    <row r="57" spans="1:26" ht="12.75" customHeight="1">
      <c r="A57" s="534"/>
      <c r="B57" s="533"/>
      <c r="C57" s="533"/>
      <c r="D57" s="533"/>
      <c r="E57" s="533"/>
      <c r="F57" s="533"/>
      <c r="G57" s="533"/>
      <c r="H57" s="533"/>
      <c r="I57" s="533"/>
      <c r="J57" s="533"/>
      <c r="K57" s="533"/>
      <c r="L57" s="533"/>
      <c r="M57" s="533"/>
      <c r="N57" s="533"/>
      <c r="O57" s="533"/>
      <c r="P57" s="533"/>
      <c r="Q57" s="533"/>
      <c r="R57" s="533"/>
      <c r="S57" s="535"/>
      <c r="T57" s="80"/>
      <c r="U57" s="34"/>
      <c r="V57" s="34"/>
      <c r="W57" s="34"/>
      <c r="X57" s="34"/>
      <c r="Y57" s="34"/>
      <c r="Z57" s="34"/>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45" location="'T3.11 T3.5 FHoop Bracing'!A1" display="BACK" xr:uid="{00000000-0004-0000-2B00-000000000000}"/>
  </hyperlinks>
  <pageMargins left="0.39370078740157483" right="0.39370078740157483" top="0.39370078740157483" bottom="0.39370078740157483" header="0" footer="0"/>
  <pageSetup paperSize="9"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1000"/>
  <sheetViews>
    <sheetView showGridLines="0" workbookViewId="0"/>
  </sheetViews>
  <sheetFormatPr baseColWidth="10" defaultColWidth="12.5703125" defaultRowHeight="15" customHeight="1"/>
  <cols>
    <col min="1" max="21" width="5" customWidth="1"/>
    <col min="22" max="22" width="6.42578125" customWidth="1"/>
    <col min="23" max="38" width="5" customWidth="1"/>
  </cols>
  <sheetData>
    <row r="1" spans="1:38" ht="12.75" customHeight="1">
      <c r="A1" s="617" t="s">
        <v>938</v>
      </c>
      <c r="B1" s="598"/>
      <c r="C1" s="598"/>
      <c r="D1" s="598"/>
      <c r="E1" s="598"/>
      <c r="F1" s="598"/>
      <c r="G1" s="598"/>
      <c r="H1" s="598"/>
      <c r="I1" s="598"/>
      <c r="J1" s="598"/>
      <c r="K1" s="598"/>
      <c r="L1" s="598"/>
      <c r="M1" s="598"/>
      <c r="N1" s="598"/>
      <c r="O1" s="598"/>
      <c r="P1" s="598"/>
      <c r="Q1" s="598"/>
      <c r="R1" s="598"/>
      <c r="S1" s="598"/>
      <c r="T1" s="382"/>
      <c r="U1" s="37"/>
      <c r="V1" s="37"/>
      <c r="W1" s="37"/>
      <c r="X1" s="37"/>
      <c r="Y1" s="37"/>
      <c r="Z1" s="37"/>
      <c r="AA1" s="37"/>
      <c r="AB1" s="37"/>
      <c r="AC1" s="37"/>
      <c r="AD1" s="37"/>
      <c r="AE1" s="37"/>
      <c r="AF1" s="37"/>
      <c r="AG1" s="37"/>
      <c r="AH1" s="37"/>
      <c r="AI1" s="37"/>
      <c r="AJ1" s="37"/>
      <c r="AK1" s="37"/>
      <c r="AL1" s="38"/>
    </row>
    <row r="2" spans="1:38" ht="12.75" customHeight="1">
      <c r="A2" s="525"/>
      <c r="B2" s="526"/>
      <c r="C2" s="526"/>
      <c r="D2" s="526"/>
      <c r="E2" s="526"/>
      <c r="F2" s="526"/>
      <c r="G2" s="526"/>
      <c r="H2" s="526"/>
      <c r="I2" s="526"/>
      <c r="J2" s="526"/>
      <c r="K2" s="526"/>
      <c r="L2" s="526"/>
      <c r="M2" s="526"/>
      <c r="N2" s="526"/>
      <c r="O2" s="526"/>
      <c r="P2" s="526"/>
      <c r="Q2" s="526"/>
      <c r="R2" s="526"/>
      <c r="S2" s="527"/>
      <c r="T2" s="80"/>
      <c r="AL2" s="141"/>
    </row>
    <row r="3" spans="1:38" ht="12.75" customHeight="1">
      <c r="A3" s="528"/>
      <c r="B3" s="536" t="s">
        <v>939</v>
      </c>
      <c r="C3" s="529"/>
      <c r="D3" s="529"/>
      <c r="E3" s="529"/>
      <c r="F3" s="529"/>
      <c r="G3" s="529"/>
      <c r="H3" s="529"/>
      <c r="I3" s="529"/>
      <c r="J3" s="529"/>
      <c r="K3" s="529"/>
      <c r="L3" s="529"/>
      <c r="M3" s="529"/>
      <c r="N3" s="529"/>
      <c r="O3" s="529"/>
      <c r="P3" s="529"/>
      <c r="Q3" s="529"/>
      <c r="R3" s="529"/>
      <c r="S3" s="531"/>
      <c r="T3" s="80"/>
      <c r="AL3" s="141"/>
    </row>
    <row r="4" spans="1:38" ht="12.75" customHeight="1">
      <c r="A4" s="528"/>
      <c r="B4" s="536"/>
      <c r="C4" s="529"/>
      <c r="D4" s="529"/>
      <c r="E4" s="529"/>
      <c r="F4" s="529"/>
      <c r="G4" s="529"/>
      <c r="H4" s="529"/>
      <c r="I4" s="529"/>
      <c r="J4" s="529"/>
      <c r="K4" s="529"/>
      <c r="L4" s="529"/>
      <c r="M4" s="529"/>
      <c r="N4" s="529"/>
      <c r="O4" s="529"/>
      <c r="P4" s="529"/>
      <c r="Q4" s="529"/>
      <c r="R4" s="529"/>
      <c r="S4" s="531"/>
      <c r="T4" s="80"/>
      <c r="AL4" s="141"/>
    </row>
    <row r="5" spans="1:38" ht="12.75" customHeight="1">
      <c r="A5" s="528"/>
      <c r="B5" s="536" t="s">
        <v>940</v>
      </c>
      <c r="C5" s="529"/>
      <c r="D5" s="529"/>
      <c r="E5" s="529"/>
      <c r="F5" s="529"/>
      <c r="G5" s="529"/>
      <c r="H5" s="529"/>
      <c r="I5" s="529"/>
      <c r="J5" s="529"/>
      <c r="K5" s="529"/>
      <c r="L5" s="529"/>
      <c r="M5" s="529"/>
      <c r="N5" s="529"/>
      <c r="O5" s="529"/>
      <c r="P5" s="529"/>
      <c r="Q5" s="529"/>
      <c r="R5" s="529"/>
      <c r="S5" s="531"/>
      <c r="T5" s="80"/>
      <c r="AL5" s="141"/>
    </row>
    <row r="6" spans="1:38" ht="12.75" customHeight="1">
      <c r="A6" s="528"/>
      <c r="B6" s="536" t="s">
        <v>941</v>
      </c>
      <c r="C6" s="529"/>
      <c r="D6" s="529"/>
      <c r="E6" s="529"/>
      <c r="F6" s="529"/>
      <c r="G6" s="529"/>
      <c r="H6" s="529"/>
      <c r="J6" s="529"/>
      <c r="K6" s="529"/>
      <c r="L6" s="529"/>
      <c r="M6" s="529"/>
      <c r="N6" s="529"/>
      <c r="O6" s="529"/>
      <c r="P6" s="529"/>
      <c r="Q6" s="529"/>
      <c r="R6" s="529"/>
      <c r="S6" s="531"/>
      <c r="T6" s="80"/>
      <c r="AL6" s="141"/>
    </row>
    <row r="7" spans="1:38" ht="12.75" customHeight="1">
      <c r="A7" s="528"/>
      <c r="B7" s="536"/>
      <c r="C7" s="529"/>
      <c r="D7" s="529"/>
      <c r="E7" s="529"/>
      <c r="F7" s="529"/>
      <c r="G7" s="529"/>
      <c r="H7" s="529"/>
      <c r="I7" s="529"/>
      <c r="J7" s="529"/>
      <c r="K7" s="529"/>
      <c r="L7" s="529"/>
      <c r="M7" s="529"/>
      <c r="N7" s="529"/>
      <c r="O7" s="529"/>
      <c r="P7" s="529"/>
      <c r="Q7" s="529"/>
      <c r="R7" s="529"/>
      <c r="S7" s="531"/>
      <c r="T7" s="80"/>
      <c r="AL7" s="141"/>
    </row>
    <row r="8" spans="1:38" ht="12.75" customHeight="1">
      <c r="A8" s="528"/>
      <c r="B8" s="536" t="s">
        <v>942</v>
      </c>
      <c r="C8" s="529"/>
      <c r="D8" s="529"/>
      <c r="E8" s="529"/>
      <c r="F8" s="529"/>
      <c r="G8" s="529"/>
      <c r="H8" s="529"/>
      <c r="I8" s="529"/>
      <c r="J8" s="529"/>
      <c r="K8" s="529"/>
      <c r="L8" s="529"/>
      <c r="M8" s="529"/>
      <c r="N8" s="529"/>
      <c r="O8" s="529"/>
      <c r="P8" s="529"/>
      <c r="Q8" s="529"/>
      <c r="R8" s="529"/>
      <c r="S8" s="531"/>
      <c r="T8" s="80"/>
      <c r="AL8" s="141"/>
    </row>
    <row r="9" spans="1:38" ht="12.75" customHeight="1">
      <c r="A9" s="528"/>
      <c r="B9" s="536" t="s">
        <v>943</v>
      </c>
      <c r="C9" s="529"/>
      <c r="D9" s="529"/>
      <c r="E9" s="529"/>
      <c r="F9" s="529"/>
      <c r="G9" s="529"/>
      <c r="H9" s="529"/>
      <c r="I9" s="529"/>
      <c r="J9" s="529"/>
      <c r="K9" s="529"/>
      <c r="L9" s="529"/>
      <c r="M9" s="529"/>
      <c r="N9" s="529"/>
      <c r="O9" s="529"/>
      <c r="P9" s="529"/>
      <c r="Q9" s="529"/>
      <c r="R9" s="529"/>
      <c r="S9" s="531"/>
      <c r="T9" s="80"/>
      <c r="AL9" s="141"/>
    </row>
    <row r="10" spans="1:38" ht="12.75" customHeight="1">
      <c r="A10" s="528"/>
      <c r="B10" s="536"/>
      <c r="C10" s="529"/>
      <c r="D10" s="529"/>
      <c r="E10" s="529"/>
      <c r="F10" s="529"/>
      <c r="G10" s="529"/>
      <c r="H10" s="529"/>
      <c r="I10" s="529"/>
      <c r="J10" s="529"/>
      <c r="K10" s="529"/>
      <c r="L10" s="529"/>
      <c r="M10" s="529"/>
      <c r="N10" s="529"/>
      <c r="O10" s="529"/>
      <c r="P10" s="529"/>
      <c r="Q10" s="529"/>
      <c r="R10" s="529"/>
      <c r="S10" s="531"/>
      <c r="T10" s="80"/>
      <c r="AL10" s="141"/>
    </row>
    <row r="11" spans="1:38" ht="12.75" customHeight="1">
      <c r="A11" s="528"/>
      <c r="B11" s="536"/>
      <c r="C11" s="529"/>
      <c r="D11" s="529"/>
      <c r="E11" s="529"/>
      <c r="F11" s="529"/>
      <c r="G11" s="529"/>
      <c r="H11" s="529"/>
      <c r="I11" s="529"/>
      <c r="J11" s="529"/>
      <c r="K11" s="529"/>
      <c r="L11" s="529"/>
      <c r="M11" s="529"/>
      <c r="N11" s="529"/>
      <c r="O11" s="529"/>
      <c r="P11" s="529"/>
      <c r="Q11" s="529"/>
      <c r="R11" s="529"/>
      <c r="S11" s="531"/>
      <c r="T11" s="80"/>
      <c r="AL11" s="141"/>
    </row>
    <row r="12" spans="1:38" ht="12.75" customHeight="1">
      <c r="A12" s="528"/>
      <c r="B12" s="536"/>
      <c r="C12" s="529"/>
      <c r="D12" s="529"/>
      <c r="E12" s="529"/>
      <c r="F12" s="529"/>
      <c r="G12" s="529"/>
      <c r="H12" s="529"/>
      <c r="I12" s="529"/>
      <c r="J12" s="529"/>
      <c r="K12" s="529"/>
      <c r="L12" s="529"/>
      <c r="M12" s="529"/>
      <c r="N12" s="529"/>
      <c r="O12" s="529"/>
      <c r="P12" s="529"/>
      <c r="Q12" s="529"/>
      <c r="R12" s="529"/>
      <c r="S12" s="531"/>
      <c r="T12" s="80"/>
      <c r="AL12" s="141"/>
    </row>
    <row r="13" spans="1:38" ht="12.75" customHeight="1">
      <c r="A13" s="528"/>
      <c r="B13" s="536"/>
      <c r="C13" s="529"/>
      <c r="D13" s="529"/>
      <c r="E13" s="529"/>
      <c r="F13" s="529"/>
      <c r="G13" s="529"/>
      <c r="H13" s="529"/>
      <c r="I13" s="529"/>
      <c r="J13" s="529"/>
      <c r="K13" s="529"/>
      <c r="L13" s="529"/>
      <c r="M13" s="529"/>
      <c r="N13" s="529"/>
      <c r="O13" s="529"/>
      <c r="P13" s="529"/>
      <c r="Q13" s="529"/>
      <c r="R13" s="529"/>
      <c r="S13" s="531"/>
      <c r="T13" s="80"/>
      <c r="AL13" s="141"/>
    </row>
    <row r="14" spans="1:38" ht="12.75" customHeight="1">
      <c r="A14" s="528"/>
      <c r="B14" s="536"/>
      <c r="C14" s="529"/>
      <c r="D14" s="529"/>
      <c r="E14" s="529"/>
      <c r="F14" s="529"/>
      <c r="G14" s="529"/>
      <c r="H14" s="529"/>
      <c r="I14" s="529"/>
      <c r="J14" s="529"/>
      <c r="K14" s="529"/>
      <c r="L14" s="529"/>
      <c r="M14" s="529"/>
      <c r="N14" s="529"/>
      <c r="O14" s="529"/>
      <c r="P14" s="529"/>
      <c r="Q14" s="529"/>
      <c r="R14" s="529"/>
      <c r="S14" s="531"/>
      <c r="T14" s="80"/>
      <c r="AL14" s="141"/>
    </row>
    <row r="15" spans="1:38" ht="12.75" customHeight="1">
      <c r="A15" s="528"/>
      <c r="B15" s="529"/>
      <c r="C15" s="529"/>
      <c r="D15" s="529"/>
      <c r="E15" s="529"/>
      <c r="F15" s="529"/>
      <c r="G15" s="529"/>
      <c r="H15" s="529"/>
      <c r="I15" s="529"/>
      <c r="J15" s="529"/>
      <c r="K15" s="529"/>
      <c r="L15" s="529"/>
      <c r="M15" s="529"/>
      <c r="N15" s="529"/>
      <c r="O15" s="529"/>
      <c r="P15" s="529"/>
      <c r="Q15" s="529"/>
      <c r="R15" s="529"/>
      <c r="S15" s="531"/>
      <c r="T15" s="80"/>
      <c r="AL15" s="141"/>
    </row>
    <row r="16" spans="1:38" ht="12.75" customHeight="1">
      <c r="A16" s="528"/>
      <c r="B16" s="155"/>
      <c r="C16" s="529"/>
      <c r="D16" s="529"/>
      <c r="E16" s="529"/>
      <c r="F16" s="529"/>
      <c r="G16" s="529"/>
      <c r="H16" s="529"/>
      <c r="I16" s="529"/>
      <c r="J16" s="529"/>
      <c r="K16" s="529"/>
      <c r="L16" s="529"/>
      <c r="M16" s="529"/>
      <c r="N16" s="529"/>
      <c r="O16" s="529"/>
      <c r="P16" s="529"/>
      <c r="Q16" s="529"/>
      <c r="R16" s="529"/>
      <c r="S16" s="531"/>
      <c r="T16" s="80"/>
      <c r="AL16" s="141"/>
    </row>
    <row r="17" spans="1:38" ht="12.75" customHeight="1">
      <c r="A17" s="528"/>
      <c r="B17" s="155"/>
      <c r="C17" s="529"/>
      <c r="D17" s="529"/>
      <c r="E17" s="529"/>
      <c r="F17" s="529"/>
      <c r="G17" s="529"/>
      <c r="H17" s="529"/>
      <c r="I17" s="529"/>
      <c r="J17" s="529"/>
      <c r="K17" s="529"/>
      <c r="L17" s="529"/>
      <c r="M17" s="529"/>
      <c r="N17" s="529"/>
      <c r="O17" s="529"/>
      <c r="P17" s="529"/>
      <c r="Q17" s="529"/>
      <c r="R17" s="529"/>
      <c r="S17" s="531"/>
      <c r="T17" s="80"/>
      <c r="AL17" s="141"/>
    </row>
    <row r="18" spans="1:38" ht="12.75" customHeight="1">
      <c r="A18" s="528"/>
      <c r="C18" s="529"/>
      <c r="D18" s="529"/>
      <c r="E18" s="529"/>
      <c r="F18" s="529"/>
      <c r="G18" s="529"/>
      <c r="H18" s="529"/>
      <c r="I18" s="529"/>
      <c r="J18" s="529"/>
      <c r="K18" s="529"/>
      <c r="L18" s="529"/>
      <c r="M18" s="529"/>
      <c r="N18" s="529"/>
      <c r="O18" s="529"/>
      <c r="P18" s="529"/>
      <c r="Q18" s="529"/>
      <c r="R18" s="529"/>
      <c r="S18" s="531"/>
      <c r="T18" s="80"/>
      <c r="AL18" s="141"/>
    </row>
    <row r="19" spans="1:38" ht="12.75" customHeight="1">
      <c r="A19" s="528"/>
      <c r="B19" s="536"/>
      <c r="C19" s="529"/>
      <c r="D19" s="529"/>
      <c r="E19" s="529"/>
      <c r="F19" s="529"/>
      <c r="G19" s="529"/>
      <c r="H19" s="529"/>
      <c r="I19" s="529"/>
      <c r="J19" s="529"/>
      <c r="K19" s="529"/>
      <c r="L19" s="529"/>
      <c r="M19" s="529"/>
      <c r="N19" s="529"/>
      <c r="O19" s="529"/>
      <c r="P19" s="529"/>
      <c r="Q19" s="529"/>
      <c r="R19" s="529"/>
      <c r="S19" s="531"/>
      <c r="T19" s="80"/>
      <c r="AL19" s="141"/>
    </row>
    <row r="20" spans="1:38" ht="12.75" customHeight="1">
      <c r="A20" s="528"/>
      <c r="B20" s="536"/>
      <c r="C20" s="529"/>
      <c r="D20" s="529"/>
      <c r="E20" s="529"/>
      <c r="F20" s="529"/>
      <c r="G20" s="529"/>
      <c r="H20" s="529"/>
      <c r="I20" s="529"/>
      <c r="J20" s="529"/>
      <c r="K20" s="529"/>
      <c r="L20" s="529"/>
      <c r="M20" s="529"/>
      <c r="N20" s="529"/>
      <c r="O20" s="529"/>
      <c r="P20" s="529"/>
      <c r="Q20" s="529"/>
      <c r="R20" s="529"/>
      <c r="S20" s="531"/>
      <c r="T20" s="80"/>
      <c r="AL20" s="141"/>
    </row>
    <row r="21" spans="1:38" ht="12.75" customHeight="1">
      <c r="A21" s="528"/>
      <c r="B21" s="529"/>
      <c r="C21" s="529"/>
      <c r="D21" s="529"/>
      <c r="E21" s="529"/>
      <c r="F21" s="529"/>
      <c r="G21" s="529"/>
      <c r="H21" s="529"/>
      <c r="I21" s="529"/>
      <c r="J21" s="529"/>
      <c r="K21" s="529"/>
      <c r="L21" s="529"/>
      <c r="M21" s="529"/>
      <c r="N21" s="529"/>
      <c r="O21" s="529"/>
      <c r="P21" s="529"/>
      <c r="Q21" s="529"/>
      <c r="R21" s="529"/>
      <c r="S21" s="531"/>
      <c r="T21" s="80"/>
      <c r="AL21" s="141"/>
    </row>
    <row r="22" spans="1:38" ht="12.75" customHeight="1">
      <c r="A22" s="528"/>
      <c r="B22" s="536"/>
      <c r="C22" s="529"/>
      <c r="D22" s="529"/>
      <c r="E22" s="529"/>
      <c r="F22" s="529"/>
      <c r="G22" s="529"/>
      <c r="H22" s="529"/>
      <c r="I22" s="529"/>
      <c r="J22" s="529"/>
      <c r="K22" s="529"/>
      <c r="L22" s="529"/>
      <c r="M22" s="529"/>
      <c r="N22" s="529"/>
      <c r="O22" s="529"/>
      <c r="P22" s="529"/>
      <c r="Q22" s="529"/>
      <c r="R22" s="529"/>
      <c r="S22" s="531"/>
      <c r="T22" s="80"/>
      <c r="AL22" s="141"/>
    </row>
    <row r="23" spans="1:38" ht="12.75" customHeight="1">
      <c r="A23" s="528"/>
      <c r="B23" s="536"/>
      <c r="C23" s="529"/>
      <c r="D23" s="529"/>
      <c r="E23" s="529"/>
      <c r="F23" s="529"/>
      <c r="G23" s="529"/>
      <c r="H23" s="529"/>
      <c r="I23" s="529"/>
      <c r="J23" s="529"/>
      <c r="K23" s="529"/>
      <c r="L23" s="529"/>
      <c r="M23" s="529"/>
      <c r="N23" s="529"/>
      <c r="O23" s="529"/>
      <c r="P23" s="529"/>
      <c r="Q23" s="529"/>
      <c r="R23" s="529"/>
      <c r="S23" s="531"/>
      <c r="T23" s="80"/>
      <c r="AL23" s="141"/>
    </row>
    <row r="24" spans="1:38" ht="12.75" customHeight="1">
      <c r="A24" s="528"/>
      <c r="B24" s="529"/>
      <c r="C24" s="529"/>
      <c r="D24" s="529"/>
      <c r="E24" s="529"/>
      <c r="F24" s="529"/>
      <c r="G24" s="529"/>
      <c r="H24" s="529"/>
      <c r="I24" s="529"/>
      <c r="J24" s="529"/>
      <c r="K24" s="529"/>
      <c r="L24" s="529"/>
      <c r="M24" s="529"/>
      <c r="N24" s="529"/>
      <c r="O24" s="529"/>
      <c r="P24" s="529"/>
      <c r="Q24" s="529"/>
      <c r="R24" s="529"/>
      <c r="S24" s="531"/>
      <c r="T24" s="80"/>
      <c r="AL24" s="141"/>
    </row>
    <row r="25" spans="1:38" ht="12.75" customHeight="1">
      <c r="A25" s="528"/>
      <c r="B25" s="536"/>
      <c r="C25" s="529"/>
      <c r="D25" s="529"/>
      <c r="E25" s="529"/>
      <c r="F25" s="529"/>
      <c r="G25" s="529"/>
      <c r="H25" s="529"/>
      <c r="I25" s="529"/>
      <c r="J25" s="529"/>
      <c r="K25" s="529"/>
      <c r="L25" s="529"/>
      <c r="M25" s="529"/>
      <c r="N25" s="529"/>
      <c r="O25" s="529"/>
      <c r="P25" s="529"/>
      <c r="Q25" s="529"/>
      <c r="R25" s="529"/>
      <c r="S25" s="531"/>
      <c r="T25" s="80"/>
      <c r="AL25" s="141"/>
    </row>
    <row r="26" spans="1:38" ht="12.75" customHeight="1">
      <c r="A26" s="528"/>
      <c r="B26" s="536"/>
      <c r="C26" s="529"/>
      <c r="D26" s="529"/>
      <c r="E26" s="529"/>
      <c r="F26" s="529"/>
      <c r="G26" s="529"/>
      <c r="H26" s="529"/>
      <c r="I26" s="529"/>
      <c r="J26" s="529"/>
      <c r="K26" s="529"/>
      <c r="L26" s="529"/>
      <c r="M26" s="529"/>
      <c r="N26" s="529"/>
      <c r="O26" s="529"/>
      <c r="P26" s="529"/>
      <c r="Q26" s="529"/>
      <c r="R26" s="529"/>
      <c r="S26" s="531"/>
      <c r="T26" s="80"/>
      <c r="AL26" s="141"/>
    </row>
    <row r="27" spans="1:38" ht="12.75" customHeight="1">
      <c r="A27" s="528"/>
      <c r="B27" s="536"/>
      <c r="C27" s="529"/>
      <c r="D27" s="529"/>
      <c r="E27" s="529"/>
      <c r="F27" s="529"/>
      <c r="G27" s="529"/>
      <c r="H27" s="529"/>
      <c r="I27" s="529"/>
      <c r="J27" s="529"/>
      <c r="K27" s="529"/>
      <c r="L27" s="529"/>
      <c r="M27" s="529"/>
      <c r="N27" s="529"/>
      <c r="O27" s="529"/>
      <c r="P27" s="529"/>
      <c r="Q27" s="529"/>
      <c r="R27" s="529"/>
      <c r="S27" s="531"/>
      <c r="T27" s="80"/>
      <c r="AL27" s="141"/>
    </row>
    <row r="28" spans="1:38" ht="12.75" customHeight="1">
      <c r="A28" s="528"/>
      <c r="C28" s="529"/>
      <c r="D28" s="529"/>
      <c r="E28" s="529"/>
      <c r="F28" s="529"/>
      <c r="G28" s="529"/>
      <c r="H28" s="529"/>
      <c r="I28" s="529"/>
      <c r="J28" s="529"/>
      <c r="K28" s="529"/>
      <c r="L28" s="529"/>
      <c r="M28" s="529"/>
      <c r="N28" s="529"/>
      <c r="O28" s="529"/>
      <c r="P28" s="529"/>
      <c r="Q28" s="529"/>
      <c r="R28" s="529"/>
      <c r="S28" s="531"/>
      <c r="T28" s="80"/>
      <c r="AL28" s="141"/>
    </row>
    <row r="29" spans="1:38" ht="12.75" customHeight="1">
      <c r="A29" s="528"/>
      <c r="B29" s="536" t="s">
        <v>944</v>
      </c>
      <c r="C29" s="529"/>
      <c r="D29" s="529"/>
      <c r="E29" s="529"/>
      <c r="F29" s="529"/>
      <c r="G29" s="529"/>
      <c r="H29" s="529"/>
      <c r="I29" s="529"/>
      <c r="J29" s="529"/>
      <c r="K29" s="529"/>
      <c r="L29" s="529"/>
      <c r="M29" s="529"/>
      <c r="N29" s="529"/>
      <c r="O29" s="529"/>
      <c r="P29" s="529"/>
      <c r="Q29" s="529"/>
      <c r="R29" s="529"/>
      <c r="S29" s="531"/>
      <c r="T29" s="80"/>
      <c r="AL29" s="141"/>
    </row>
    <row r="30" spans="1:38" ht="12.75" customHeight="1">
      <c r="A30" s="528"/>
      <c r="B30" s="536" t="s">
        <v>945</v>
      </c>
      <c r="C30" s="529"/>
      <c r="D30" s="529"/>
      <c r="E30" s="529"/>
      <c r="F30" s="529"/>
      <c r="G30" s="529"/>
      <c r="H30" s="529"/>
      <c r="I30" s="529"/>
      <c r="J30" s="529"/>
      <c r="K30" s="529"/>
      <c r="L30" s="529"/>
      <c r="M30" s="529"/>
      <c r="N30" s="529"/>
      <c r="O30" s="529"/>
      <c r="P30" s="529"/>
      <c r="Q30" s="529"/>
      <c r="R30" s="529"/>
      <c r="S30" s="531"/>
      <c r="T30" s="80"/>
      <c r="AL30" s="141"/>
    </row>
    <row r="31" spans="1:38" ht="12.75" customHeight="1">
      <c r="A31" s="528"/>
      <c r="B31" s="536" t="s">
        <v>946</v>
      </c>
      <c r="C31" s="529"/>
      <c r="D31" s="529"/>
      <c r="E31" s="529"/>
      <c r="F31" s="529"/>
      <c r="G31" s="529"/>
      <c r="H31" s="529"/>
      <c r="I31" s="529"/>
      <c r="J31" s="529"/>
      <c r="K31" s="529"/>
      <c r="L31" s="529"/>
      <c r="M31" s="529"/>
      <c r="N31" s="529"/>
      <c r="O31" s="529"/>
      <c r="P31" s="529"/>
      <c r="Q31" s="529"/>
      <c r="R31" s="529"/>
      <c r="S31" s="531"/>
      <c r="T31" s="80"/>
      <c r="AL31" s="141"/>
    </row>
    <row r="32" spans="1:38" ht="12.75" customHeight="1">
      <c r="A32" s="528"/>
      <c r="B32" s="536" t="s">
        <v>947</v>
      </c>
      <c r="C32" s="529"/>
      <c r="D32" s="529"/>
      <c r="E32" s="529"/>
      <c r="F32" s="529"/>
      <c r="G32" s="529"/>
      <c r="H32" s="529"/>
      <c r="I32" s="529"/>
      <c r="J32" s="529"/>
      <c r="K32" s="529"/>
      <c r="L32" s="529"/>
      <c r="M32" s="529"/>
      <c r="N32" s="529"/>
      <c r="O32" s="529"/>
      <c r="P32" s="529"/>
      <c r="Q32" s="529"/>
      <c r="R32" s="529"/>
      <c r="S32" s="531"/>
      <c r="T32" s="80"/>
      <c r="AL32" s="141"/>
    </row>
    <row r="33" spans="1:38" ht="12.75" customHeight="1">
      <c r="A33" s="528"/>
      <c r="B33" s="529"/>
      <c r="C33" s="529"/>
      <c r="D33" s="529"/>
      <c r="E33" s="529"/>
      <c r="F33" s="529"/>
      <c r="G33" s="529"/>
      <c r="H33" s="529"/>
      <c r="I33" s="529"/>
      <c r="J33" s="529"/>
      <c r="K33" s="529"/>
      <c r="L33" s="529"/>
      <c r="M33" s="529"/>
      <c r="N33" s="529"/>
      <c r="O33" s="529"/>
      <c r="P33" s="529"/>
      <c r="Q33" s="529"/>
      <c r="R33" s="529"/>
      <c r="S33" s="531"/>
      <c r="T33" s="80"/>
      <c r="AL33" s="141"/>
    </row>
    <row r="34" spans="1:38" ht="12.75" customHeight="1">
      <c r="A34" s="528"/>
      <c r="B34" s="155" t="s">
        <v>913</v>
      </c>
      <c r="C34" s="529"/>
      <c r="D34" s="529"/>
      <c r="E34" s="529"/>
      <c r="F34" s="529"/>
      <c r="G34" s="529"/>
      <c r="H34" s="529"/>
      <c r="I34" s="529"/>
      <c r="J34" s="529"/>
      <c r="K34" s="529"/>
      <c r="L34" s="529"/>
      <c r="M34" s="529"/>
      <c r="N34" s="529"/>
      <c r="O34" s="529"/>
      <c r="P34" s="529"/>
      <c r="Q34" s="529"/>
      <c r="R34" s="529"/>
      <c r="S34" s="531"/>
      <c r="T34" s="80"/>
      <c r="AL34" s="141"/>
    </row>
    <row r="35" spans="1:38" ht="12.75" customHeight="1">
      <c r="A35" s="528"/>
      <c r="B35" s="155" t="s">
        <v>934</v>
      </c>
      <c r="C35" s="529"/>
      <c r="D35" s="529"/>
      <c r="E35" s="529"/>
      <c r="F35" s="529"/>
      <c r="G35" s="529"/>
      <c r="H35" s="529"/>
      <c r="I35" s="529"/>
      <c r="J35" s="529"/>
      <c r="K35" s="529"/>
      <c r="L35" s="529"/>
      <c r="M35" s="529"/>
      <c r="N35" s="529"/>
      <c r="O35" s="529"/>
      <c r="P35" s="529"/>
      <c r="Q35" s="529"/>
      <c r="R35" s="529"/>
      <c r="S35" s="531"/>
      <c r="T35" s="80"/>
      <c r="AL35" s="141"/>
    </row>
    <row r="36" spans="1:38" ht="12.75" customHeight="1">
      <c r="A36" s="528"/>
      <c r="C36" s="529"/>
      <c r="D36" s="529"/>
      <c r="E36" s="529"/>
      <c r="F36" s="529"/>
      <c r="G36" s="529"/>
      <c r="H36" s="529"/>
      <c r="I36" s="529"/>
      <c r="J36" s="529"/>
      <c r="K36" s="529"/>
      <c r="L36" s="529"/>
      <c r="M36" s="529"/>
      <c r="N36" s="529"/>
      <c r="O36" s="529"/>
      <c r="P36" s="529"/>
      <c r="Q36" s="529"/>
      <c r="R36" s="529"/>
      <c r="S36" s="531"/>
      <c r="T36" s="80"/>
      <c r="AL36" s="141"/>
    </row>
    <row r="37" spans="1:38" ht="12.75" customHeight="1">
      <c r="A37" s="528"/>
      <c r="B37" s="536" t="s">
        <v>935</v>
      </c>
      <c r="C37" s="529"/>
      <c r="D37" s="529"/>
      <c r="E37" s="529"/>
      <c r="F37" s="529"/>
      <c r="G37" s="529"/>
      <c r="H37" s="529"/>
      <c r="I37" s="529"/>
      <c r="J37" s="529"/>
      <c r="K37" s="529"/>
      <c r="L37" s="529"/>
      <c r="M37" s="529"/>
      <c r="N37" s="529"/>
      <c r="O37" s="529"/>
      <c r="P37" s="529"/>
      <c r="Q37" s="529"/>
      <c r="R37" s="529"/>
      <c r="S37" s="531"/>
      <c r="T37" s="80"/>
      <c r="AL37" s="141"/>
    </row>
    <row r="38" spans="1:38" ht="12.75" customHeight="1">
      <c r="A38" s="528"/>
      <c r="B38" s="536" t="s">
        <v>936</v>
      </c>
      <c r="C38" s="529"/>
      <c r="D38" s="529"/>
      <c r="E38" s="529"/>
      <c r="F38" s="529"/>
      <c r="G38" s="529"/>
      <c r="H38" s="529"/>
      <c r="I38" s="529"/>
      <c r="J38" s="529"/>
      <c r="K38" s="529"/>
      <c r="L38" s="529"/>
      <c r="M38" s="529"/>
      <c r="N38" s="529"/>
      <c r="O38" s="529"/>
      <c r="P38" s="529"/>
      <c r="Q38" s="529"/>
      <c r="R38" s="529"/>
      <c r="S38" s="531"/>
      <c r="T38" s="80"/>
      <c r="V38" s="530" t="s">
        <v>884</v>
      </c>
      <c r="AL38" s="141"/>
    </row>
    <row r="39" spans="1:38" ht="12.75" customHeight="1">
      <c r="A39" s="528"/>
      <c r="B39" s="529"/>
      <c r="C39" s="529"/>
      <c r="D39" s="529"/>
      <c r="E39" s="529"/>
      <c r="F39" s="529"/>
      <c r="G39" s="529"/>
      <c r="H39" s="529"/>
      <c r="I39" s="529"/>
      <c r="J39" s="529"/>
      <c r="K39" s="529"/>
      <c r="L39" s="529"/>
      <c r="M39" s="529"/>
      <c r="N39" s="529"/>
      <c r="O39" s="529"/>
      <c r="P39" s="529"/>
      <c r="Q39" s="529"/>
      <c r="R39" s="529"/>
      <c r="S39" s="531"/>
      <c r="T39" s="80"/>
      <c r="AL39" s="141"/>
    </row>
    <row r="40" spans="1:38" ht="12.75" customHeight="1">
      <c r="A40" s="528"/>
      <c r="B40" s="536" t="s">
        <v>948</v>
      </c>
      <c r="C40" s="529"/>
      <c r="D40" s="529"/>
      <c r="E40" s="529"/>
      <c r="F40" s="529"/>
      <c r="G40" s="529"/>
      <c r="H40" s="529"/>
      <c r="I40" s="529"/>
      <c r="J40" s="529"/>
      <c r="K40" s="529"/>
      <c r="L40" s="529"/>
      <c r="M40" s="529"/>
      <c r="N40" s="529"/>
      <c r="O40" s="529"/>
      <c r="P40" s="529"/>
      <c r="Q40" s="529"/>
      <c r="R40" s="529"/>
      <c r="S40" s="531"/>
      <c r="T40" s="80"/>
      <c r="AL40" s="141"/>
    </row>
    <row r="41" spans="1:38" ht="12.75" customHeight="1">
      <c r="A41" s="528"/>
      <c r="B41" s="536" t="s">
        <v>949</v>
      </c>
      <c r="C41" s="529"/>
      <c r="D41" s="529"/>
      <c r="E41" s="529"/>
      <c r="F41" s="529"/>
      <c r="G41" s="529"/>
      <c r="H41" s="529"/>
      <c r="I41" s="529"/>
      <c r="J41" s="529"/>
      <c r="K41" s="529"/>
      <c r="L41" s="529"/>
      <c r="M41" s="529"/>
      <c r="N41" s="529"/>
      <c r="O41" s="529"/>
      <c r="P41" s="529"/>
      <c r="Q41" s="529"/>
      <c r="R41" s="529"/>
      <c r="S41" s="531"/>
      <c r="T41" s="80"/>
      <c r="AL41" s="141"/>
    </row>
    <row r="42" spans="1:38" ht="12.75" customHeight="1">
      <c r="A42" s="528"/>
      <c r="B42" s="529"/>
      <c r="C42" s="529"/>
      <c r="D42" s="529"/>
      <c r="E42" s="529"/>
      <c r="F42" s="529"/>
      <c r="G42" s="529"/>
      <c r="H42" s="529"/>
      <c r="I42" s="529"/>
      <c r="J42" s="529"/>
      <c r="K42" s="529"/>
      <c r="L42" s="529"/>
      <c r="M42" s="529"/>
      <c r="N42" s="529"/>
      <c r="O42" s="529"/>
      <c r="P42" s="529"/>
      <c r="Q42" s="529"/>
      <c r="R42" s="529"/>
      <c r="S42" s="531"/>
      <c r="T42" s="80"/>
      <c r="AL42" s="141"/>
    </row>
    <row r="43" spans="1:38" ht="12.75" customHeight="1">
      <c r="A43" s="528"/>
      <c r="B43" s="536" t="s">
        <v>920</v>
      </c>
      <c r="C43" s="529"/>
      <c r="D43" s="529"/>
      <c r="E43" s="529"/>
      <c r="F43" s="529"/>
      <c r="G43" s="529"/>
      <c r="H43" s="529"/>
      <c r="I43" s="529"/>
      <c r="J43" s="529"/>
      <c r="K43" s="529"/>
      <c r="L43" s="529"/>
      <c r="M43" s="529"/>
      <c r="N43" s="529"/>
      <c r="O43" s="529"/>
      <c r="P43" s="529"/>
      <c r="Q43" s="529"/>
      <c r="R43" s="529"/>
      <c r="S43" s="531"/>
      <c r="T43" s="80"/>
      <c r="AL43" s="141"/>
    </row>
    <row r="44" spans="1:38" ht="12.75" customHeight="1">
      <c r="A44" s="528"/>
      <c r="B44" s="536" t="s">
        <v>921</v>
      </c>
      <c r="C44" s="529"/>
      <c r="D44" s="529"/>
      <c r="E44" s="529"/>
      <c r="F44" s="529"/>
      <c r="G44" s="529"/>
      <c r="H44" s="529"/>
      <c r="I44" s="529"/>
      <c r="J44" s="529"/>
      <c r="K44" s="529"/>
      <c r="L44" s="529"/>
      <c r="M44" s="529"/>
      <c r="N44" s="529"/>
      <c r="O44" s="529"/>
      <c r="P44" s="529"/>
      <c r="Q44" s="529"/>
      <c r="R44" s="529"/>
      <c r="S44" s="531"/>
      <c r="T44" s="80"/>
      <c r="AL44" s="141"/>
    </row>
    <row r="45" spans="1:38" ht="12.75" customHeight="1">
      <c r="A45" s="528"/>
      <c r="B45" s="536" t="s">
        <v>922</v>
      </c>
      <c r="C45" s="529"/>
      <c r="D45" s="529"/>
      <c r="E45" s="529"/>
      <c r="F45" s="529"/>
      <c r="G45" s="529"/>
      <c r="H45" s="529"/>
      <c r="I45" s="529"/>
      <c r="J45" s="529"/>
      <c r="K45" s="529"/>
      <c r="L45" s="529"/>
      <c r="M45" s="529"/>
      <c r="N45" s="529"/>
      <c r="O45" s="529"/>
      <c r="P45" s="529"/>
      <c r="Q45" s="529"/>
      <c r="R45" s="529"/>
      <c r="S45" s="531"/>
      <c r="T45" s="80"/>
      <c r="AL45" s="141"/>
    </row>
    <row r="46" spans="1:38" ht="12.75" customHeight="1">
      <c r="A46" s="528"/>
      <c r="S46" s="531"/>
      <c r="T46" s="80"/>
      <c r="AL46" s="141"/>
    </row>
    <row r="47" spans="1:38" ht="12.75" customHeight="1">
      <c r="A47" s="528"/>
      <c r="B47" s="536" t="s">
        <v>923</v>
      </c>
      <c r="S47" s="531"/>
      <c r="T47" s="80"/>
      <c r="AL47" s="141"/>
    </row>
    <row r="48" spans="1:38" ht="12.75" customHeight="1">
      <c r="A48" s="528"/>
      <c r="B48" s="536" t="s">
        <v>924</v>
      </c>
      <c r="S48" s="531"/>
      <c r="T48" s="80"/>
      <c r="AL48" s="141"/>
    </row>
    <row r="49" spans="1:38" ht="12.75" customHeight="1">
      <c r="A49" s="528"/>
      <c r="S49" s="531"/>
      <c r="T49" s="80"/>
      <c r="AL49" s="141"/>
    </row>
    <row r="50" spans="1:38" ht="12.75" customHeight="1">
      <c r="A50" s="528"/>
      <c r="B50" s="529"/>
      <c r="C50" s="529"/>
      <c r="D50" s="529"/>
      <c r="E50" s="529"/>
      <c r="F50" s="529"/>
      <c r="G50" s="529"/>
      <c r="H50" s="529"/>
      <c r="I50" s="529"/>
      <c r="J50" s="529"/>
      <c r="K50" s="529"/>
      <c r="L50" s="529"/>
      <c r="M50" s="529"/>
      <c r="N50" s="529"/>
      <c r="O50" s="529"/>
      <c r="P50" s="529"/>
      <c r="Q50" s="529"/>
      <c r="R50" s="529"/>
      <c r="S50" s="531"/>
      <c r="T50" s="80"/>
      <c r="AL50" s="141"/>
    </row>
    <row r="51" spans="1:38" ht="12.75" customHeight="1">
      <c r="A51" s="528"/>
      <c r="B51" s="529"/>
      <c r="C51" s="529"/>
      <c r="D51" s="529"/>
      <c r="E51" s="529"/>
      <c r="F51" s="529"/>
      <c r="G51" s="529"/>
      <c r="H51" s="529"/>
      <c r="I51" s="529"/>
      <c r="J51" s="529"/>
      <c r="K51" s="529"/>
      <c r="L51" s="529"/>
      <c r="M51" s="529"/>
      <c r="N51" s="529"/>
      <c r="O51" s="529"/>
      <c r="P51" s="529"/>
      <c r="Q51" s="529"/>
      <c r="R51" s="529"/>
      <c r="S51" s="531"/>
      <c r="T51" s="80"/>
      <c r="AL51" s="141"/>
    </row>
    <row r="52" spans="1:38" ht="12.75" customHeight="1">
      <c r="A52" s="528"/>
      <c r="B52" s="529"/>
      <c r="C52" s="529"/>
      <c r="D52" s="529"/>
      <c r="E52" s="529"/>
      <c r="F52" s="529"/>
      <c r="G52" s="529"/>
      <c r="H52" s="529"/>
      <c r="I52" s="529"/>
      <c r="J52" s="529"/>
      <c r="K52" s="529"/>
      <c r="L52" s="529"/>
      <c r="M52" s="529"/>
      <c r="N52" s="529"/>
      <c r="O52" s="529"/>
      <c r="P52" s="529"/>
      <c r="Q52" s="529"/>
      <c r="R52" s="529"/>
      <c r="S52" s="531"/>
      <c r="T52" s="80"/>
      <c r="AL52" s="141"/>
    </row>
    <row r="53" spans="1:38" ht="12.75" customHeight="1">
      <c r="A53" s="528"/>
      <c r="B53" s="529"/>
      <c r="C53" s="529"/>
      <c r="D53" s="529"/>
      <c r="E53" s="529"/>
      <c r="F53" s="529"/>
      <c r="G53" s="529"/>
      <c r="H53" s="529"/>
      <c r="I53" s="529"/>
      <c r="J53" s="529"/>
      <c r="K53" s="529"/>
      <c r="L53" s="529"/>
      <c r="M53" s="529"/>
      <c r="N53" s="529"/>
      <c r="O53" s="529"/>
      <c r="P53" s="529"/>
      <c r="Q53" s="529"/>
      <c r="R53" s="529"/>
      <c r="S53" s="531"/>
      <c r="T53" s="80"/>
      <c r="AL53" s="141"/>
    </row>
    <row r="54" spans="1:38" ht="12.75" customHeight="1">
      <c r="A54" s="528"/>
      <c r="B54" s="529"/>
      <c r="C54" s="529"/>
      <c r="D54" s="529"/>
      <c r="E54" s="529"/>
      <c r="F54" s="529"/>
      <c r="G54" s="529"/>
      <c r="H54" s="529"/>
      <c r="I54" s="529"/>
      <c r="J54" s="529"/>
      <c r="K54" s="529"/>
      <c r="L54" s="529"/>
      <c r="M54" s="529"/>
      <c r="N54" s="529"/>
      <c r="O54" s="529"/>
      <c r="P54" s="529"/>
      <c r="Q54" s="529"/>
      <c r="R54" s="529"/>
      <c r="S54" s="531"/>
      <c r="T54" s="80"/>
      <c r="AL54" s="141"/>
    </row>
    <row r="55" spans="1:38" ht="12.75" customHeight="1">
      <c r="A55" s="528"/>
      <c r="B55" s="536"/>
      <c r="C55" s="529"/>
      <c r="D55" s="529"/>
      <c r="E55" s="529"/>
      <c r="F55" s="529"/>
      <c r="G55" s="529"/>
      <c r="H55" s="529"/>
      <c r="I55" s="529"/>
      <c r="J55" s="529"/>
      <c r="K55" s="529"/>
      <c r="L55" s="529"/>
      <c r="M55" s="529"/>
      <c r="N55" s="529"/>
      <c r="O55" s="529"/>
      <c r="P55" s="529"/>
      <c r="Q55" s="529"/>
      <c r="R55" s="529"/>
      <c r="S55" s="531"/>
      <c r="T55" s="80"/>
      <c r="AL55" s="141"/>
    </row>
    <row r="56" spans="1:38" ht="12.75" customHeight="1">
      <c r="A56" s="528"/>
      <c r="B56" s="536"/>
      <c r="C56" s="529"/>
      <c r="D56" s="529"/>
      <c r="E56" s="529"/>
      <c r="F56" s="529"/>
      <c r="G56" s="529"/>
      <c r="H56" s="529"/>
      <c r="I56" s="529"/>
      <c r="J56" s="529"/>
      <c r="K56" s="529"/>
      <c r="L56" s="529"/>
      <c r="M56" s="529"/>
      <c r="N56" s="529"/>
      <c r="O56" s="529"/>
      <c r="P56" s="529"/>
      <c r="Q56" s="529"/>
      <c r="R56" s="529"/>
      <c r="S56" s="531"/>
      <c r="T56" s="80"/>
      <c r="AL56" s="141"/>
    </row>
    <row r="57" spans="1:38" ht="12.75" customHeight="1">
      <c r="A57" s="534"/>
      <c r="B57" s="533"/>
      <c r="C57" s="533"/>
      <c r="D57" s="533"/>
      <c r="E57" s="533"/>
      <c r="F57" s="533"/>
      <c r="G57" s="533"/>
      <c r="H57" s="533"/>
      <c r="I57" s="533"/>
      <c r="J57" s="533"/>
      <c r="K57" s="533"/>
      <c r="L57" s="533"/>
      <c r="M57" s="533"/>
      <c r="N57" s="533"/>
      <c r="O57" s="533"/>
      <c r="P57" s="533"/>
      <c r="Q57" s="533"/>
      <c r="R57" s="533"/>
      <c r="S57" s="535"/>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V38" location="'T3.13 T3.5 FBH Spt Structure'!A1" display="BACK" xr:uid="{00000000-0004-0000-2C00-000000000000}"/>
  </hyperlinks>
  <pageMargins left="0.39370078740157483" right="0.39370078740157483" top="0.39370078740157483" bottom="0.39370078740157483" header="0" footer="0"/>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Z1000"/>
  <sheetViews>
    <sheetView showGridLines="0" workbookViewId="0"/>
  </sheetViews>
  <sheetFormatPr baseColWidth="10" defaultColWidth="12.5703125" defaultRowHeight="15" customHeight="1"/>
  <cols>
    <col min="1" max="1" width="5" customWidth="1"/>
    <col min="2" max="2" width="6.42578125" customWidth="1"/>
    <col min="3" max="22" width="5" customWidth="1"/>
    <col min="23" max="26" width="11.42578125" customWidth="1"/>
  </cols>
  <sheetData>
    <row r="1" spans="1:26" ht="12.75" customHeight="1">
      <c r="A1" s="617" t="s">
        <v>950</v>
      </c>
      <c r="B1" s="598"/>
      <c r="C1" s="598"/>
      <c r="D1" s="598"/>
      <c r="E1" s="598"/>
      <c r="F1" s="598"/>
      <c r="G1" s="598"/>
      <c r="H1" s="598"/>
      <c r="I1" s="598"/>
      <c r="J1" s="598"/>
      <c r="K1" s="598"/>
      <c r="L1" s="598"/>
      <c r="M1" s="598"/>
      <c r="N1" s="598"/>
      <c r="O1" s="598"/>
      <c r="P1" s="598"/>
      <c r="Q1" s="598"/>
      <c r="R1" s="598"/>
      <c r="S1" s="598"/>
      <c r="T1" s="382"/>
      <c r="U1" s="37"/>
      <c r="V1" s="37"/>
      <c r="W1" s="37"/>
      <c r="X1" s="37"/>
      <c r="Y1" s="37"/>
      <c r="Z1" s="37"/>
    </row>
    <row r="2" spans="1:26"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row>
    <row r="3" spans="1:26" ht="12.75" customHeight="1">
      <c r="A3" s="528"/>
      <c r="B3" s="536" t="s">
        <v>951</v>
      </c>
      <c r="C3" s="529"/>
      <c r="D3" s="529"/>
      <c r="E3" s="529"/>
      <c r="F3" s="529"/>
      <c r="G3" s="529"/>
      <c r="H3" s="529"/>
      <c r="I3" s="529"/>
      <c r="J3" s="529"/>
      <c r="K3" s="529"/>
      <c r="L3" s="529"/>
      <c r="M3" s="529"/>
      <c r="N3" s="529"/>
      <c r="O3" s="529"/>
      <c r="P3" s="529"/>
      <c r="Q3" s="529"/>
      <c r="R3" s="529"/>
      <c r="S3" s="531"/>
      <c r="T3" s="80"/>
      <c r="U3" s="155"/>
      <c r="V3" s="34"/>
      <c r="W3" s="34"/>
      <c r="X3" s="34"/>
      <c r="Y3" s="34"/>
      <c r="Z3" s="34"/>
    </row>
    <row r="4" spans="1:26" ht="12.75" customHeight="1">
      <c r="A4" s="528"/>
      <c r="B4" s="536"/>
      <c r="C4" s="529"/>
      <c r="D4" s="529"/>
      <c r="E4" s="529"/>
      <c r="F4" s="529"/>
      <c r="G4" s="529"/>
      <c r="H4" s="529"/>
      <c r="I4" s="529"/>
      <c r="J4" s="529"/>
      <c r="K4" s="529"/>
      <c r="L4" s="529"/>
      <c r="M4" s="529"/>
      <c r="N4" s="529"/>
      <c r="O4" s="529"/>
      <c r="P4" s="529"/>
      <c r="Q4" s="529"/>
      <c r="R4" s="529"/>
      <c r="S4" s="531"/>
      <c r="T4" s="80"/>
      <c r="U4" s="155"/>
      <c r="V4" s="34"/>
      <c r="W4" s="34"/>
      <c r="X4" s="34"/>
      <c r="Y4" s="34"/>
      <c r="Z4" s="34"/>
    </row>
    <row r="5" spans="1:26" ht="12.75" customHeight="1">
      <c r="A5" s="528"/>
      <c r="B5" s="537" t="s">
        <v>952</v>
      </c>
      <c r="C5" s="529"/>
      <c r="D5" s="529"/>
      <c r="E5" s="529"/>
      <c r="F5" s="529"/>
      <c r="G5" s="529"/>
      <c r="H5" s="529"/>
      <c r="I5" s="529"/>
      <c r="J5" s="529"/>
      <c r="K5" s="529"/>
      <c r="L5" s="529"/>
      <c r="M5" s="529"/>
      <c r="N5" s="529"/>
      <c r="O5" s="529"/>
      <c r="P5" s="529"/>
      <c r="Q5" s="529"/>
      <c r="R5" s="529"/>
      <c r="S5" s="531"/>
      <c r="T5" s="80"/>
      <c r="U5" s="155"/>
      <c r="V5" s="34"/>
      <c r="W5" s="34"/>
      <c r="X5" s="34"/>
      <c r="Y5" s="34"/>
      <c r="Z5" s="34"/>
    </row>
    <row r="6" spans="1:26" ht="12.75" customHeight="1">
      <c r="A6" s="528"/>
      <c r="B6" s="536"/>
      <c r="C6" s="529"/>
      <c r="D6" s="529"/>
      <c r="E6" s="529"/>
      <c r="F6" s="529"/>
      <c r="G6" s="529"/>
      <c r="H6" s="529"/>
      <c r="I6" s="529"/>
      <c r="J6" s="529"/>
      <c r="K6" s="529"/>
      <c r="L6" s="529"/>
      <c r="M6" s="529"/>
      <c r="N6" s="529"/>
      <c r="O6" s="529"/>
      <c r="P6" s="529"/>
      <c r="Q6" s="529"/>
      <c r="R6" s="529"/>
      <c r="S6" s="531"/>
      <c r="T6" s="80"/>
      <c r="U6" s="34"/>
      <c r="V6" s="34"/>
      <c r="W6" s="34"/>
      <c r="X6" s="34"/>
      <c r="Y6" s="34"/>
      <c r="Z6" s="34"/>
    </row>
    <row r="7" spans="1:26" ht="12.75" customHeight="1">
      <c r="A7" s="528"/>
      <c r="B7" s="536" t="s">
        <v>953</v>
      </c>
      <c r="C7" s="529"/>
      <c r="D7" s="529"/>
      <c r="E7" s="529"/>
      <c r="F7" s="529"/>
      <c r="G7" s="529"/>
      <c r="H7" s="529"/>
      <c r="I7" s="529"/>
      <c r="J7" s="529"/>
      <c r="K7" s="529"/>
      <c r="L7" s="529"/>
      <c r="M7" s="529"/>
      <c r="N7" s="529"/>
      <c r="O7" s="529"/>
      <c r="P7" s="529"/>
      <c r="Q7" s="529"/>
      <c r="R7" s="529"/>
      <c r="S7" s="531"/>
      <c r="T7" s="80"/>
      <c r="U7" s="34"/>
      <c r="V7" s="34"/>
      <c r="W7" s="34"/>
      <c r="X7" s="34"/>
      <c r="Y7" s="34"/>
      <c r="Z7" s="34"/>
    </row>
    <row r="8" spans="1:26" ht="12.75" customHeight="1">
      <c r="A8" s="528"/>
      <c r="C8" s="529"/>
      <c r="D8" s="529"/>
      <c r="E8" s="529"/>
      <c r="F8" s="529"/>
      <c r="G8" s="529"/>
      <c r="H8" s="529"/>
      <c r="I8" s="529"/>
      <c r="J8" s="529"/>
      <c r="K8" s="529"/>
      <c r="L8" s="529"/>
      <c r="M8" s="529"/>
      <c r="N8" s="529"/>
      <c r="O8" s="529"/>
      <c r="P8" s="529"/>
      <c r="Q8" s="529"/>
      <c r="R8" s="529"/>
      <c r="S8" s="531"/>
      <c r="T8" s="80"/>
      <c r="U8" s="34"/>
      <c r="V8" s="34"/>
      <c r="W8" s="34"/>
      <c r="X8" s="34"/>
      <c r="Y8" s="34"/>
      <c r="Z8" s="34"/>
    </row>
    <row r="9" spans="1:26" ht="12.75" customHeight="1">
      <c r="A9" s="528"/>
      <c r="B9" s="537" t="s">
        <v>954</v>
      </c>
      <c r="C9" s="529"/>
      <c r="D9" s="529"/>
      <c r="E9" s="529"/>
      <c r="F9" s="529"/>
      <c r="G9" s="529"/>
      <c r="H9" s="529"/>
      <c r="I9" s="529"/>
      <c r="J9" s="529"/>
      <c r="K9" s="529"/>
      <c r="L9" s="529"/>
      <c r="M9" s="529"/>
      <c r="N9" s="529"/>
      <c r="O9" s="529"/>
      <c r="P9" s="529"/>
      <c r="Q9" s="529"/>
      <c r="R9" s="529"/>
      <c r="S9" s="531"/>
      <c r="T9" s="80"/>
      <c r="U9" s="34"/>
      <c r="V9" s="34"/>
      <c r="W9" s="34"/>
      <c r="X9" s="34"/>
      <c r="Y9" s="34"/>
      <c r="Z9" s="34"/>
    </row>
    <row r="10" spans="1:26" ht="12.75" customHeight="1">
      <c r="A10" s="528"/>
      <c r="B10" s="536"/>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row>
    <row r="11" spans="1:26" ht="12.75" customHeight="1">
      <c r="A11" s="528"/>
      <c r="B11" s="536" t="s">
        <v>955</v>
      </c>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row>
    <row r="12" spans="1:26" ht="12.75" customHeight="1">
      <c r="A12" s="528"/>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row>
    <row r="13" spans="1:26" ht="12.75" customHeight="1">
      <c r="A13" s="528"/>
      <c r="B13" s="539" t="s">
        <v>956</v>
      </c>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row>
    <row r="14" spans="1:26" ht="12.75" customHeight="1">
      <c r="A14" s="528"/>
      <c r="B14" s="539" t="s">
        <v>957</v>
      </c>
      <c r="C14" s="529"/>
      <c r="D14" s="529"/>
      <c r="E14" s="529"/>
      <c r="F14" s="529"/>
      <c r="G14" s="529"/>
      <c r="H14" s="529"/>
      <c r="I14" s="529"/>
      <c r="J14" s="529"/>
      <c r="K14" s="529"/>
      <c r="L14" s="529"/>
      <c r="M14" s="529"/>
      <c r="N14" s="529"/>
      <c r="O14" s="529"/>
      <c r="P14" s="529"/>
      <c r="Q14" s="529"/>
      <c r="R14" s="529"/>
      <c r="S14" s="531"/>
      <c r="T14" s="80"/>
      <c r="U14" s="34"/>
      <c r="V14" s="34"/>
      <c r="W14" s="34"/>
      <c r="X14" s="34"/>
      <c r="Y14" s="34"/>
      <c r="Z14" s="34"/>
    </row>
    <row r="15" spans="1:26" ht="12.75" customHeight="1">
      <c r="A15" s="528"/>
      <c r="B15" s="540" t="s">
        <v>958</v>
      </c>
      <c r="C15" s="529"/>
      <c r="D15" s="529"/>
      <c r="E15" s="529"/>
      <c r="F15" s="529"/>
      <c r="G15" s="529"/>
      <c r="H15" s="529"/>
      <c r="I15" s="529"/>
      <c r="J15" s="529"/>
      <c r="K15" s="529"/>
      <c r="L15" s="529"/>
      <c r="M15" s="529"/>
      <c r="N15" s="529"/>
      <c r="O15" s="529"/>
      <c r="P15" s="529"/>
      <c r="Q15" s="529"/>
      <c r="R15" s="529"/>
      <c r="S15" s="531"/>
      <c r="T15" s="80"/>
      <c r="U15" s="34"/>
      <c r="V15" s="34"/>
      <c r="W15" s="34"/>
      <c r="X15" s="34"/>
      <c r="Y15" s="34"/>
      <c r="Z15" s="34"/>
    </row>
    <row r="16" spans="1:26" ht="12.75" customHeight="1">
      <c r="A16" s="528"/>
      <c r="B16" s="155" t="s">
        <v>959</v>
      </c>
      <c r="C16" s="529"/>
      <c r="D16" s="529"/>
      <c r="E16" s="529"/>
      <c r="F16" s="529"/>
      <c r="G16" s="529"/>
      <c r="H16" s="529"/>
      <c r="I16" s="529"/>
      <c r="J16" s="529"/>
      <c r="K16" s="529"/>
      <c r="L16" s="529"/>
      <c r="M16" s="529"/>
      <c r="N16" s="529"/>
      <c r="O16" s="529"/>
      <c r="P16" s="529"/>
      <c r="Q16" s="529"/>
      <c r="R16" s="529"/>
      <c r="S16" s="531"/>
      <c r="T16" s="80"/>
      <c r="U16" s="34"/>
      <c r="V16" s="34"/>
      <c r="W16" s="34"/>
      <c r="X16" s="34"/>
      <c r="Y16" s="34"/>
      <c r="Z16" s="34"/>
    </row>
    <row r="17" spans="1:26" ht="12.75" customHeight="1">
      <c r="A17" s="528"/>
      <c r="B17" s="155"/>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row>
    <row r="18" spans="1:26" ht="12.75" customHeight="1">
      <c r="A18" s="528"/>
      <c r="B18" s="541" t="s">
        <v>884</v>
      </c>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row>
    <row r="19" spans="1:26" ht="12.75" customHeight="1">
      <c r="A19" s="528"/>
      <c r="B19" s="536"/>
      <c r="C19" s="536"/>
      <c r="D19" s="529"/>
      <c r="E19" s="529"/>
      <c r="F19" s="529"/>
      <c r="G19" s="529"/>
      <c r="H19" s="529"/>
      <c r="I19" s="529"/>
      <c r="J19" s="529"/>
      <c r="K19" s="529"/>
      <c r="L19" s="529"/>
      <c r="M19" s="529"/>
      <c r="N19" s="529"/>
      <c r="O19" s="529"/>
      <c r="P19" s="529"/>
      <c r="Q19" s="529"/>
      <c r="R19" s="529"/>
      <c r="S19" s="531"/>
      <c r="T19" s="80"/>
      <c r="U19" s="34"/>
      <c r="V19" s="34"/>
      <c r="W19" s="34"/>
      <c r="X19" s="34"/>
      <c r="Y19" s="34"/>
      <c r="Z19" s="34"/>
    </row>
    <row r="20" spans="1:26" ht="12.75" customHeight="1">
      <c r="A20" s="528"/>
      <c r="B20" s="536"/>
      <c r="C20" s="536"/>
      <c r="D20" s="529"/>
      <c r="E20" s="529"/>
      <c r="F20" s="529"/>
      <c r="G20" s="529"/>
      <c r="H20" s="529"/>
      <c r="I20" s="529"/>
      <c r="J20" s="529"/>
      <c r="K20" s="529"/>
      <c r="L20" s="529"/>
      <c r="M20" s="529"/>
      <c r="N20" s="529"/>
      <c r="O20" s="529"/>
      <c r="P20" s="529"/>
      <c r="Q20" s="529"/>
      <c r="R20" s="529"/>
      <c r="S20" s="531"/>
      <c r="T20" s="80"/>
      <c r="U20" s="34"/>
      <c r="V20" s="34"/>
      <c r="W20" s="34"/>
      <c r="X20" s="34"/>
      <c r="Y20" s="34"/>
      <c r="Z20" s="34"/>
    </row>
    <row r="21" spans="1:26" ht="12.75" customHeight="1">
      <c r="A21" s="528"/>
      <c r="B21" s="529"/>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row>
    <row r="22" spans="1:26" ht="12.75" customHeight="1">
      <c r="R22" s="529"/>
      <c r="S22" s="531"/>
      <c r="T22" s="80"/>
      <c r="U22" s="34"/>
      <c r="V22" s="34"/>
      <c r="W22" s="34"/>
      <c r="X22" s="34"/>
      <c r="Y22" s="34"/>
      <c r="Z22" s="34"/>
    </row>
    <row r="23" spans="1:26" ht="12.75" customHeight="1">
      <c r="R23" s="529"/>
      <c r="S23" s="531"/>
      <c r="T23" s="80"/>
      <c r="U23" s="34"/>
      <c r="V23" s="34"/>
      <c r="W23" s="34"/>
      <c r="X23" s="34"/>
      <c r="Y23" s="34"/>
      <c r="Z23" s="34"/>
    </row>
    <row r="24" spans="1:26" ht="12.75" customHeight="1">
      <c r="R24" s="529"/>
      <c r="S24" s="531"/>
      <c r="T24" s="80"/>
      <c r="U24" s="34"/>
      <c r="V24" s="34"/>
      <c r="W24" s="34"/>
      <c r="X24" s="34"/>
      <c r="Y24" s="34"/>
      <c r="Z24" s="34"/>
    </row>
    <row r="25" spans="1:26" ht="12.75" customHeight="1">
      <c r="R25" s="529"/>
      <c r="S25" s="531"/>
      <c r="T25" s="80"/>
      <c r="U25" s="34"/>
      <c r="V25" s="34"/>
      <c r="W25" s="34"/>
      <c r="X25" s="34"/>
      <c r="Y25" s="34"/>
      <c r="Z25" s="34"/>
    </row>
    <row r="26" spans="1:26" ht="12.75" customHeight="1">
      <c r="R26" s="529"/>
      <c r="S26" s="531"/>
      <c r="T26" s="80"/>
      <c r="U26" s="34"/>
      <c r="V26" s="34"/>
      <c r="W26" s="34"/>
      <c r="X26" s="34"/>
      <c r="Y26" s="34"/>
      <c r="Z26" s="34"/>
    </row>
    <row r="27" spans="1:26" ht="12.75" customHeight="1">
      <c r="R27" s="529"/>
      <c r="S27" s="531"/>
      <c r="T27" s="80"/>
      <c r="U27" s="34"/>
      <c r="V27" s="34"/>
      <c r="W27" s="34"/>
      <c r="X27" s="34"/>
      <c r="Y27" s="34"/>
      <c r="Z27" s="34"/>
    </row>
    <row r="28" spans="1:26" ht="12.75" customHeight="1">
      <c r="R28" s="529"/>
      <c r="S28" s="531"/>
      <c r="T28" s="80"/>
      <c r="U28" s="34"/>
      <c r="V28" s="34"/>
      <c r="W28" s="34"/>
      <c r="X28" s="34"/>
      <c r="Y28" s="34"/>
      <c r="Z28" s="34"/>
    </row>
    <row r="29" spans="1:26" ht="12.75" customHeight="1">
      <c r="R29" s="529"/>
      <c r="S29" s="531"/>
      <c r="T29" s="80"/>
      <c r="U29" s="34"/>
      <c r="V29" s="34"/>
      <c r="W29" s="34"/>
      <c r="X29" s="34"/>
      <c r="Y29" s="34"/>
      <c r="Z29" s="34"/>
    </row>
    <row r="30" spans="1:26" ht="12.75" customHeight="1">
      <c r="R30" s="529"/>
      <c r="S30" s="531"/>
      <c r="T30" s="80"/>
      <c r="U30" s="34"/>
      <c r="V30" s="34"/>
      <c r="W30" s="34"/>
      <c r="X30" s="34"/>
      <c r="Y30" s="34"/>
      <c r="Z30" s="34"/>
    </row>
    <row r="31" spans="1:26" ht="12.75" customHeight="1">
      <c r="R31" s="529"/>
      <c r="S31" s="531"/>
      <c r="T31" s="80"/>
      <c r="U31" s="34"/>
      <c r="V31" s="34"/>
      <c r="W31" s="34"/>
      <c r="X31" s="34"/>
      <c r="Y31" s="34"/>
      <c r="Z31" s="34"/>
    </row>
    <row r="32" spans="1:26" ht="12.75" customHeight="1">
      <c r="R32" s="529"/>
      <c r="S32" s="531"/>
      <c r="T32" s="80"/>
      <c r="U32" s="34"/>
      <c r="V32" s="34"/>
      <c r="W32" s="34"/>
      <c r="X32" s="34"/>
      <c r="Y32" s="34"/>
      <c r="Z32" s="34"/>
    </row>
    <row r="33" spans="1:26"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row>
    <row r="34" spans="1:26"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row>
    <row r="35" spans="1:26"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row>
    <row r="36" spans="1:26" ht="12.75" customHeight="1">
      <c r="A36" s="528"/>
      <c r="B36" s="529"/>
      <c r="C36" s="529"/>
      <c r="D36" s="529"/>
      <c r="E36" s="529"/>
      <c r="F36" s="529"/>
      <c r="G36" s="529"/>
      <c r="H36" s="529"/>
      <c r="I36" s="529"/>
      <c r="J36" s="529"/>
      <c r="K36" s="529"/>
      <c r="L36" s="529"/>
      <c r="M36" s="529"/>
      <c r="N36" s="529"/>
      <c r="O36" s="529"/>
      <c r="P36" s="529"/>
      <c r="Q36" s="529"/>
      <c r="R36" s="529"/>
      <c r="S36" s="531"/>
      <c r="T36" s="80"/>
      <c r="U36" s="34"/>
      <c r="V36" s="34"/>
      <c r="W36" s="34"/>
      <c r="X36" s="34"/>
      <c r="Y36" s="34"/>
      <c r="Z36" s="34"/>
    </row>
    <row r="37" spans="1:26" ht="12.75" customHeight="1">
      <c r="A37" s="528"/>
      <c r="B37" s="529"/>
      <c r="C37" s="529"/>
      <c r="D37" s="529"/>
      <c r="E37" s="529"/>
      <c r="F37" s="529"/>
      <c r="G37" s="529"/>
      <c r="H37" s="529"/>
      <c r="I37" s="529"/>
      <c r="J37" s="529"/>
      <c r="K37" s="529"/>
      <c r="L37" s="529"/>
      <c r="M37" s="529"/>
      <c r="N37" s="529"/>
      <c r="O37" s="529"/>
      <c r="P37" s="529"/>
      <c r="Q37" s="529"/>
      <c r="R37" s="529"/>
      <c r="S37" s="531"/>
      <c r="T37" s="80"/>
      <c r="U37" s="34"/>
      <c r="V37" s="34"/>
      <c r="W37" s="34"/>
      <c r="X37" s="34"/>
      <c r="Y37" s="34"/>
      <c r="Z37" s="34"/>
    </row>
    <row r="38" spans="1:26" ht="12.75" customHeight="1">
      <c r="A38" s="528"/>
      <c r="B38" s="529"/>
      <c r="C38" s="529"/>
      <c r="D38" s="529"/>
      <c r="E38" s="529"/>
      <c r="F38" s="529"/>
      <c r="G38" s="529"/>
      <c r="H38" s="529"/>
      <c r="I38" s="529"/>
      <c r="J38" s="529"/>
      <c r="K38" s="529"/>
      <c r="L38" s="529"/>
      <c r="M38" s="529"/>
      <c r="N38" s="529"/>
      <c r="O38" s="529"/>
      <c r="P38" s="529"/>
      <c r="Q38" s="529"/>
      <c r="R38" s="529"/>
      <c r="S38" s="531"/>
      <c r="T38" s="80"/>
      <c r="U38" s="34"/>
      <c r="V38" s="34"/>
      <c r="W38" s="34"/>
      <c r="X38" s="34"/>
      <c r="Y38" s="34"/>
      <c r="Z38" s="34"/>
    </row>
    <row r="39" spans="1:26"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row>
    <row r="40" spans="1:26" ht="12.75" customHeight="1">
      <c r="A40" s="528"/>
      <c r="B40" s="529"/>
      <c r="C40" s="529"/>
      <c r="D40" s="529"/>
      <c r="E40" s="529"/>
      <c r="F40" s="529"/>
      <c r="G40" s="529"/>
      <c r="H40" s="529"/>
      <c r="I40" s="529"/>
      <c r="J40" s="529"/>
      <c r="K40" s="529"/>
      <c r="L40" s="529"/>
      <c r="M40" s="529"/>
      <c r="N40" s="529"/>
      <c r="O40" s="529"/>
      <c r="P40" s="529"/>
      <c r="Q40" s="529"/>
      <c r="R40" s="529"/>
      <c r="S40" s="531"/>
      <c r="T40" s="80"/>
      <c r="U40" s="34"/>
      <c r="V40" s="34"/>
      <c r="W40" s="34"/>
      <c r="X40" s="34"/>
      <c r="Y40" s="34"/>
      <c r="Z40" s="34"/>
    </row>
    <row r="41" spans="1:26"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row>
    <row r="42" spans="1:26" ht="12.75" customHeight="1">
      <c r="A42" s="528"/>
      <c r="B42" s="529"/>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row>
    <row r="43" spans="1:26" ht="12.75" customHeight="1">
      <c r="A43" s="528"/>
      <c r="B43" s="529"/>
      <c r="C43" s="529"/>
      <c r="D43" s="529"/>
      <c r="E43" s="529"/>
      <c r="F43" s="529"/>
      <c r="G43" s="529"/>
      <c r="H43" s="529"/>
      <c r="I43" s="529"/>
      <c r="J43" s="529"/>
      <c r="K43" s="529"/>
      <c r="L43" s="529"/>
      <c r="M43" s="529"/>
      <c r="N43" s="529"/>
      <c r="O43" s="529"/>
      <c r="P43" s="529"/>
      <c r="Q43" s="529"/>
      <c r="R43" s="529"/>
      <c r="S43" s="531"/>
      <c r="T43" s="80"/>
      <c r="U43" s="34"/>
      <c r="V43" s="34"/>
      <c r="W43" s="34"/>
      <c r="X43" s="34"/>
      <c r="Y43" s="34"/>
      <c r="Z43" s="34"/>
    </row>
    <row r="44" spans="1:26" ht="12.75" customHeight="1">
      <c r="A44" s="528"/>
      <c r="B44" s="529"/>
      <c r="C44" s="529"/>
      <c r="D44" s="529"/>
      <c r="E44" s="529"/>
      <c r="F44" s="529"/>
      <c r="G44" s="529"/>
      <c r="H44" s="529"/>
      <c r="I44" s="529"/>
      <c r="J44" s="529"/>
      <c r="K44" s="529"/>
      <c r="L44" s="529"/>
      <c r="M44" s="529"/>
      <c r="N44" s="529"/>
      <c r="O44" s="529"/>
      <c r="P44" s="529"/>
      <c r="Q44" s="529"/>
      <c r="R44" s="529"/>
      <c r="S44" s="531"/>
      <c r="T44" s="80"/>
      <c r="U44" s="34"/>
      <c r="V44" s="34"/>
      <c r="W44" s="34"/>
      <c r="X44" s="34"/>
      <c r="Y44" s="34"/>
      <c r="Z44" s="34"/>
    </row>
    <row r="45" spans="1:26" ht="12.75" customHeight="1">
      <c r="A45" s="528"/>
      <c r="B45" s="529"/>
      <c r="C45" s="529"/>
      <c r="D45" s="529"/>
      <c r="E45" s="529"/>
      <c r="F45" s="529"/>
      <c r="G45" s="529"/>
      <c r="H45" s="529"/>
      <c r="I45" s="529"/>
      <c r="J45" s="529"/>
      <c r="K45" s="529"/>
      <c r="L45" s="529"/>
      <c r="M45" s="529"/>
      <c r="N45" s="529"/>
      <c r="O45" s="529"/>
      <c r="P45" s="529"/>
      <c r="Q45" s="529"/>
      <c r="R45" s="529"/>
      <c r="S45" s="531"/>
      <c r="T45" s="80"/>
      <c r="U45" s="34"/>
      <c r="V45" s="34"/>
      <c r="W45" s="34"/>
      <c r="X45" s="34"/>
      <c r="Y45" s="34"/>
      <c r="Z45" s="34"/>
    </row>
    <row r="46" spans="1:26" ht="12.75" customHeight="1">
      <c r="A46" s="528"/>
      <c r="B46" s="529"/>
      <c r="C46" s="529"/>
      <c r="D46" s="529"/>
      <c r="E46" s="529"/>
      <c r="F46" s="529"/>
      <c r="G46" s="529"/>
      <c r="H46" s="529"/>
      <c r="I46" s="529"/>
      <c r="J46" s="529"/>
      <c r="K46" s="529"/>
      <c r="L46" s="529"/>
      <c r="M46" s="529"/>
      <c r="N46" s="529"/>
      <c r="O46" s="529"/>
      <c r="P46" s="529"/>
      <c r="Q46" s="529"/>
      <c r="R46" s="529"/>
      <c r="S46" s="531"/>
      <c r="T46" s="80"/>
      <c r="U46" s="34"/>
      <c r="V46" s="34"/>
      <c r="W46" s="34"/>
      <c r="X46" s="34"/>
      <c r="Y46" s="34"/>
      <c r="Z46" s="34"/>
    </row>
    <row r="47" spans="1:26"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row>
    <row r="48" spans="1:26"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row>
    <row r="49" spans="1:26" ht="12.75" customHeight="1">
      <c r="A49" s="528"/>
      <c r="B49" s="529"/>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row>
    <row r="50" spans="1:26" ht="12.75" customHeight="1">
      <c r="A50" s="528"/>
      <c r="B50" s="529"/>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row>
    <row r="51" spans="1:26"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row>
    <row r="52" spans="1:26" ht="12.75" customHeight="1">
      <c r="A52" s="528"/>
      <c r="B52" s="529"/>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row>
    <row r="53" spans="1:26" ht="12.75" customHeight="1">
      <c r="A53" s="528"/>
      <c r="B53" s="529"/>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row>
    <row r="54" spans="1:26" ht="12.75" customHeight="1">
      <c r="A54" s="528"/>
      <c r="B54" s="529"/>
      <c r="C54" s="529"/>
      <c r="D54" s="529"/>
      <c r="E54" s="529"/>
      <c r="F54" s="529"/>
      <c r="G54" s="529"/>
      <c r="H54" s="529"/>
      <c r="I54" s="529"/>
      <c r="J54" s="529"/>
      <c r="K54" s="529"/>
      <c r="L54" s="529"/>
      <c r="M54" s="529"/>
      <c r="N54" s="529"/>
      <c r="O54" s="529"/>
      <c r="P54" s="529"/>
      <c r="Q54" s="529"/>
      <c r="R54" s="529"/>
      <c r="S54" s="531"/>
      <c r="T54" s="80"/>
      <c r="U54" s="34"/>
      <c r="V54" s="34"/>
      <c r="W54" s="34"/>
      <c r="X54" s="34"/>
      <c r="Y54" s="34"/>
      <c r="Z54" s="34"/>
    </row>
    <row r="55" spans="1:26" ht="12.75" customHeight="1">
      <c r="A55" s="528"/>
      <c r="B55" s="536"/>
      <c r="C55" s="529"/>
      <c r="D55" s="529"/>
      <c r="E55" s="529"/>
      <c r="F55" s="529"/>
      <c r="G55" s="529"/>
      <c r="H55" s="529"/>
      <c r="I55" s="529"/>
      <c r="J55" s="529"/>
      <c r="K55" s="529"/>
      <c r="L55" s="529"/>
      <c r="M55" s="529"/>
      <c r="N55" s="529"/>
      <c r="O55" s="529"/>
      <c r="P55" s="529"/>
      <c r="Q55" s="529"/>
      <c r="R55" s="529"/>
      <c r="S55" s="531"/>
      <c r="T55" s="80"/>
      <c r="U55" s="34"/>
      <c r="V55" s="34"/>
      <c r="W55" s="34"/>
      <c r="X55" s="34"/>
      <c r="Y55" s="34"/>
      <c r="Z55" s="34"/>
    </row>
    <row r="56" spans="1:26" ht="12.75" customHeight="1">
      <c r="A56" s="528"/>
      <c r="B56" s="536"/>
      <c r="C56" s="529"/>
      <c r="D56" s="529"/>
      <c r="E56" s="529"/>
      <c r="F56" s="529"/>
      <c r="G56" s="529"/>
      <c r="H56" s="529"/>
      <c r="I56" s="529"/>
      <c r="J56" s="529"/>
      <c r="K56" s="529"/>
      <c r="L56" s="529"/>
      <c r="M56" s="529"/>
      <c r="N56" s="529"/>
      <c r="O56" s="529"/>
      <c r="P56" s="529"/>
      <c r="Q56" s="529"/>
      <c r="R56" s="529"/>
      <c r="S56" s="531"/>
      <c r="T56" s="80"/>
      <c r="U56" s="34"/>
      <c r="V56" s="34"/>
      <c r="W56" s="34"/>
      <c r="X56" s="34"/>
      <c r="Y56" s="34"/>
      <c r="Z56" s="34"/>
    </row>
    <row r="57" spans="1:26" ht="12.75" customHeight="1">
      <c r="A57" s="534"/>
      <c r="B57" s="533"/>
      <c r="C57" s="533"/>
      <c r="D57" s="533"/>
      <c r="E57" s="533"/>
      <c r="F57" s="533"/>
      <c r="G57" s="533"/>
      <c r="H57" s="533"/>
      <c r="I57" s="533"/>
      <c r="J57" s="533"/>
      <c r="K57" s="533"/>
      <c r="L57" s="533"/>
      <c r="M57" s="533"/>
      <c r="N57" s="533"/>
      <c r="O57" s="533"/>
      <c r="P57" s="533"/>
      <c r="Q57" s="533"/>
      <c r="R57" s="533"/>
      <c r="S57" s="535"/>
      <c r="T57" s="251"/>
      <c r="U57" s="25"/>
      <c r="V57" s="25"/>
      <c r="W57" s="25"/>
      <c r="X57" s="25"/>
      <c r="Y57" s="25"/>
      <c r="Z57" s="25"/>
    </row>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18" location="'T3.16.3 IA AI Plate'!A1" display="BACK" xr:uid="{00000000-0004-0000-2D00-000000000000}"/>
  </hyperlinks>
  <pageMargins left="0.39370078740157483" right="0.39370078740157483" top="0.39370078740157483" bottom="0.39370078740157483" header="0" footer="0"/>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Z1000"/>
  <sheetViews>
    <sheetView showGridLines="0" workbookViewId="0"/>
  </sheetViews>
  <sheetFormatPr baseColWidth="10" defaultColWidth="12.5703125" defaultRowHeight="15" customHeight="1"/>
  <cols>
    <col min="1" max="1" width="5" customWidth="1"/>
    <col min="2" max="2" width="5.85546875" customWidth="1"/>
    <col min="3" max="23" width="5" customWidth="1"/>
    <col min="24" max="26" width="11.42578125" customWidth="1"/>
  </cols>
  <sheetData>
    <row r="1" spans="1:26" ht="12.75" customHeight="1">
      <c r="A1" s="617" t="s">
        <v>960</v>
      </c>
      <c r="B1" s="598"/>
      <c r="C1" s="598"/>
      <c r="D1" s="598"/>
      <c r="E1" s="598"/>
      <c r="F1" s="598"/>
      <c r="G1" s="598"/>
      <c r="H1" s="598"/>
      <c r="I1" s="598"/>
      <c r="J1" s="598"/>
      <c r="K1" s="598"/>
      <c r="L1" s="598"/>
      <c r="M1" s="598"/>
      <c r="N1" s="598"/>
      <c r="O1" s="598"/>
      <c r="P1" s="598"/>
      <c r="Q1" s="598"/>
      <c r="R1" s="598"/>
      <c r="S1" s="598"/>
      <c r="T1" s="382"/>
      <c r="U1" s="37"/>
      <c r="V1" s="37"/>
      <c r="W1" s="37"/>
      <c r="X1" s="37"/>
      <c r="Y1" s="37"/>
      <c r="Z1" s="37"/>
    </row>
    <row r="2" spans="1:26"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row>
    <row r="3" spans="1:26" ht="12.75" customHeight="1">
      <c r="A3" s="528"/>
      <c r="B3" s="536" t="s">
        <v>961</v>
      </c>
      <c r="C3" s="529"/>
      <c r="D3" s="529"/>
      <c r="E3" s="529"/>
      <c r="F3" s="529"/>
      <c r="G3" s="529"/>
      <c r="H3" s="529"/>
      <c r="I3" s="529"/>
      <c r="J3" s="529"/>
      <c r="K3" s="529"/>
      <c r="L3" s="529"/>
      <c r="M3" s="529"/>
      <c r="N3" s="529"/>
      <c r="O3" s="529"/>
      <c r="P3" s="529"/>
      <c r="Q3" s="529"/>
      <c r="R3" s="529"/>
      <c r="S3" s="531"/>
      <c r="T3" s="80"/>
      <c r="U3" s="155"/>
      <c r="V3" s="34"/>
      <c r="W3" s="34"/>
      <c r="X3" s="34"/>
      <c r="Y3" s="34"/>
      <c r="Z3" s="34"/>
    </row>
    <row r="4" spans="1:26" ht="12.75" customHeight="1">
      <c r="A4" s="528"/>
      <c r="B4" s="536"/>
      <c r="C4" s="529"/>
      <c r="D4" s="529"/>
      <c r="E4" s="529"/>
      <c r="F4" s="529"/>
      <c r="G4" s="529"/>
      <c r="H4" s="529"/>
      <c r="I4" s="529"/>
      <c r="J4" s="529"/>
      <c r="K4" s="529"/>
      <c r="L4" s="529"/>
      <c r="M4" s="529"/>
      <c r="N4" s="529"/>
      <c r="O4" s="529"/>
      <c r="P4" s="529"/>
      <c r="Q4" s="529"/>
      <c r="R4" s="529"/>
      <c r="S4" s="531"/>
      <c r="T4" s="80"/>
      <c r="U4" s="155"/>
      <c r="V4" s="34"/>
      <c r="W4" s="34"/>
      <c r="X4" s="34"/>
      <c r="Y4" s="34"/>
      <c r="Z4" s="34"/>
    </row>
    <row r="5" spans="1:26" ht="12.75" customHeight="1">
      <c r="A5" s="528"/>
      <c r="B5" s="542" t="s">
        <v>962</v>
      </c>
      <c r="C5" s="529"/>
      <c r="D5" s="529"/>
      <c r="E5" s="529"/>
      <c r="F5" s="529"/>
      <c r="G5" s="529"/>
      <c r="H5" s="529"/>
      <c r="I5" s="529"/>
      <c r="J5" s="529"/>
      <c r="K5" s="529"/>
      <c r="L5" s="529"/>
      <c r="M5" s="529"/>
      <c r="N5" s="529"/>
      <c r="O5" s="529"/>
      <c r="P5" s="529"/>
      <c r="Q5" s="529"/>
      <c r="R5" s="529"/>
      <c r="S5" s="531"/>
      <c r="T5" s="80"/>
      <c r="U5" s="155"/>
      <c r="V5" s="34"/>
      <c r="W5" s="34"/>
      <c r="X5" s="34"/>
      <c r="Y5" s="34"/>
      <c r="Z5" s="34"/>
    </row>
    <row r="6" spans="1:26" ht="12.75" customHeight="1">
      <c r="A6" s="528"/>
      <c r="B6" s="536"/>
      <c r="C6" s="529"/>
      <c r="D6" s="529"/>
      <c r="E6" s="529"/>
      <c r="F6" s="529"/>
      <c r="G6" s="529"/>
      <c r="H6" s="529"/>
      <c r="I6" s="529"/>
      <c r="J6" s="529"/>
      <c r="K6" s="529"/>
      <c r="L6" s="529"/>
      <c r="M6" s="529"/>
      <c r="N6" s="529"/>
      <c r="O6" s="529"/>
      <c r="P6" s="529"/>
      <c r="Q6" s="529"/>
      <c r="R6" s="529"/>
      <c r="S6" s="531"/>
      <c r="T6" s="80"/>
      <c r="U6" s="155"/>
      <c r="V6" s="34"/>
      <c r="W6" s="34"/>
      <c r="X6" s="34"/>
      <c r="Y6" s="34"/>
      <c r="Z6" s="34"/>
    </row>
    <row r="7" spans="1:26" ht="12.75" customHeight="1">
      <c r="A7" s="528"/>
      <c r="B7" s="536"/>
      <c r="C7" s="529"/>
      <c r="D7" s="529"/>
      <c r="E7" s="529"/>
      <c r="F7" s="529"/>
      <c r="G7" s="529"/>
      <c r="H7" s="529"/>
      <c r="I7" s="529"/>
      <c r="J7" s="529"/>
      <c r="K7" s="529"/>
      <c r="L7" s="529"/>
      <c r="M7" s="529"/>
      <c r="N7" s="529"/>
      <c r="O7" s="529"/>
      <c r="P7" s="529"/>
      <c r="Q7" s="529"/>
      <c r="R7" s="529"/>
      <c r="S7" s="531"/>
      <c r="T7" s="80"/>
      <c r="U7" s="34"/>
      <c r="V7" s="34"/>
      <c r="W7" s="34"/>
      <c r="X7" s="34"/>
      <c r="Y7" s="34"/>
      <c r="Z7" s="34"/>
    </row>
    <row r="8" spans="1:26" ht="12.75" customHeight="1">
      <c r="A8" s="528"/>
      <c r="B8" s="536" t="s">
        <v>963</v>
      </c>
      <c r="C8" s="529"/>
      <c r="D8" s="529"/>
      <c r="E8" s="529"/>
      <c r="F8" s="529"/>
      <c r="G8" s="529"/>
      <c r="H8" s="529"/>
      <c r="I8" s="529"/>
      <c r="J8" s="529"/>
      <c r="K8" s="529"/>
      <c r="L8" s="529"/>
      <c r="M8" s="529"/>
      <c r="N8" s="529"/>
      <c r="O8" s="529"/>
      <c r="P8" s="529"/>
      <c r="Q8" s="529"/>
      <c r="R8" s="529"/>
      <c r="S8" s="531"/>
      <c r="T8" s="80"/>
      <c r="U8" s="34"/>
      <c r="V8" s="34"/>
      <c r="W8" s="34"/>
      <c r="X8" s="34"/>
      <c r="Y8" s="34"/>
      <c r="Z8" s="34"/>
    </row>
    <row r="9" spans="1:26" ht="12.75" customHeight="1">
      <c r="A9" s="528"/>
      <c r="B9" s="536" t="s">
        <v>964</v>
      </c>
      <c r="C9" s="529"/>
      <c r="D9" s="529"/>
      <c r="E9" s="529"/>
      <c r="F9" s="529"/>
      <c r="G9" s="529"/>
      <c r="H9" s="529"/>
      <c r="I9" s="529"/>
      <c r="J9" s="529"/>
      <c r="K9" s="529"/>
      <c r="L9" s="529"/>
      <c r="M9" s="529"/>
      <c r="N9" s="529"/>
      <c r="O9" s="529"/>
      <c r="P9" s="529"/>
      <c r="Q9" s="529"/>
      <c r="R9" s="529"/>
      <c r="S9" s="531"/>
      <c r="T9" s="80"/>
      <c r="U9" s="34"/>
      <c r="V9" s="34"/>
      <c r="W9" s="34"/>
      <c r="X9" s="34"/>
      <c r="Y9" s="34"/>
      <c r="Z9" s="34"/>
    </row>
    <row r="10" spans="1:26" ht="12.75" customHeight="1">
      <c r="A10" s="528"/>
      <c r="B10" s="536"/>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row>
    <row r="11" spans="1:26" ht="12.75" customHeight="1">
      <c r="A11" s="528"/>
      <c r="B11" s="536" t="s">
        <v>965</v>
      </c>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row>
    <row r="12" spans="1:26" ht="12.75" customHeight="1">
      <c r="A12" s="528"/>
      <c r="B12" s="536" t="s">
        <v>966</v>
      </c>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row>
    <row r="13" spans="1:26" ht="12.75" customHeight="1">
      <c r="A13" s="528"/>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row>
    <row r="14" spans="1:26" ht="12.75" customHeight="1">
      <c r="A14" s="528"/>
      <c r="B14" s="536"/>
      <c r="C14" s="536" t="s">
        <v>967</v>
      </c>
      <c r="D14" s="529"/>
      <c r="E14" s="529"/>
      <c r="F14" s="529"/>
      <c r="G14" s="529"/>
      <c r="H14" s="529"/>
      <c r="I14" s="529"/>
      <c r="J14" s="529"/>
      <c r="K14" s="529"/>
      <c r="L14" s="529"/>
      <c r="M14" s="529"/>
      <c r="N14" s="529"/>
      <c r="O14" s="529"/>
      <c r="P14" s="529"/>
      <c r="Q14" s="529"/>
      <c r="R14" s="529"/>
      <c r="S14" s="531"/>
      <c r="T14" s="80"/>
      <c r="U14" s="34"/>
      <c r="V14" s="34"/>
      <c r="W14" s="34"/>
      <c r="X14" s="34"/>
      <c r="Y14" s="34"/>
      <c r="Z14" s="34"/>
    </row>
    <row r="15" spans="1:26" ht="12.75" customHeight="1">
      <c r="A15" s="528"/>
      <c r="B15" s="536"/>
      <c r="C15" s="536" t="s">
        <v>968</v>
      </c>
      <c r="D15" s="529"/>
      <c r="E15" s="529"/>
      <c r="F15" s="529"/>
      <c r="G15" s="529"/>
      <c r="H15" s="529"/>
      <c r="I15" s="529"/>
      <c r="J15" s="529"/>
      <c r="K15" s="529"/>
      <c r="L15" s="529"/>
      <c r="M15" s="529"/>
      <c r="N15" s="529"/>
      <c r="O15" s="529"/>
      <c r="P15" s="529"/>
      <c r="Q15" s="529"/>
      <c r="R15" s="529"/>
      <c r="S15" s="531"/>
      <c r="T15" s="80"/>
      <c r="U15" s="34"/>
      <c r="V15" s="34"/>
      <c r="W15" s="34"/>
      <c r="X15" s="34"/>
      <c r="Y15" s="34"/>
      <c r="Z15" s="34"/>
    </row>
    <row r="16" spans="1:26" ht="12.75" customHeight="1">
      <c r="A16" s="528"/>
      <c r="B16" s="155"/>
      <c r="C16" s="536" t="s">
        <v>969</v>
      </c>
      <c r="D16" s="529"/>
      <c r="E16" s="529"/>
      <c r="F16" s="529"/>
      <c r="G16" s="529"/>
      <c r="H16" s="529"/>
      <c r="I16" s="529"/>
      <c r="J16" s="529"/>
      <c r="K16" s="529"/>
      <c r="L16" s="529"/>
      <c r="M16" s="529"/>
      <c r="N16" s="529"/>
      <c r="O16" s="529"/>
      <c r="P16" s="529"/>
      <c r="Q16" s="529"/>
      <c r="R16" s="529"/>
      <c r="S16" s="531"/>
      <c r="T16" s="80"/>
      <c r="U16" s="34"/>
      <c r="V16" s="34"/>
      <c r="W16" s="34"/>
      <c r="X16" s="34"/>
      <c r="Y16" s="34"/>
      <c r="Z16" s="34"/>
    </row>
    <row r="17" spans="1:26" ht="12.75" customHeight="1">
      <c r="A17" s="528"/>
      <c r="B17" s="155"/>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row>
    <row r="18" spans="1:26" ht="12.75" customHeight="1">
      <c r="A18" s="528"/>
      <c r="B18" s="540" t="s">
        <v>970</v>
      </c>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row>
    <row r="19" spans="1:26" ht="12.75" customHeight="1">
      <c r="A19" s="528"/>
      <c r="B19" s="536" t="s">
        <v>971</v>
      </c>
      <c r="C19" s="529"/>
      <c r="D19" s="529"/>
      <c r="E19" s="529"/>
      <c r="F19" s="529"/>
      <c r="G19" s="529"/>
      <c r="H19" s="529"/>
      <c r="I19" s="529"/>
      <c r="J19" s="529"/>
      <c r="K19" s="529"/>
      <c r="L19" s="529"/>
      <c r="M19" s="529"/>
      <c r="N19" s="529"/>
      <c r="O19" s="529"/>
      <c r="P19" s="529"/>
      <c r="Q19" s="529"/>
      <c r="R19" s="529"/>
      <c r="S19" s="531"/>
      <c r="T19" s="80"/>
      <c r="U19" s="34"/>
      <c r="V19" s="34"/>
      <c r="W19" s="34"/>
      <c r="X19" s="34"/>
      <c r="Y19" s="34"/>
      <c r="Z19" s="34"/>
    </row>
    <row r="20" spans="1:26" ht="12.75" customHeight="1">
      <c r="A20" s="528"/>
      <c r="B20" s="536"/>
      <c r="C20" s="529"/>
      <c r="D20" s="529"/>
      <c r="E20" s="529"/>
      <c r="F20" s="529"/>
      <c r="G20" s="529"/>
      <c r="H20" s="529"/>
      <c r="I20" s="529"/>
      <c r="J20" s="529"/>
      <c r="K20" s="529"/>
      <c r="L20" s="529"/>
      <c r="M20" s="529"/>
      <c r="N20" s="529"/>
      <c r="O20" s="529"/>
      <c r="P20" s="529"/>
      <c r="Q20" s="529"/>
      <c r="R20" s="529"/>
      <c r="S20" s="531"/>
      <c r="T20" s="80"/>
      <c r="U20" s="34"/>
      <c r="V20" s="34"/>
      <c r="W20" s="34"/>
      <c r="X20" s="34"/>
      <c r="Y20" s="34"/>
      <c r="Z20" s="34"/>
    </row>
    <row r="21" spans="1:26" ht="12.75" customHeight="1">
      <c r="A21" s="528"/>
      <c r="B21" s="536" t="s">
        <v>972</v>
      </c>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row>
    <row r="22" spans="1:26" ht="12.75" customHeight="1">
      <c r="A22" s="528"/>
      <c r="C22" s="529"/>
      <c r="D22" s="529"/>
      <c r="E22" s="529"/>
      <c r="F22" s="529"/>
      <c r="G22" s="529"/>
      <c r="H22" s="529"/>
      <c r="I22" s="529"/>
      <c r="J22" s="529"/>
      <c r="K22" s="529"/>
      <c r="L22" s="529"/>
      <c r="M22" s="529"/>
      <c r="N22" s="529"/>
      <c r="O22" s="529"/>
      <c r="P22" s="529"/>
      <c r="Q22" s="529"/>
      <c r="R22" s="529"/>
      <c r="S22" s="531"/>
      <c r="T22" s="80"/>
      <c r="U22" s="34"/>
      <c r="V22" s="34"/>
      <c r="W22" s="34"/>
      <c r="X22" s="34"/>
      <c r="Y22" s="34"/>
      <c r="Z22" s="34"/>
    </row>
    <row r="23" spans="1:26" ht="12.75" customHeight="1">
      <c r="A23" s="528"/>
      <c r="B23" s="536"/>
      <c r="C23" s="529"/>
      <c r="D23" s="529"/>
      <c r="E23" s="529"/>
      <c r="F23" s="529"/>
      <c r="G23" s="529"/>
      <c r="H23" s="529"/>
      <c r="I23" s="529"/>
      <c r="J23" s="529"/>
      <c r="K23" s="529"/>
      <c r="L23" s="529"/>
      <c r="M23" s="529"/>
      <c r="N23" s="529"/>
      <c r="O23" s="529"/>
      <c r="P23" s="529"/>
      <c r="Q23" s="529"/>
      <c r="R23" s="529"/>
      <c r="S23" s="531"/>
      <c r="T23" s="80"/>
      <c r="U23" s="34"/>
      <c r="V23" s="34"/>
      <c r="W23" s="34"/>
      <c r="X23" s="34"/>
      <c r="Y23" s="34"/>
      <c r="Z23" s="34"/>
    </row>
    <row r="24" spans="1:26" ht="12.75" customHeight="1">
      <c r="A24" s="528"/>
      <c r="B24" s="536"/>
      <c r="C24" s="529"/>
      <c r="D24" s="529"/>
      <c r="E24" s="529"/>
      <c r="F24" s="529"/>
      <c r="G24" s="529"/>
      <c r="H24" s="529"/>
      <c r="I24" s="529"/>
      <c r="J24" s="529"/>
      <c r="K24" s="529"/>
      <c r="L24" s="529"/>
      <c r="M24" s="529"/>
      <c r="N24" s="529"/>
      <c r="O24" s="529"/>
      <c r="P24" s="529"/>
      <c r="Q24" s="529"/>
      <c r="R24" s="529"/>
      <c r="S24" s="531"/>
      <c r="T24" s="80"/>
      <c r="U24" s="34"/>
      <c r="V24" s="34"/>
      <c r="W24" s="34"/>
      <c r="X24" s="34"/>
      <c r="Y24" s="34"/>
      <c r="Z24" s="34"/>
    </row>
    <row r="25" spans="1:26" ht="12.75" customHeight="1">
      <c r="A25" s="528"/>
      <c r="B25" s="530" t="s">
        <v>884</v>
      </c>
      <c r="C25" s="529"/>
      <c r="D25" s="529"/>
      <c r="E25" s="529"/>
      <c r="F25" s="529"/>
      <c r="G25" s="529"/>
      <c r="H25" s="529"/>
      <c r="I25" s="529"/>
      <c r="J25" s="529"/>
      <c r="K25" s="529"/>
      <c r="L25" s="529"/>
      <c r="M25" s="529"/>
      <c r="N25" s="529"/>
      <c r="O25" s="529"/>
      <c r="P25" s="529"/>
      <c r="Q25" s="529"/>
      <c r="R25" s="529"/>
      <c r="S25" s="531"/>
      <c r="T25" s="80"/>
      <c r="U25" s="34"/>
      <c r="V25" s="34"/>
      <c r="W25" s="34"/>
      <c r="X25" s="34"/>
      <c r="Y25" s="34"/>
      <c r="Z25" s="34"/>
    </row>
    <row r="26" spans="1:26" ht="12.75" customHeight="1">
      <c r="A26" s="528"/>
      <c r="B26" s="155"/>
      <c r="C26" s="529"/>
      <c r="D26" s="529"/>
      <c r="E26" s="529"/>
      <c r="F26" s="529"/>
      <c r="G26" s="529"/>
      <c r="H26" s="529"/>
      <c r="I26" s="529"/>
      <c r="J26" s="529"/>
      <c r="K26" s="529"/>
      <c r="L26" s="529"/>
      <c r="M26" s="529"/>
      <c r="N26" s="529"/>
      <c r="O26" s="529"/>
      <c r="P26" s="529"/>
      <c r="Q26" s="529"/>
      <c r="R26" s="529"/>
      <c r="S26" s="531"/>
      <c r="T26" s="80"/>
      <c r="U26" s="34"/>
      <c r="V26" s="34"/>
      <c r="W26" s="34"/>
      <c r="X26" s="34"/>
      <c r="Y26" s="34"/>
      <c r="Z26" s="34"/>
    </row>
    <row r="27" spans="1:26" ht="12.75" customHeight="1">
      <c r="A27" s="528"/>
      <c r="B27" s="155"/>
      <c r="C27" s="529"/>
      <c r="D27" s="529"/>
      <c r="E27" s="529"/>
      <c r="F27" s="529"/>
      <c r="G27" s="529"/>
      <c r="H27" s="529"/>
      <c r="I27" s="529"/>
      <c r="J27" s="529"/>
      <c r="K27" s="529"/>
      <c r="L27" s="529"/>
      <c r="M27" s="529"/>
      <c r="N27" s="529"/>
      <c r="O27" s="529"/>
      <c r="P27" s="529"/>
      <c r="Q27" s="529"/>
      <c r="R27" s="529"/>
      <c r="S27" s="531"/>
      <c r="T27" s="80"/>
      <c r="U27" s="34"/>
      <c r="V27" s="34"/>
      <c r="W27" s="34"/>
      <c r="X27" s="34"/>
      <c r="Y27" s="34"/>
      <c r="Z27" s="34"/>
    </row>
    <row r="28" spans="1:26" ht="12.75" customHeight="1">
      <c r="A28" s="528"/>
      <c r="B28" s="536"/>
      <c r="C28" s="529"/>
      <c r="D28" s="529"/>
      <c r="E28" s="529"/>
      <c r="F28" s="529"/>
      <c r="G28" s="529"/>
      <c r="H28" s="529"/>
      <c r="I28" s="529"/>
      <c r="J28" s="529"/>
      <c r="K28" s="529"/>
      <c r="L28" s="529"/>
      <c r="M28" s="529"/>
      <c r="N28" s="529"/>
      <c r="O28" s="529"/>
      <c r="P28" s="529"/>
      <c r="Q28" s="529"/>
      <c r="R28" s="529"/>
      <c r="S28" s="531"/>
      <c r="T28" s="80"/>
      <c r="U28" s="34"/>
      <c r="V28" s="34"/>
      <c r="W28" s="34"/>
      <c r="X28" s="34"/>
      <c r="Y28" s="34"/>
      <c r="Z28" s="34"/>
    </row>
    <row r="29" spans="1:26" ht="12.75" customHeight="1">
      <c r="A29" s="528"/>
      <c r="B29" s="536"/>
      <c r="C29" s="536"/>
      <c r="D29" s="529"/>
      <c r="E29" s="529"/>
      <c r="F29" s="529"/>
      <c r="G29" s="529"/>
      <c r="H29" s="529"/>
      <c r="I29" s="529"/>
      <c r="J29" s="529"/>
      <c r="K29" s="529"/>
      <c r="L29" s="529"/>
      <c r="M29" s="529"/>
      <c r="N29" s="529"/>
      <c r="O29" s="529"/>
      <c r="P29" s="529"/>
      <c r="Q29" s="529"/>
      <c r="R29" s="529"/>
      <c r="S29" s="531"/>
      <c r="T29" s="80"/>
      <c r="U29" s="34"/>
      <c r="V29" s="34"/>
      <c r="W29" s="34"/>
      <c r="X29" s="34"/>
      <c r="Y29" s="34"/>
      <c r="Z29" s="34"/>
    </row>
    <row r="30" spans="1:26" ht="12.75" customHeight="1">
      <c r="A30" s="528"/>
      <c r="B30" s="529"/>
      <c r="C30" s="529"/>
      <c r="D30" s="529"/>
      <c r="E30" s="529"/>
      <c r="F30" s="529"/>
      <c r="G30" s="529"/>
      <c r="H30" s="529"/>
      <c r="I30" s="529"/>
      <c r="J30" s="529"/>
      <c r="K30" s="529"/>
      <c r="L30" s="529"/>
      <c r="M30" s="529"/>
      <c r="N30" s="529"/>
      <c r="O30" s="529"/>
      <c r="P30" s="529"/>
      <c r="Q30" s="529"/>
      <c r="R30" s="529"/>
      <c r="S30" s="531"/>
      <c r="T30" s="80"/>
      <c r="U30" s="34"/>
      <c r="V30" s="34"/>
      <c r="W30" s="34"/>
      <c r="X30" s="34"/>
      <c r="Y30" s="34"/>
      <c r="Z30" s="34"/>
    </row>
    <row r="31" spans="1:26" ht="12.75" customHeight="1">
      <c r="A31" s="528"/>
      <c r="B31" s="529"/>
      <c r="C31" s="529"/>
      <c r="D31" s="529"/>
      <c r="E31" s="529"/>
      <c r="F31" s="529"/>
      <c r="G31" s="529"/>
      <c r="H31" s="529"/>
      <c r="I31" s="529"/>
      <c r="J31" s="529"/>
      <c r="K31" s="529"/>
      <c r="L31" s="529"/>
      <c r="M31" s="529"/>
      <c r="N31" s="529"/>
      <c r="O31" s="529"/>
      <c r="P31" s="529"/>
      <c r="Q31" s="529"/>
      <c r="R31" s="529"/>
      <c r="S31" s="531"/>
      <c r="T31" s="80"/>
      <c r="U31" s="34"/>
      <c r="V31" s="34"/>
      <c r="W31" s="34"/>
      <c r="X31" s="34"/>
      <c r="Y31" s="34"/>
      <c r="Z31" s="34"/>
    </row>
    <row r="32" spans="1:26" ht="12.75" customHeight="1">
      <c r="A32" s="528"/>
      <c r="B32" s="529"/>
      <c r="C32" s="529"/>
      <c r="D32" s="529"/>
      <c r="E32" s="529"/>
      <c r="F32" s="529"/>
      <c r="G32" s="529"/>
      <c r="H32" s="529"/>
      <c r="I32" s="529"/>
      <c r="J32" s="529"/>
      <c r="K32" s="529"/>
      <c r="L32" s="529"/>
      <c r="M32" s="529"/>
      <c r="N32" s="529"/>
      <c r="O32" s="529"/>
      <c r="P32" s="529"/>
      <c r="Q32" s="529"/>
      <c r="R32" s="529"/>
      <c r="S32" s="531"/>
      <c r="T32" s="80"/>
      <c r="U32" s="34"/>
      <c r="V32" s="34"/>
      <c r="W32" s="34"/>
      <c r="X32" s="34"/>
      <c r="Y32" s="34"/>
      <c r="Z32" s="34"/>
    </row>
    <row r="33" spans="1:26"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row>
    <row r="34" spans="1:26"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row>
    <row r="35" spans="1:26"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row>
    <row r="36" spans="1:26" ht="12.75" customHeight="1">
      <c r="A36" s="528"/>
      <c r="B36" s="529"/>
      <c r="C36" s="529"/>
      <c r="D36" s="529"/>
      <c r="E36" s="529"/>
      <c r="F36" s="529"/>
      <c r="G36" s="529"/>
      <c r="H36" s="529"/>
      <c r="I36" s="529"/>
      <c r="J36" s="529"/>
      <c r="K36" s="529"/>
      <c r="L36" s="529"/>
      <c r="M36" s="529"/>
      <c r="N36" s="529"/>
      <c r="O36" s="529"/>
      <c r="P36" s="529"/>
      <c r="Q36" s="529"/>
      <c r="R36" s="529"/>
      <c r="S36" s="531"/>
      <c r="T36" s="80"/>
      <c r="U36" s="34"/>
      <c r="V36" s="34"/>
      <c r="W36" s="34"/>
      <c r="X36" s="34"/>
      <c r="Y36" s="34"/>
      <c r="Z36" s="34"/>
    </row>
    <row r="37" spans="1:26" ht="12.75" customHeight="1">
      <c r="A37" s="528"/>
      <c r="B37" s="529"/>
      <c r="C37" s="529"/>
      <c r="D37" s="529"/>
      <c r="E37" s="529"/>
      <c r="F37" s="529"/>
      <c r="G37" s="529"/>
      <c r="H37" s="529"/>
      <c r="I37" s="529"/>
      <c r="J37" s="529"/>
      <c r="K37" s="529"/>
      <c r="L37" s="529"/>
      <c r="M37" s="529"/>
      <c r="N37" s="529"/>
      <c r="O37" s="529"/>
      <c r="P37" s="529"/>
      <c r="Q37" s="529"/>
      <c r="R37" s="529"/>
      <c r="S37" s="531"/>
      <c r="T37" s="80"/>
      <c r="U37" s="34"/>
      <c r="V37" s="34"/>
      <c r="W37" s="34"/>
      <c r="X37" s="34"/>
      <c r="Y37" s="34"/>
      <c r="Z37" s="34"/>
    </row>
    <row r="38" spans="1:26" ht="12.75" customHeight="1">
      <c r="A38" s="528"/>
      <c r="B38" s="529"/>
      <c r="C38" s="529"/>
      <c r="D38" s="529"/>
      <c r="E38" s="529"/>
      <c r="F38" s="529"/>
      <c r="G38" s="529"/>
      <c r="H38" s="529"/>
      <c r="I38" s="529"/>
      <c r="J38" s="529"/>
      <c r="K38" s="529"/>
      <c r="L38" s="529"/>
      <c r="M38" s="529"/>
      <c r="N38" s="529"/>
      <c r="O38" s="529"/>
      <c r="P38" s="529"/>
      <c r="Q38" s="529"/>
      <c r="R38" s="529"/>
      <c r="S38" s="531"/>
      <c r="T38" s="80"/>
      <c r="U38" s="34"/>
      <c r="V38" s="34"/>
      <c r="W38" s="34"/>
      <c r="X38" s="34"/>
      <c r="Y38" s="34"/>
      <c r="Z38" s="34"/>
    </row>
    <row r="39" spans="1:26"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row>
    <row r="40" spans="1:26" ht="12.75" customHeight="1">
      <c r="A40" s="528"/>
      <c r="B40" s="529"/>
      <c r="C40" s="529"/>
      <c r="D40" s="529"/>
      <c r="E40" s="529"/>
      <c r="F40" s="529"/>
      <c r="G40" s="529"/>
      <c r="H40" s="529"/>
      <c r="I40" s="529"/>
      <c r="J40" s="529"/>
      <c r="K40" s="529"/>
      <c r="L40" s="529"/>
      <c r="M40" s="529"/>
      <c r="N40" s="529"/>
      <c r="O40" s="529"/>
      <c r="P40" s="529"/>
      <c r="Q40" s="529"/>
      <c r="R40" s="529"/>
      <c r="S40" s="531"/>
      <c r="T40" s="80"/>
      <c r="U40" s="34"/>
      <c r="V40" s="34"/>
      <c r="W40" s="34"/>
      <c r="X40" s="34"/>
      <c r="Y40" s="34"/>
      <c r="Z40" s="34"/>
    </row>
    <row r="41" spans="1:26"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row>
    <row r="42" spans="1:26" ht="12.75" customHeight="1">
      <c r="A42" s="528"/>
      <c r="B42" s="529"/>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row>
    <row r="43" spans="1:26" ht="12.75" customHeight="1">
      <c r="A43" s="528"/>
      <c r="B43" s="529"/>
      <c r="C43" s="529"/>
      <c r="D43" s="529"/>
      <c r="E43" s="529"/>
      <c r="F43" s="529"/>
      <c r="G43" s="529"/>
      <c r="H43" s="529"/>
      <c r="I43" s="529"/>
      <c r="J43" s="529"/>
      <c r="K43" s="529"/>
      <c r="L43" s="529"/>
      <c r="M43" s="529"/>
      <c r="N43" s="529"/>
      <c r="O43" s="529"/>
      <c r="P43" s="529"/>
      <c r="Q43" s="529"/>
      <c r="R43" s="529"/>
      <c r="S43" s="531"/>
      <c r="T43" s="80"/>
      <c r="U43" s="34"/>
      <c r="V43" s="34"/>
      <c r="W43" s="34"/>
      <c r="X43" s="34"/>
      <c r="Y43" s="34"/>
      <c r="Z43" s="34"/>
    </row>
    <row r="44" spans="1:26" ht="12.75" customHeight="1">
      <c r="A44" s="528"/>
      <c r="B44" s="529"/>
      <c r="C44" s="529"/>
      <c r="D44" s="529"/>
      <c r="E44" s="529"/>
      <c r="F44" s="529"/>
      <c r="G44" s="529"/>
      <c r="H44" s="529"/>
      <c r="I44" s="529"/>
      <c r="J44" s="529"/>
      <c r="K44" s="529"/>
      <c r="L44" s="529"/>
      <c r="M44" s="529"/>
      <c r="N44" s="529"/>
      <c r="O44" s="529"/>
      <c r="P44" s="529"/>
      <c r="Q44" s="529"/>
      <c r="R44" s="529"/>
      <c r="S44" s="531"/>
      <c r="T44" s="80"/>
      <c r="U44" s="34"/>
      <c r="V44" s="34"/>
      <c r="W44" s="34"/>
      <c r="X44" s="34"/>
      <c r="Y44" s="34"/>
      <c r="Z44" s="34"/>
    </row>
    <row r="45" spans="1:26" ht="12.75" customHeight="1">
      <c r="A45" s="528"/>
      <c r="B45" s="529"/>
      <c r="C45" s="529"/>
      <c r="D45" s="529"/>
      <c r="E45" s="529"/>
      <c r="F45" s="529"/>
      <c r="G45" s="529"/>
      <c r="H45" s="529"/>
      <c r="I45" s="529"/>
      <c r="J45" s="529"/>
      <c r="K45" s="529"/>
      <c r="L45" s="529"/>
      <c r="M45" s="529"/>
      <c r="N45" s="529"/>
      <c r="O45" s="529"/>
      <c r="P45" s="529"/>
      <c r="Q45" s="529"/>
      <c r="R45" s="529"/>
      <c r="S45" s="531"/>
      <c r="T45" s="80"/>
      <c r="U45" s="34"/>
      <c r="V45" s="34"/>
      <c r="W45" s="34"/>
      <c r="X45" s="34"/>
      <c r="Y45" s="34"/>
      <c r="Z45" s="34"/>
    </row>
    <row r="46" spans="1:26" ht="12.75" customHeight="1">
      <c r="A46" s="528"/>
      <c r="B46" s="529"/>
      <c r="C46" s="529"/>
      <c r="D46" s="529"/>
      <c r="E46" s="529"/>
      <c r="F46" s="529"/>
      <c r="G46" s="529"/>
      <c r="H46" s="529"/>
      <c r="I46" s="529"/>
      <c r="J46" s="529"/>
      <c r="K46" s="529"/>
      <c r="L46" s="529"/>
      <c r="M46" s="529"/>
      <c r="N46" s="529"/>
      <c r="O46" s="529"/>
      <c r="P46" s="529"/>
      <c r="Q46" s="529"/>
      <c r="R46" s="529"/>
      <c r="S46" s="531"/>
      <c r="T46" s="80"/>
      <c r="U46" s="34"/>
      <c r="V46" s="34"/>
      <c r="W46" s="34"/>
      <c r="X46" s="34"/>
      <c r="Y46" s="34"/>
      <c r="Z46" s="34"/>
    </row>
    <row r="47" spans="1:26"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row>
    <row r="48" spans="1:26"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row>
    <row r="49" spans="1:26" ht="12.75" customHeight="1">
      <c r="A49" s="528"/>
      <c r="B49" s="529"/>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row>
    <row r="50" spans="1:26" ht="12.75" customHeight="1">
      <c r="A50" s="528"/>
      <c r="B50" s="529"/>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row>
    <row r="51" spans="1:26"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row>
    <row r="52" spans="1:26" ht="12.75" customHeight="1">
      <c r="A52" s="528"/>
      <c r="B52" s="536"/>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row>
    <row r="53" spans="1:26" ht="12.75" customHeight="1">
      <c r="A53" s="528"/>
      <c r="B53" s="536"/>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row>
    <row r="54" spans="1:26" ht="12.75" customHeight="1">
      <c r="A54" s="534"/>
      <c r="B54" s="533"/>
      <c r="C54" s="533"/>
      <c r="D54" s="533"/>
      <c r="E54" s="533"/>
      <c r="F54" s="533"/>
      <c r="G54" s="533"/>
      <c r="H54" s="533"/>
      <c r="I54" s="533"/>
      <c r="J54" s="533"/>
      <c r="K54" s="533"/>
      <c r="L54" s="533"/>
      <c r="M54" s="533"/>
      <c r="N54" s="533"/>
      <c r="O54" s="533"/>
      <c r="P54" s="533"/>
      <c r="Q54" s="533"/>
      <c r="R54" s="533"/>
      <c r="S54" s="535"/>
      <c r="T54" s="251"/>
      <c r="U54" s="25"/>
      <c r="V54" s="25"/>
      <c r="W54" s="25"/>
      <c r="X54" s="25"/>
      <c r="Y54" s="25"/>
      <c r="Z54" s="25"/>
    </row>
    <row r="55" spans="1:26" ht="12.75" customHeight="1"/>
    <row r="56" spans="1:26" ht="12.75" customHeight="1"/>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B25" location="'T3.14 T3.5 SIS'!A1" display="BACK" xr:uid="{00000000-0004-0000-2E00-000000000000}"/>
  </hyperlinks>
  <pageMargins left="0.39370078740157483" right="0.39370078740157483" top="0.39370078740157483" bottom="0.39370078740157483" header="0" footer="0"/>
  <pageSetup paperSize="9" orientation="portrait"/>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Z1000"/>
  <sheetViews>
    <sheetView showGridLines="0" workbookViewId="0"/>
  </sheetViews>
  <sheetFormatPr baseColWidth="10" defaultColWidth="12.5703125" defaultRowHeight="15" customHeight="1"/>
  <cols>
    <col min="1" max="2" width="5" customWidth="1"/>
    <col min="3" max="3" width="6.42578125" customWidth="1"/>
    <col min="4" max="23" width="5" customWidth="1"/>
    <col min="24" max="26" width="11.42578125" customWidth="1"/>
  </cols>
  <sheetData>
    <row r="1" spans="1:26" ht="12.75" customHeight="1">
      <c r="A1" s="617" t="s">
        <v>973</v>
      </c>
      <c r="B1" s="598"/>
      <c r="C1" s="598"/>
      <c r="D1" s="598"/>
      <c r="E1" s="598"/>
      <c r="F1" s="598"/>
      <c r="G1" s="598"/>
      <c r="H1" s="598"/>
      <c r="I1" s="598"/>
      <c r="J1" s="598"/>
      <c r="K1" s="598"/>
      <c r="L1" s="598"/>
      <c r="M1" s="598"/>
      <c r="N1" s="598"/>
      <c r="O1" s="598"/>
      <c r="P1" s="598"/>
      <c r="Q1" s="598"/>
      <c r="R1" s="598"/>
      <c r="S1" s="598"/>
      <c r="T1" s="382"/>
      <c r="U1" s="37"/>
      <c r="V1" s="37"/>
      <c r="W1" s="37"/>
      <c r="X1" s="37"/>
      <c r="Y1" s="37"/>
      <c r="Z1" s="37"/>
    </row>
    <row r="2" spans="1:26"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row>
    <row r="3" spans="1:26" ht="12.75" customHeight="1">
      <c r="A3" s="528"/>
      <c r="B3" s="155" t="s">
        <v>974</v>
      </c>
      <c r="C3" s="529"/>
      <c r="D3" s="529"/>
      <c r="E3" s="529"/>
      <c r="F3" s="529"/>
      <c r="G3" s="529"/>
      <c r="H3" s="529"/>
      <c r="I3" s="529"/>
      <c r="J3" s="529"/>
      <c r="K3" s="529"/>
      <c r="L3" s="529"/>
      <c r="M3" s="529"/>
      <c r="N3" s="529"/>
      <c r="O3" s="529"/>
      <c r="P3" s="529"/>
      <c r="Q3" s="529"/>
      <c r="R3" s="529"/>
      <c r="S3" s="531"/>
      <c r="T3" s="80"/>
      <c r="U3" s="155"/>
      <c r="V3" s="34"/>
      <c r="W3" s="34"/>
      <c r="X3" s="34"/>
      <c r="Y3" s="34"/>
      <c r="Z3" s="34"/>
    </row>
    <row r="4" spans="1:26" ht="12.75" customHeight="1">
      <c r="A4" s="528"/>
      <c r="B4" s="536" t="s">
        <v>975</v>
      </c>
      <c r="C4" s="529"/>
      <c r="D4" s="529"/>
      <c r="E4" s="529"/>
      <c r="F4" s="529"/>
      <c r="G4" s="529"/>
      <c r="H4" s="529"/>
      <c r="I4" s="529"/>
      <c r="J4" s="529"/>
      <c r="K4" s="529"/>
      <c r="L4" s="529"/>
      <c r="M4" s="529"/>
      <c r="N4" s="529"/>
      <c r="O4" s="529"/>
      <c r="P4" s="529"/>
      <c r="Q4" s="529"/>
      <c r="R4" s="529"/>
      <c r="S4" s="531"/>
      <c r="T4" s="80"/>
      <c r="U4" s="155"/>
      <c r="V4" s="34"/>
      <c r="W4" s="34"/>
      <c r="X4" s="34"/>
      <c r="Y4" s="34"/>
      <c r="Z4" s="34"/>
    </row>
    <row r="5" spans="1:26" ht="12.75" customHeight="1">
      <c r="A5" s="528"/>
      <c r="B5" s="67" t="s">
        <v>976</v>
      </c>
      <c r="C5" s="529"/>
      <c r="D5" s="529"/>
      <c r="E5" s="529"/>
      <c r="F5" s="529"/>
      <c r="G5" s="529"/>
      <c r="H5" s="529"/>
      <c r="I5" s="529"/>
      <c r="J5" s="529"/>
      <c r="K5" s="529"/>
      <c r="L5" s="529"/>
      <c r="M5" s="529"/>
      <c r="N5" s="529"/>
      <c r="O5" s="529"/>
      <c r="P5" s="529"/>
      <c r="Q5" s="529"/>
      <c r="R5" s="529"/>
      <c r="S5" s="531"/>
      <c r="T5" s="80"/>
      <c r="U5" s="155"/>
      <c r="V5" s="34"/>
      <c r="W5" s="34"/>
      <c r="X5" s="34"/>
      <c r="Y5" s="34"/>
      <c r="Z5" s="34"/>
    </row>
    <row r="6" spans="1:26" ht="12.75" customHeight="1">
      <c r="A6" s="528"/>
      <c r="C6" s="529"/>
      <c r="D6" s="529"/>
      <c r="E6" s="529"/>
      <c r="F6" s="529"/>
      <c r="G6" s="529"/>
      <c r="H6" s="529"/>
      <c r="I6" s="529"/>
      <c r="J6" s="529"/>
      <c r="K6" s="529"/>
      <c r="L6" s="529"/>
      <c r="M6" s="529"/>
      <c r="N6" s="529"/>
      <c r="O6" s="529"/>
      <c r="P6" s="529"/>
      <c r="Q6" s="529"/>
      <c r="R6" s="529"/>
      <c r="S6" s="531"/>
      <c r="T6" s="80"/>
      <c r="U6" s="34"/>
      <c r="V6" s="34"/>
      <c r="W6" s="34"/>
      <c r="X6" s="34"/>
      <c r="Y6" s="34"/>
      <c r="Z6" s="34"/>
    </row>
    <row r="7" spans="1:26" ht="12.75" customHeight="1">
      <c r="A7" s="528"/>
      <c r="B7" s="543" t="s">
        <v>977</v>
      </c>
      <c r="C7" s="529"/>
      <c r="D7" s="529"/>
      <c r="E7" s="529"/>
      <c r="F7" s="529"/>
      <c r="G7" s="529"/>
      <c r="H7" s="529"/>
      <c r="I7" s="529"/>
      <c r="J7" s="529"/>
      <c r="K7" s="529"/>
      <c r="L7" s="529"/>
      <c r="M7" s="529"/>
      <c r="N7" s="529"/>
      <c r="O7" s="529"/>
      <c r="P7" s="529"/>
      <c r="Q7" s="529"/>
      <c r="R7" s="529"/>
      <c r="S7" s="531"/>
      <c r="T7" s="80"/>
      <c r="U7" s="34"/>
      <c r="V7" s="34"/>
      <c r="W7" s="34"/>
      <c r="X7" s="34"/>
      <c r="Y7" s="34"/>
      <c r="Z7" s="34"/>
    </row>
    <row r="8" spans="1:26" ht="12.75" customHeight="1">
      <c r="A8" s="528"/>
      <c r="C8" s="529"/>
      <c r="D8" s="529"/>
      <c r="E8" s="529"/>
      <c r="F8" s="529"/>
      <c r="G8" s="529"/>
      <c r="H8" s="529"/>
      <c r="I8" s="529"/>
      <c r="J8" s="529"/>
      <c r="K8" s="529"/>
      <c r="L8" s="529"/>
      <c r="M8" s="529"/>
      <c r="N8" s="529"/>
      <c r="O8" s="529"/>
      <c r="P8" s="529"/>
      <c r="Q8" s="529"/>
      <c r="R8" s="529"/>
      <c r="S8" s="531"/>
      <c r="T8" s="80"/>
      <c r="U8" s="34"/>
      <c r="V8" s="34"/>
      <c r="W8" s="34"/>
      <c r="X8" s="34"/>
      <c r="Y8" s="34"/>
      <c r="Z8" s="34"/>
    </row>
    <row r="9" spans="1:26" ht="12.75" customHeight="1">
      <c r="A9" s="528"/>
      <c r="B9" s="536" t="s">
        <v>978</v>
      </c>
      <c r="C9" s="529"/>
      <c r="D9" s="529"/>
      <c r="E9" s="529"/>
      <c r="F9" s="529"/>
      <c r="G9" s="529"/>
      <c r="H9" s="529"/>
      <c r="I9" s="529"/>
      <c r="J9" s="529"/>
      <c r="K9" s="529"/>
      <c r="L9" s="529"/>
      <c r="M9" s="529"/>
      <c r="N9" s="529"/>
      <c r="O9" s="529"/>
      <c r="P9" s="529"/>
      <c r="Q9" s="529"/>
      <c r="R9" s="529"/>
      <c r="S9" s="531"/>
      <c r="T9" s="80"/>
      <c r="U9" s="34"/>
      <c r="V9" s="34"/>
      <c r="W9" s="34"/>
      <c r="X9" s="34"/>
      <c r="Y9" s="34"/>
      <c r="Z9" s="34"/>
    </row>
    <row r="10" spans="1:26" ht="12.75" customHeight="1">
      <c r="A10" s="528"/>
      <c r="B10" s="536" t="s">
        <v>979</v>
      </c>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row>
    <row r="11" spans="1:26" ht="12.75" customHeight="1">
      <c r="A11" s="528"/>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row>
    <row r="12" spans="1:26" ht="12.75" customHeight="1">
      <c r="A12" s="528"/>
      <c r="B12" s="536" t="s">
        <v>980</v>
      </c>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row>
    <row r="13" spans="1:26" ht="12.75" customHeight="1">
      <c r="A13" s="528"/>
      <c r="B13" s="536"/>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row>
    <row r="14" spans="1:26" ht="12.75" customHeight="1">
      <c r="A14" s="528"/>
      <c r="B14" s="536"/>
      <c r="C14" s="529"/>
      <c r="D14" s="529"/>
      <c r="E14" s="529"/>
      <c r="F14" s="529"/>
      <c r="G14" s="529"/>
      <c r="H14" s="529"/>
      <c r="I14" s="529"/>
      <c r="J14" s="529"/>
      <c r="K14" s="529"/>
      <c r="L14" s="529"/>
      <c r="M14" s="529"/>
      <c r="N14" s="529"/>
      <c r="O14" s="529"/>
      <c r="P14" s="529"/>
      <c r="Q14" s="529"/>
      <c r="R14" s="529"/>
      <c r="S14" s="531"/>
      <c r="T14" s="80"/>
      <c r="U14" s="34"/>
      <c r="V14" s="34"/>
      <c r="W14" s="34"/>
      <c r="X14" s="34"/>
      <c r="Y14" s="34"/>
      <c r="Z14" s="34"/>
    </row>
    <row r="15" spans="1:26" ht="12.75" customHeight="1">
      <c r="A15" s="528"/>
      <c r="B15" s="155"/>
      <c r="C15" s="529"/>
      <c r="D15" s="529"/>
      <c r="E15" s="529"/>
      <c r="F15" s="529"/>
      <c r="G15" s="529"/>
      <c r="H15" s="529"/>
      <c r="I15" s="529"/>
      <c r="J15" s="529"/>
      <c r="K15" s="529"/>
      <c r="L15" s="529"/>
      <c r="M15" s="529"/>
      <c r="N15" s="529"/>
      <c r="O15" s="529"/>
      <c r="P15" s="529"/>
      <c r="Q15" s="529"/>
      <c r="R15" s="529"/>
      <c r="S15" s="531"/>
      <c r="T15" s="80"/>
      <c r="U15" s="34"/>
      <c r="V15" s="34"/>
      <c r="W15" s="34"/>
      <c r="X15" s="34"/>
      <c r="Y15" s="34"/>
      <c r="Z15" s="34"/>
    </row>
    <row r="16" spans="1:26" ht="12.75" customHeight="1">
      <c r="A16" s="528"/>
      <c r="B16" s="155"/>
      <c r="C16" s="529"/>
      <c r="D16" s="529"/>
      <c r="E16" s="529"/>
      <c r="F16" s="529"/>
      <c r="G16" s="529"/>
      <c r="H16" s="529"/>
      <c r="I16" s="529"/>
      <c r="J16" s="529"/>
      <c r="K16" s="529"/>
      <c r="L16" s="529"/>
      <c r="M16" s="529"/>
      <c r="N16" s="529"/>
      <c r="O16" s="529"/>
      <c r="P16" s="529"/>
      <c r="Q16" s="529"/>
      <c r="R16" s="529"/>
      <c r="S16" s="531"/>
      <c r="T16" s="80"/>
      <c r="U16" s="34"/>
      <c r="V16" s="34"/>
      <c r="W16" s="34"/>
      <c r="X16" s="34"/>
      <c r="Y16" s="34"/>
      <c r="Z16" s="34"/>
    </row>
    <row r="17" spans="1:26" ht="12.75" customHeight="1">
      <c r="A17" s="528"/>
      <c r="B17" s="155"/>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row>
    <row r="18" spans="1:26" ht="12.75" customHeight="1">
      <c r="A18" s="528"/>
      <c r="B18" s="536"/>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row>
    <row r="19" spans="1:26" ht="12.75" customHeight="1">
      <c r="A19" s="528"/>
      <c r="B19" s="536"/>
      <c r="C19" s="536"/>
      <c r="D19" s="529"/>
      <c r="E19" s="529"/>
      <c r="F19" s="529"/>
      <c r="G19" s="529"/>
      <c r="H19" s="529"/>
      <c r="I19" s="529"/>
      <c r="J19" s="529"/>
      <c r="K19" s="529"/>
      <c r="L19" s="529"/>
      <c r="M19" s="529"/>
      <c r="N19" s="529"/>
      <c r="O19" s="529"/>
      <c r="P19" s="529"/>
      <c r="Q19" s="529"/>
      <c r="R19" s="529"/>
      <c r="S19" s="531"/>
      <c r="T19" s="80"/>
      <c r="U19" s="34"/>
      <c r="V19" s="34"/>
      <c r="W19" s="34"/>
      <c r="X19" s="34"/>
      <c r="Y19" s="34"/>
      <c r="Z19" s="34"/>
    </row>
    <row r="20" spans="1:26" ht="12.75" customHeight="1">
      <c r="A20" s="528"/>
      <c r="B20" s="529"/>
      <c r="C20" s="529"/>
      <c r="D20" s="529"/>
      <c r="E20" s="529"/>
      <c r="F20" s="529"/>
      <c r="G20" s="529"/>
      <c r="H20" s="529"/>
      <c r="I20" s="529"/>
      <c r="J20" s="529"/>
      <c r="K20" s="529"/>
      <c r="L20" s="529"/>
      <c r="M20" s="529"/>
      <c r="N20" s="529"/>
      <c r="O20" s="529"/>
      <c r="P20" s="529"/>
      <c r="Q20" s="529"/>
      <c r="R20" s="529"/>
      <c r="S20" s="531"/>
      <c r="T20" s="80"/>
      <c r="U20" s="34"/>
      <c r="V20" s="34"/>
      <c r="W20" s="34"/>
      <c r="X20" s="34"/>
      <c r="Y20" s="34"/>
      <c r="Z20" s="34"/>
    </row>
    <row r="21" spans="1:26" ht="12.75" customHeight="1">
      <c r="A21" s="528"/>
      <c r="B21" s="536"/>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row>
    <row r="22" spans="1:26" ht="12.75" customHeight="1">
      <c r="A22" s="528"/>
      <c r="B22" s="536"/>
      <c r="C22" s="529"/>
      <c r="D22" s="529"/>
      <c r="E22" s="529"/>
      <c r="F22" s="529"/>
      <c r="G22" s="529"/>
      <c r="H22" s="529"/>
      <c r="I22" s="529"/>
      <c r="J22" s="529"/>
      <c r="K22" s="529"/>
      <c r="L22" s="529"/>
      <c r="M22" s="529"/>
      <c r="N22" s="529"/>
      <c r="O22" s="529"/>
      <c r="P22" s="529"/>
      <c r="Q22" s="529"/>
      <c r="R22" s="529"/>
      <c r="S22" s="531"/>
      <c r="T22" s="80"/>
      <c r="U22" s="34"/>
      <c r="V22" s="34"/>
      <c r="W22" s="34"/>
      <c r="X22" s="34"/>
      <c r="Y22" s="34"/>
      <c r="Z22" s="34"/>
    </row>
    <row r="23" spans="1:26" ht="12.75" customHeight="1">
      <c r="A23" s="528"/>
      <c r="B23" s="536"/>
      <c r="C23" s="529"/>
      <c r="D23" s="529"/>
      <c r="E23" s="529"/>
      <c r="F23" s="529"/>
      <c r="G23" s="529"/>
      <c r="H23" s="529"/>
      <c r="I23" s="529"/>
      <c r="J23" s="529"/>
      <c r="K23" s="529"/>
      <c r="L23" s="529"/>
      <c r="M23" s="529"/>
      <c r="N23" s="529"/>
      <c r="O23" s="529"/>
      <c r="P23" s="529"/>
      <c r="Q23" s="529"/>
      <c r="R23" s="529"/>
      <c r="S23" s="531"/>
      <c r="T23" s="80"/>
      <c r="U23" s="34"/>
      <c r="V23" s="34"/>
      <c r="W23" s="34"/>
      <c r="X23" s="34"/>
      <c r="Y23" s="34"/>
      <c r="Z23" s="34"/>
    </row>
    <row r="24" spans="1:26" ht="12.75" customHeight="1">
      <c r="A24" s="528"/>
      <c r="C24" s="529"/>
      <c r="D24" s="529"/>
      <c r="E24" s="529"/>
      <c r="F24" s="529"/>
      <c r="G24" s="529"/>
      <c r="H24" s="529"/>
      <c r="I24" s="529"/>
      <c r="J24" s="529"/>
      <c r="K24" s="529"/>
      <c r="L24" s="529"/>
      <c r="M24" s="529"/>
      <c r="N24" s="529"/>
      <c r="O24" s="529"/>
      <c r="P24" s="529"/>
      <c r="Q24" s="529"/>
      <c r="R24" s="529"/>
      <c r="S24" s="531"/>
      <c r="T24" s="80"/>
      <c r="U24" s="34"/>
      <c r="V24" s="34"/>
      <c r="W24" s="34"/>
      <c r="X24" s="34"/>
      <c r="Y24" s="34"/>
      <c r="Z24" s="34"/>
    </row>
    <row r="25" spans="1:26" ht="12.75" customHeight="1">
      <c r="A25" s="528"/>
      <c r="B25" s="536"/>
      <c r="C25" s="529"/>
      <c r="D25" s="529"/>
      <c r="E25" s="529"/>
      <c r="F25" s="529"/>
      <c r="G25" s="529"/>
      <c r="H25" s="529"/>
      <c r="I25" s="529"/>
      <c r="J25" s="529"/>
      <c r="K25" s="529"/>
      <c r="L25" s="529"/>
      <c r="M25" s="529"/>
      <c r="N25" s="529"/>
      <c r="O25" s="529"/>
      <c r="P25" s="529"/>
      <c r="Q25" s="529"/>
      <c r="R25" s="529"/>
      <c r="S25" s="531"/>
      <c r="T25" s="80"/>
      <c r="U25" s="34"/>
      <c r="V25" s="34"/>
      <c r="W25" s="34"/>
      <c r="X25" s="34"/>
      <c r="Y25" s="34"/>
      <c r="Z25" s="34"/>
    </row>
    <row r="26" spans="1:26" ht="12.75" customHeight="1">
      <c r="A26" s="528"/>
      <c r="B26" s="536"/>
      <c r="C26" s="529"/>
      <c r="D26" s="529"/>
      <c r="E26" s="529"/>
      <c r="F26" s="529"/>
      <c r="G26" s="529"/>
      <c r="H26" s="529"/>
      <c r="I26" s="529"/>
      <c r="J26" s="529"/>
      <c r="K26" s="529"/>
      <c r="L26" s="529"/>
      <c r="M26" s="529"/>
      <c r="N26" s="529"/>
      <c r="O26" s="529"/>
      <c r="P26" s="529"/>
      <c r="Q26" s="529"/>
      <c r="R26" s="529"/>
      <c r="S26" s="531"/>
      <c r="T26" s="80"/>
      <c r="U26" s="34"/>
      <c r="V26" s="34"/>
      <c r="W26" s="34"/>
      <c r="X26" s="34"/>
      <c r="Y26" s="34"/>
      <c r="Z26" s="34"/>
    </row>
    <row r="27" spans="1:26" ht="12.75" customHeight="1">
      <c r="A27" s="528"/>
      <c r="B27" s="155"/>
      <c r="C27" s="529"/>
      <c r="D27" s="529"/>
      <c r="E27" s="529"/>
      <c r="F27" s="529"/>
      <c r="G27" s="529"/>
      <c r="H27" s="529"/>
      <c r="I27" s="529"/>
      <c r="J27" s="529"/>
      <c r="K27" s="529"/>
      <c r="L27" s="529"/>
      <c r="M27" s="529"/>
      <c r="N27" s="529"/>
      <c r="O27" s="529"/>
      <c r="P27" s="529"/>
      <c r="Q27" s="529"/>
      <c r="R27" s="529"/>
      <c r="S27" s="531"/>
      <c r="T27" s="80"/>
      <c r="U27" s="34"/>
      <c r="V27" s="34"/>
      <c r="W27" s="34"/>
      <c r="X27" s="34"/>
      <c r="Y27" s="34"/>
      <c r="Z27" s="34"/>
    </row>
    <row r="28" spans="1:26" ht="12.75" customHeight="1">
      <c r="A28" s="528"/>
      <c r="B28" s="155"/>
      <c r="C28" s="529"/>
      <c r="D28" s="529"/>
      <c r="E28" s="529"/>
      <c r="F28" s="529"/>
      <c r="G28" s="529"/>
      <c r="H28" s="529"/>
      <c r="I28" s="529"/>
      <c r="J28" s="529"/>
      <c r="K28" s="529"/>
      <c r="L28" s="529"/>
      <c r="M28" s="529"/>
      <c r="N28" s="529"/>
      <c r="O28" s="529"/>
      <c r="P28" s="529"/>
      <c r="Q28" s="529"/>
      <c r="R28" s="529"/>
      <c r="S28" s="531"/>
      <c r="T28" s="80"/>
      <c r="U28" s="34"/>
      <c r="V28" s="34"/>
      <c r="W28" s="34"/>
      <c r="X28" s="34"/>
      <c r="Y28" s="34"/>
      <c r="Z28" s="34"/>
    </row>
    <row r="29" spans="1:26" ht="12.75" customHeight="1">
      <c r="A29" s="528"/>
      <c r="B29" s="155"/>
      <c r="C29" s="529"/>
      <c r="D29" s="529"/>
      <c r="E29" s="529"/>
      <c r="F29" s="529"/>
      <c r="G29" s="529"/>
      <c r="H29" s="529"/>
      <c r="I29" s="529"/>
      <c r="J29" s="529"/>
      <c r="K29" s="529"/>
      <c r="L29" s="529"/>
      <c r="M29" s="529"/>
      <c r="N29" s="529"/>
      <c r="O29" s="529"/>
      <c r="P29" s="529"/>
      <c r="Q29" s="529"/>
      <c r="R29" s="529"/>
      <c r="S29" s="531"/>
      <c r="T29" s="80"/>
      <c r="U29" s="34"/>
      <c r="V29" s="34"/>
      <c r="W29" s="34"/>
      <c r="X29" s="34"/>
      <c r="Y29" s="34"/>
      <c r="Z29" s="34"/>
    </row>
    <row r="30" spans="1:26" ht="12.75" customHeight="1">
      <c r="A30" s="528"/>
      <c r="B30" s="536"/>
      <c r="C30" s="529"/>
      <c r="D30" s="529"/>
      <c r="E30" s="529"/>
      <c r="F30" s="529"/>
      <c r="G30" s="529"/>
      <c r="H30" s="529"/>
      <c r="I30" s="529"/>
      <c r="J30" s="529"/>
      <c r="K30" s="529"/>
      <c r="L30" s="529"/>
      <c r="M30" s="529"/>
      <c r="N30" s="529"/>
      <c r="O30" s="529"/>
      <c r="P30" s="529"/>
      <c r="Q30" s="529"/>
      <c r="R30" s="529"/>
      <c r="S30" s="531"/>
      <c r="T30" s="80"/>
      <c r="U30" s="34"/>
      <c r="V30" s="34"/>
      <c r="W30" s="34"/>
      <c r="X30" s="34"/>
      <c r="Y30" s="34"/>
      <c r="Z30" s="34"/>
    </row>
    <row r="31" spans="1:26" ht="12.75" customHeight="1">
      <c r="A31" s="528"/>
      <c r="B31" s="536"/>
      <c r="C31" s="536"/>
      <c r="D31" s="529"/>
      <c r="E31" s="529"/>
      <c r="F31" s="529"/>
      <c r="G31" s="529"/>
      <c r="H31" s="529"/>
      <c r="I31" s="529"/>
      <c r="J31" s="529"/>
      <c r="K31" s="529"/>
      <c r="L31" s="529"/>
      <c r="M31" s="529"/>
      <c r="N31" s="529"/>
      <c r="O31" s="529"/>
      <c r="P31" s="529"/>
      <c r="Q31" s="529"/>
      <c r="R31" s="529"/>
      <c r="S31" s="531"/>
      <c r="T31" s="80"/>
      <c r="U31" s="34"/>
      <c r="V31" s="34"/>
      <c r="W31" s="34"/>
      <c r="X31" s="34"/>
      <c r="Y31" s="34"/>
      <c r="Z31" s="34"/>
    </row>
    <row r="32" spans="1:26" ht="12.75" customHeight="1">
      <c r="A32" s="528"/>
      <c r="B32" s="529"/>
      <c r="C32" s="529"/>
      <c r="D32" s="529"/>
      <c r="E32" s="529"/>
      <c r="F32" s="529"/>
      <c r="G32" s="529"/>
      <c r="H32" s="529"/>
      <c r="I32" s="529"/>
      <c r="J32" s="529"/>
      <c r="K32" s="529"/>
      <c r="L32" s="529"/>
      <c r="M32" s="529"/>
      <c r="N32" s="529"/>
      <c r="O32" s="529"/>
      <c r="P32" s="529"/>
      <c r="Q32" s="529"/>
      <c r="R32" s="529"/>
      <c r="S32" s="531"/>
      <c r="T32" s="80"/>
      <c r="U32" s="34"/>
      <c r="V32" s="34"/>
      <c r="W32" s="34"/>
      <c r="X32" s="34"/>
      <c r="Y32" s="34"/>
      <c r="Z32" s="34"/>
    </row>
    <row r="33" spans="1:26"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row>
    <row r="34" spans="1:26"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row>
    <row r="35" spans="1:26"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row>
    <row r="36" spans="1:26" ht="12.75" customHeight="1">
      <c r="A36" s="528"/>
      <c r="B36" s="529"/>
      <c r="C36" s="529"/>
      <c r="D36" s="529"/>
      <c r="E36" s="529"/>
      <c r="F36" s="529"/>
      <c r="G36" s="529"/>
      <c r="H36" s="529"/>
      <c r="I36" s="529"/>
      <c r="J36" s="529"/>
      <c r="K36" s="529"/>
      <c r="L36" s="529"/>
      <c r="M36" s="529"/>
      <c r="N36" s="529"/>
      <c r="O36" s="529"/>
      <c r="P36" s="529"/>
      <c r="Q36" s="529"/>
      <c r="R36" s="529"/>
      <c r="S36" s="531"/>
      <c r="T36" s="80"/>
      <c r="U36" s="34"/>
      <c r="V36" s="34"/>
      <c r="W36" s="34"/>
      <c r="X36" s="34"/>
      <c r="Y36" s="34"/>
      <c r="Z36" s="34"/>
    </row>
    <row r="37" spans="1:26" ht="12.75" customHeight="1">
      <c r="A37" s="528"/>
      <c r="B37" s="529"/>
      <c r="C37" s="529"/>
      <c r="D37" s="529"/>
      <c r="E37" s="529"/>
      <c r="F37" s="529"/>
      <c r="G37" s="529"/>
      <c r="H37" s="529"/>
      <c r="I37" s="529"/>
      <c r="J37" s="529"/>
      <c r="K37" s="529"/>
      <c r="L37" s="529"/>
      <c r="M37" s="529"/>
      <c r="N37" s="529"/>
      <c r="O37" s="529"/>
      <c r="P37" s="529"/>
      <c r="Q37" s="529"/>
      <c r="R37" s="529"/>
      <c r="S37" s="531"/>
      <c r="T37" s="80"/>
      <c r="U37" s="34"/>
      <c r="V37" s="34"/>
      <c r="W37" s="34"/>
      <c r="X37" s="34"/>
      <c r="Y37" s="34"/>
      <c r="Z37" s="34"/>
    </row>
    <row r="38" spans="1:26" ht="12.75" customHeight="1">
      <c r="A38" s="528"/>
      <c r="B38" s="529"/>
      <c r="D38" s="529"/>
      <c r="E38" s="529"/>
      <c r="F38" s="529"/>
      <c r="G38" s="529"/>
      <c r="H38" s="529"/>
      <c r="I38" s="529"/>
      <c r="J38" s="529"/>
      <c r="K38" s="529"/>
      <c r="L38" s="529"/>
      <c r="M38" s="529"/>
      <c r="N38" s="529"/>
      <c r="O38" s="529"/>
      <c r="P38" s="529"/>
      <c r="Q38" s="529"/>
      <c r="R38" s="529"/>
      <c r="S38" s="531"/>
      <c r="T38" s="80"/>
      <c r="U38" s="34"/>
      <c r="V38" s="34"/>
      <c r="W38" s="34"/>
      <c r="X38" s="34"/>
      <c r="Y38" s="34"/>
      <c r="Z38" s="34"/>
    </row>
    <row r="39" spans="1:26"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row>
    <row r="40" spans="1:26" ht="12.75" customHeight="1">
      <c r="A40" s="528"/>
      <c r="B40" s="529"/>
      <c r="D40" s="529"/>
      <c r="E40" s="529"/>
      <c r="F40" s="529"/>
      <c r="G40" s="529"/>
      <c r="H40" s="529"/>
      <c r="I40" s="529"/>
      <c r="J40" s="529"/>
      <c r="K40" s="529"/>
      <c r="L40" s="529"/>
      <c r="M40" s="529"/>
      <c r="N40" s="529"/>
      <c r="O40" s="529"/>
      <c r="P40" s="529"/>
      <c r="Q40" s="529"/>
      <c r="R40" s="529"/>
      <c r="S40" s="531"/>
      <c r="T40" s="80"/>
      <c r="U40" s="34"/>
      <c r="V40" s="34"/>
      <c r="W40" s="34"/>
      <c r="X40" s="34"/>
      <c r="Y40" s="34"/>
      <c r="Z40" s="34"/>
    </row>
    <row r="41" spans="1:26"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row>
    <row r="42" spans="1:26" ht="12.75" customHeight="1">
      <c r="A42" s="528"/>
      <c r="B42" s="529"/>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row>
    <row r="43" spans="1:26" ht="12.75" customHeight="1">
      <c r="A43" s="528"/>
      <c r="B43" s="529"/>
      <c r="D43" s="529"/>
      <c r="E43" s="529"/>
      <c r="F43" s="529"/>
      <c r="G43" s="529"/>
      <c r="H43" s="529"/>
      <c r="I43" s="529"/>
      <c r="J43" s="529"/>
      <c r="K43" s="529"/>
      <c r="L43" s="529"/>
      <c r="M43" s="529"/>
      <c r="N43" s="529"/>
      <c r="O43" s="529"/>
      <c r="P43" s="529"/>
      <c r="Q43" s="529"/>
      <c r="R43" s="529"/>
      <c r="S43" s="531"/>
      <c r="T43" s="80"/>
      <c r="U43" s="34"/>
      <c r="V43" s="34"/>
      <c r="W43" s="34"/>
      <c r="X43" s="34"/>
      <c r="Y43" s="34"/>
      <c r="Z43" s="34"/>
    </row>
    <row r="44" spans="1:26" ht="12.75" customHeight="1">
      <c r="A44" s="528"/>
      <c r="B44" s="529"/>
      <c r="D44" s="529"/>
      <c r="E44" s="529"/>
      <c r="F44" s="529"/>
      <c r="G44" s="529"/>
      <c r="H44" s="529"/>
      <c r="I44" s="529"/>
      <c r="J44" s="529"/>
      <c r="K44" s="529"/>
      <c r="L44" s="529"/>
      <c r="M44" s="529"/>
      <c r="N44" s="529"/>
      <c r="O44" s="529"/>
      <c r="P44" s="529"/>
      <c r="Q44" s="529"/>
      <c r="R44" s="529"/>
      <c r="S44" s="531"/>
      <c r="T44" s="80"/>
      <c r="U44" s="34"/>
      <c r="V44" s="34"/>
      <c r="W44" s="34"/>
      <c r="X44" s="34"/>
      <c r="Y44" s="34"/>
      <c r="Z44" s="34"/>
    </row>
    <row r="45" spans="1:26" ht="12.75" customHeight="1">
      <c r="A45" s="528"/>
      <c r="B45" s="529"/>
      <c r="C45" s="529"/>
      <c r="D45" s="529"/>
      <c r="E45" s="529"/>
      <c r="F45" s="529"/>
      <c r="G45" s="529"/>
      <c r="H45" s="529"/>
      <c r="I45" s="529"/>
      <c r="J45" s="529"/>
      <c r="K45" s="529"/>
      <c r="L45" s="529"/>
      <c r="M45" s="529"/>
      <c r="N45" s="529"/>
      <c r="O45" s="529"/>
      <c r="P45" s="529"/>
      <c r="Q45" s="529"/>
      <c r="R45" s="529"/>
      <c r="S45" s="531"/>
      <c r="T45" s="80"/>
      <c r="U45" s="34"/>
      <c r="V45" s="34"/>
      <c r="W45" s="34"/>
      <c r="X45" s="34"/>
      <c r="Y45" s="34"/>
      <c r="Z45" s="34"/>
    </row>
    <row r="46" spans="1:26" ht="12.75" customHeight="1">
      <c r="A46" s="528"/>
      <c r="B46" s="529"/>
      <c r="C46" s="538" t="s">
        <v>884</v>
      </c>
      <c r="D46" s="529"/>
      <c r="E46" s="529"/>
      <c r="F46" s="529"/>
      <c r="G46" s="529"/>
      <c r="H46" s="529"/>
      <c r="I46" s="529"/>
      <c r="J46" s="529"/>
      <c r="K46" s="529"/>
      <c r="L46" s="529"/>
      <c r="M46" s="529"/>
      <c r="N46" s="529"/>
      <c r="O46" s="529"/>
      <c r="P46" s="529"/>
      <c r="Q46" s="529"/>
      <c r="R46" s="529"/>
      <c r="S46" s="531"/>
      <c r="T46" s="80"/>
      <c r="U46" s="34"/>
      <c r="V46" s="34"/>
      <c r="W46" s="34"/>
      <c r="X46" s="34"/>
      <c r="Y46" s="34"/>
      <c r="Z46" s="34"/>
    </row>
    <row r="47" spans="1:26"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row>
    <row r="48" spans="1:26"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row>
    <row r="49" spans="1:26" ht="12.75" customHeight="1">
      <c r="A49" s="528"/>
      <c r="B49" s="529"/>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row>
    <row r="50" spans="1:26" ht="12.75" customHeight="1">
      <c r="A50" s="528"/>
      <c r="B50" s="529"/>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row>
    <row r="51" spans="1:26"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row>
    <row r="52" spans="1:26" ht="12.75" customHeight="1">
      <c r="A52" s="528"/>
      <c r="B52" s="529"/>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row>
    <row r="53" spans="1:26" ht="12.75" customHeight="1">
      <c r="A53" s="528"/>
      <c r="B53" s="529"/>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row>
    <row r="54" spans="1:26" ht="12.75" customHeight="1">
      <c r="A54" s="528"/>
      <c r="B54" s="536"/>
      <c r="C54" s="529"/>
      <c r="D54" s="529"/>
      <c r="E54" s="529"/>
      <c r="F54" s="529"/>
      <c r="G54" s="529"/>
      <c r="H54" s="529"/>
      <c r="I54" s="529"/>
      <c r="J54" s="529"/>
      <c r="K54" s="529"/>
      <c r="L54" s="529"/>
      <c r="M54" s="529"/>
      <c r="N54" s="529"/>
      <c r="O54" s="529"/>
      <c r="P54" s="529"/>
      <c r="Q54" s="529"/>
      <c r="R54" s="529"/>
      <c r="S54" s="531"/>
      <c r="T54" s="80"/>
      <c r="U54" s="34"/>
      <c r="V54" s="34"/>
      <c r="W54" s="34"/>
      <c r="X54" s="34"/>
      <c r="Y54" s="34"/>
      <c r="Z54" s="34"/>
    </row>
    <row r="55" spans="1:26" ht="12.75" customHeight="1">
      <c r="A55" s="528"/>
      <c r="B55" s="536"/>
      <c r="D55" s="529"/>
      <c r="E55" s="529"/>
      <c r="F55" s="529"/>
      <c r="G55" s="529"/>
      <c r="H55" s="529"/>
      <c r="I55" s="529"/>
      <c r="J55" s="529"/>
      <c r="K55" s="529"/>
      <c r="L55" s="529"/>
      <c r="M55" s="529"/>
      <c r="N55" s="529"/>
      <c r="O55" s="529"/>
      <c r="P55" s="529"/>
      <c r="Q55" s="529"/>
      <c r="R55" s="529"/>
      <c r="S55" s="531"/>
      <c r="T55" s="80"/>
      <c r="U55" s="34"/>
      <c r="V55" s="34"/>
      <c r="W55" s="34"/>
      <c r="X55" s="34"/>
      <c r="Y55" s="34"/>
      <c r="Z55" s="34"/>
    </row>
    <row r="56" spans="1:26" ht="12.75" customHeight="1">
      <c r="A56" s="534"/>
      <c r="B56" s="533"/>
      <c r="C56" s="533"/>
      <c r="D56" s="533"/>
      <c r="E56" s="533"/>
      <c r="F56" s="533"/>
      <c r="G56" s="533"/>
      <c r="H56" s="533"/>
      <c r="I56" s="533"/>
      <c r="J56" s="533"/>
      <c r="K56" s="533"/>
      <c r="L56" s="533"/>
      <c r="M56" s="533"/>
      <c r="N56" s="533"/>
      <c r="O56" s="533"/>
      <c r="P56" s="533"/>
      <c r="Q56" s="533"/>
      <c r="R56" s="533"/>
      <c r="S56" s="535"/>
      <c r="T56" s="251"/>
      <c r="U56" s="25"/>
      <c r="V56" s="25"/>
      <c r="W56" s="25"/>
      <c r="X56" s="25"/>
      <c r="Y56" s="25"/>
      <c r="Z56" s="25"/>
    </row>
    <row r="57" spans="1:26" ht="12.75" customHeight="1"/>
    <row r="58" spans="1:26" ht="12.75" customHeight="1"/>
    <row r="59" spans="1:26" ht="12.75" customHeight="1"/>
    <row r="60" spans="1:26" ht="12.75" customHeight="1"/>
    <row r="61" spans="1:26" ht="12.75" customHeight="1"/>
    <row r="62" spans="1:26" ht="12.75" customHeight="1"/>
    <row r="63" spans="1:26" ht="12.75" customHeight="1"/>
    <row r="64" spans="1: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C46" location="'T3.5.9 Shear Tests'!A1" display="BACK" xr:uid="{00000000-0004-0000-2F00-000000000000}"/>
  </hyperlinks>
  <pageMargins left="0.39370078740157483" right="0.39370078740157483" top="0.39370078740157483" bottom="0.39370078740157483" header="0" footer="0"/>
  <pageSetup paperSize="9"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1000"/>
  <sheetViews>
    <sheetView showGridLines="0" workbookViewId="0"/>
  </sheetViews>
  <sheetFormatPr baseColWidth="10" defaultColWidth="12.5703125" defaultRowHeight="15" customHeight="1"/>
  <cols>
    <col min="1" max="2" width="5" customWidth="1"/>
    <col min="3" max="3" width="6.42578125" customWidth="1"/>
    <col min="4" max="38" width="5" customWidth="1"/>
  </cols>
  <sheetData>
    <row r="1" spans="1:38" ht="12.75" customHeight="1">
      <c r="A1" s="690" t="s">
        <v>981</v>
      </c>
      <c r="B1" s="587"/>
      <c r="C1" s="587"/>
      <c r="D1" s="587"/>
      <c r="E1" s="587"/>
      <c r="F1" s="587"/>
      <c r="G1" s="587"/>
      <c r="H1" s="587"/>
      <c r="I1" s="587"/>
      <c r="J1" s="587"/>
      <c r="K1" s="587"/>
      <c r="L1" s="587"/>
      <c r="M1" s="587"/>
      <c r="N1" s="587"/>
      <c r="O1" s="587"/>
      <c r="P1" s="587"/>
      <c r="Q1" s="587"/>
      <c r="R1" s="587"/>
      <c r="S1" s="587"/>
      <c r="T1" s="763" t="s">
        <v>982</v>
      </c>
      <c r="U1" s="587"/>
      <c r="V1" s="587"/>
      <c r="W1" s="587"/>
      <c r="X1" s="587"/>
      <c r="Y1" s="587"/>
      <c r="Z1" s="587"/>
      <c r="AA1" s="587"/>
      <c r="AB1" s="587"/>
      <c r="AC1" s="587"/>
      <c r="AD1" s="587"/>
      <c r="AE1" s="587"/>
      <c r="AF1" s="587"/>
      <c r="AG1" s="587"/>
      <c r="AH1" s="587"/>
      <c r="AI1" s="587"/>
      <c r="AJ1" s="587"/>
      <c r="AK1" s="587"/>
      <c r="AL1" s="588"/>
    </row>
    <row r="2" spans="1:38" ht="12.75" customHeight="1">
      <c r="A2" s="80" t="s">
        <v>983</v>
      </c>
      <c r="B2" s="67" t="s">
        <v>983</v>
      </c>
      <c r="C2" s="67" t="s">
        <v>983</v>
      </c>
      <c r="D2" s="67" t="s">
        <v>983</v>
      </c>
      <c r="E2" s="67" t="s">
        <v>983</v>
      </c>
      <c r="F2" s="67" t="s">
        <v>983</v>
      </c>
      <c r="G2" s="67" t="s">
        <v>983</v>
      </c>
      <c r="H2" s="67" t="s">
        <v>983</v>
      </c>
      <c r="I2" s="67" t="s">
        <v>983</v>
      </c>
      <c r="J2" s="67" t="s">
        <v>983</v>
      </c>
      <c r="K2" s="67" t="s">
        <v>983</v>
      </c>
      <c r="L2" s="67" t="s">
        <v>983</v>
      </c>
      <c r="M2" s="67" t="s">
        <v>983</v>
      </c>
      <c r="N2" s="67" t="s">
        <v>983</v>
      </c>
      <c r="O2" s="67" t="s">
        <v>983</v>
      </c>
      <c r="P2" s="67" t="s">
        <v>983</v>
      </c>
      <c r="Q2" s="67" t="s">
        <v>983</v>
      </c>
      <c r="R2" s="67" t="s">
        <v>983</v>
      </c>
      <c r="S2" s="141" t="s">
        <v>983</v>
      </c>
      <c r="T2" s="544" t="s">
        <v>983</v>
      </c>
      <c r="U2" s="544" t="s">
        <v>983</v>
      </c>
      <c r="V2" s="544" t="s">
        <v>983</v>
      </c>
      <c r="W2" s="544" t="s">
        <v>983</v>
      </c>
      <c r="X2" s="544" t="s">
        <v>983</v>
      </c>
      <c r="Y2" s="544" t="s">
        <v>983</v>
      </c>
      <c r="Z2" s="544" t="s">
        <v>983</v>
      </c>
      <c r="AA2" s="544" t="s">
        <v>983</v>
      </c>
      <c r="AB2" s="544" t="s">
        <v>983</v>
      </c>
      <c r="AC2" s="544" t="s">
        <v>983</v>
      </c>
      <c r="AD2" s="544" t="s">
        <v>983</v>
      </c>
      <c r="AE2" s="544" t="s">
        <v>983</v>
      </c>
      <c r="AF2" s="544" t="s">
        <v>983</v>
      </c>
      <c r="AG2" s="544" t="s">
        <v>983</v>
      </c>
      <c r="AH2" s="544" t="s">
        <v>983</v>
      </c>
      <c r="AI2" s="544" t="s">
        <v>983</v>
      </c>
      <c r="AJ2" s="544" t="s">
        <v>983</v>
      </c>
      <c r="AK2" s="544" t="s">
        <v>983</v>
      </c>
      <c r="AL2" s="545" t="s">
        <v>983</v>
      </c>
    </row>
    <row r="3" spans="1:38" ht="12.75" customHeight="1">
      <c r="A3" s="80" t="s">
        <v>983</v>
      </c>
      <c r="B3" s="155" t="s">
        <v>984</v>
      </c>
      <c r="C3" s="155"/>
      <c r="D3" s="155"/>
      <c r="E3" s="155"/>
      <c r="F3" s="155"/>
      <c r="G3" s="155"/>
      <c r="H3" s="155"/>
      <c r="I3" s="155"/>
      <c r="J3" s="155"/>
      <c r="K3" s="155"/>
      <c r="L3" s="155"/>
      <c r="M3" s="155"/>
      <c r="N3" s="155"/>
      <c r="O3" s="155"/>
      <c r="P3" s="155"/>
      <c r="Q3" s="155"/>
      <c r="R3" s="155"/>
      <c r="S3" s="141" t="s">
        <v>983</v>
      </c>
      <c r="T3" s="544" t="s">
        <v>983</v>
      </c>
      <c r="U3" s="546" t="s">
        <v>985</v>
      </c>
      <c r="V3" s="546"/>
      <c r="W3" s="546"/>
      <c r="X3" s="546"/>
      <c r="Y3" s="546"/>
      <c r="Z3" s="546"/>
      <c r="AA3" s="546"/>
      <c r="AB3" s="546"/>
      <c r="AC3" s="546"/>
      <c r="AD3" s="546"/>
      <c r="AE3" s="546"/>
      <c r="AF3" s="546"/>
      <c r="AG3" s="546"/>
      <c r="AH3" s="546"/>
      <c r="AI3" s="544" t="s">
        <v>983</v>
      </c>
      <c r="AJ3" s="544" t="s">
        <v>983</v>
      </c>
      <c r="AK3" s="544" t="s">
        <v>983</v>
      </c>
      <c r="AL3" s="545" t="s">
        <v>983</v>
      </c>
    </row>
    <row r="4" spans="1:38" ht="12.75" customHeight="1">
      <c r="A4" s="80" t="s">
        <v>983</v>
      </c>
      <c r="B4" s="155" t="s">
        <v>986</v>
      </c>
      <c r="C4" s="155"/>
      <c r="D4" s="155"/>
      <c r="E4" s="155"/>
      <c r="F4" s="155"/>
      <c r="G4" s="155"/>
      <c r="H4" s="155"/>
      <c r="I4" s="155"/>
      <c r="J4" s="155"/>
      <c r="S4" s="141" t="s">
        <v>983</v>
      </c>
      <c r="T4" s="544" t="s">
        <v>983</v>
      </c>
      <c r="U4" s="544" t="s">
        <v>983</v>
      </c>
      <c r="V4" s="544" t="s">
        <v>983</v>
      </c>
      <c r="W4" s="544" t="s">
        <v>983</v>
      </c>
      <c r="X4" s="544" t="s">
        <v>983</v>
      </c>
      <c r="Y4" s="544" t="s">
        <v>983</v>
      </c>
      <c r="Z4" s="544" t="s">
        <v>983</v>
      </c>
      <c r="AA4" s="544" t="s">
        <v>983</v>
      </c>
      <c r="AB4" s="544" t="s">
        <v>983</v>
      </c>
      <c r="AC4" s="544" t="s">
        <v>983</v>
      </c>
      <c r="AD4" s="544" t="s">
        <v>983</v>
      </c>
      <c r="AE4" s="544" t="s">
        <v>983</v>
      </c>
      <c r="AF4" s="544" t="s">
        <v>983</v>
      </c>
      <c r="AG4" s="544" t="s">
        <v>983</v>
      </c>
      <c r="AH4" s="544" t="s">
        <v>983</v>
      </c>
      <c r="AI4" s="544" t="s">
        <v>983</v>
      </c>
      <c r="AJ4" s="544" t="s">
        <v>983</v>
      </c>
      <c r="AK4" s="544" t="s">
        <v>983</v>
      </c>
      <c r="AL4" s="545" t="s">
        <v>983</v>
      </c>
    </row>
    <row r="5" spans="1:38" ht="12.75" customHeight="1">
      <c r="A5" s="80" t="s">
        <v>983</v>
      </c>
      <c r="B5" s="155"/>
      <c r="S5" s="141" t="s">
        <v>983</v>
      </c>
      <c r="T5" s="544" t="s">
        <v>983</v>
      </c>
      <c r="U5" s="544" t="s">
        <v>987</v>
      </c>
      <c r="V5" s="544"/>
      <c r="W5" s="544"/>
      <c r="X5" s="544"/>
      <c r="Y5" s="544"/>
      <c r="Z5" s="544"/>
      <c r="AA5" s="544"/>
      <c r="AB5" s="544"/>
      <c r="AC5" s="544" t="s">
        <v>983</v>
      </c>
      <c r="AD5" s="544" t="s">
        <v>983</v>
      </c>
      <c r="AE5" s="544" t="s">
        <v>983</v>
      </c>
      <c r="AF5" s="544" t="s">
        <v>983</v>
      </c>
      <c r="AG5" s="544" t="s">
        <v>983</v>
      </c>
      <c r="AH5" s="544" t="s">
        <v>983</v>
      </c>
      <c r="AI5" s="544" t="s">
        <v>983</v>
      </c>
      <c r="AJ5" s="544" t="s">
        <v>983</v>
      </c>
      <c r="AK5" s="544" t="s">
        <v>983</v>
      </c>
      <c r="AL5" s="545" t="s">
        <v>983</v>
      </c>
    </row>
    <row r="6" spans="1:38" ht="12.75" customHeight="1">
      <c r="A6" s="80" t="s">
        <v>983</v>
      </c>
      <c r="B6" s="155" t="s">
        <v>988</v>
      </c>
      <c r="C6" s="155"/>
      <c r="D6" s="155"/>
      <c r="E6" s="155"/>
      <c r="F6" s="155"/>
      <c r="G6" s="155"/>
      <c r="H6" s="155"/>
      <c r="I6" s="155"/>
      <c r="J6" s="155"/>
      <c r="K6" s="155"/>
      <c r="L6" s="155"/>
      <c r="M6" s="155"/>
      <c r="N6" s="155"/>
      <c r="O6" s="155"/>
      <c r="P6" s="155"/>
      <c r="Q6" s="155"/>
      <c r="R6" s="155"/>
      <c r="S6" s="141" t="s">
        <v>983</v>
      </c>
      <c r="T6" s="544" t="s">
        <v>983</v>
      </c>
      <c r="U6" s="544"/>
      <c r="V6" s="544" t="s">
        <v>983</v>
      </c>
      <c r="W6" s="544" t="s">
        <v>983</v>
      </c>
      <c r="X6" s="544" t="s">
        <v>983</v>
      </c>
      <c r="Y6" s="544" t="s">
        <v>983</v>
      </c>
      <c r="Z6" s="544" t="s">
        <v>983</v>
      </c>
      <c r="AA6" s="544" t="s">
        <v>983</v>
      </c>
      <c r="AB6" s="544" t="s">
        <v>983</v>
      </c>
      <c r="AC6" s="544" t="s">
        <v>983</v>
      </c>
      <c r="AD6" s="544" t="s">
        <v>983</v>
      </c>
      <c r="AE6" s="544" t="s">
        <v>983</v>
      </c>
      <c r="AF6" s="544" t="s">
        <v>983</v>
      </c>
      <c r="AG6" s="544" t="s">
        <v>983</v>
      </c>
      <c r="AH6" s="544" t="s">
        <v>983</v>
      </c>
      <c r="AI6" s="544" t="s">
        <v>983</v>
      </c>
      <c r="AJ6" s="544" t="s">
        <v>983</v>
      </c>
      <c r="AK6" s="544" t="s">
        <v>983</v>
      </c>
      <c r="AL6" s="545" t="s">
        <v>983</v>
      </c>
    </row>
    <row r="7" spans="1:38" ht="12.75" customHeight="1">
      <c r="A7" s="80" t="s">
        <v>983</v>
      </c>
      <c r="B7" s="156" t="s">
        <v>989</v>
      </c>
      <c r="C7" s="155"/>
      <c r="D7" s="155"/>
      <c r="E7" s="155"/>
      <c r="F7" s="155"/>
      <c r="G7" s="155"/>
      <c r="H7" s="155"/>
      <c r="I7" s="155"/>
      <c r="J7" s="155"/>
      <c r="K7" s="155"/>
      <c r="L7" s="155"/>
      <c r="M7" s="155"/>
      <c r="N7" s="155"/>
      <c r="O7" s="155"/>
      <c r="P7" s="155"/>
      <c r="Q7" s="155"/>
      <c r="R7" s="155"/>
      <c r="S7" s="156"/>
      <c r="T7" s="544" t="s">
        <v>983</v>
      </c>
      <c r="U7" s="547" t="s">
        <v>990</v>
      </c>
      <c r="V7" s="544"/>
      <c r="W7" s="544"/>
      <c r="X7" s="544"/>
      <c r="Y7" s="544"/>
      <c r="Z7" s="544"/>
      <c r="AA7" s="544"/>
      <c r="AB7" s="544"/>
      <c r="AC7" s="544"/>
      <c r="AD7" s="544"/>
      <c r="AE7" s="544"/>
      <c r="AF7" s="544"/>
      <c r="AG7" s="544"/>
      <c r="AH7" s="544"/>
      <c r="AI7" s="544"/>
      <c r="AJ7" s="544" t="s">
        <v>983</v>
      </c>
      <c r="AK7" s="544" t="s">
        <v>983</v>
      </c>
      <c r="AL7" s="545" t="s">
        <v>983</v>
      </c>
    </row>
    <row r="8" spans="1:38" ht="12.75" customHeight="1">
      <c r="A8" s="80" t="s">
        <v>983</v>
      </c>
      <c r="B8" s="155" t="s">
        <v>991</v>
      </c>
      <c r="C8" s="155"/>
      <c r="D8" s="155"/>
      <c r="E8" s="155"/>
      <c r="F8" s="155"/>
      <c r="G8" s="155"/>
      <c r="H8" s="155"/>
      <c r="I8" s="155"/>
      <c r="J8" s="155"/>
      <c r="K8" s="155"/>
      <c r="L8" s="155"/>
      <c r="M8" s="155"/>
      <c r="N8" s="155"/>
      <c r="O8" s="155"/>
      <c r="P8" s="155"/>
      <c r="S8" s="141" t="s">
        <v>983</v>
      </c>
      <c r="T8" s="544" t="s">
        <v>983</v>
      </c>
      <c r="U8" s="544" t="s">
        <v>983</v>
      </c>
      <c r="V8" s="544" t="s">
        <v>983</v>
      </c>
      <c r="W8" s="544" t="s">
        <v>983</v>
      </c>
      <c r="X8" s="544" t="s">
        <v>983</v>
      </c>
      <c r="Y8" s="544" t="s">
        <v>983</v>
      </c>
      <c r="Z8" s="544" t="s">
        <v>983</v>
      </c>
      <c r="AA8" s="544" t="s">
        <v>983</v>
      </c>
      <c r="AB8" s="544" t="s">
        <v>983</v>
      </c>
      <c r="AC8" s="544" t="s">
        <v>983</v>
      </c>
      <c r="AD8" s="544" t="s">
        <v>983</v>
      </c>
      <c r="AE8" s="544" t="s">
        <v>983</v>
      </c>
      <c r="AF8" s="544" t="s">
        <v>983</v>
      </c>
      <c r="AG8" s="544" t="s">
        <v>983</v>
      </c>
      <c r="AH8" s="544" t="s">
        <v>983</v>
      </c>
      <c r="AI8" s="544" t="s">
        <v>983</v>
      </c>
      <c r="AJ8" s="544" t="s">
        <v>983</v>
      </c>
      <c r="AK8" s="544" t="s">
        <v>983</v>
      </c>
      <c r="AL8" s="545" t="s">
        <v>983</v>
      </c>
    </row>
    <row r="9" spans="1:38" ht="12.75" customHeight="1">
      <c r="A9" s="80" t="s">
        <v>983</v>
      </c>
      <c r="B9" s="155"/>
      <c r="S9" s="141" t="s">
        <v>983</v>
      </c>
      <c r="T9" s="544" t="s">
        <v>983</v>
      </c>
      <c r="U9" s="544" t="s">
        <v>983</v>
      </c>
      <c r="V9" s="544" t="s">
        <v>983</v>
      </c>
      <c r="W9" s="544"/>
      <c r="X9" s="544"/>
      <c r="Y9" s="544"/>
      <c r="Z9" s="544"/>
      <c r="AA9" s="544"/>
      <c r="AB9" s="544"/>
      <c r="AC9" s="544"/>
      <c r="AD9" s="544"/>
      <c r="AE9" s="544"/>
      <c r="AF9" s="544"/>
      <c r="AG9" s="544"/>
      <c r="AH9" s="544" t="s">
        <v>983</v>
      </c>
      <c r="AI9" s="544" t="s">
        <v>983</v>
      </c>
      <c r="AJ9" s="544" t="s">
        <v>983</v>
      </c>
      <c r="AK9" s="544" t="s">
        <v>983</v>
      </c>
      <c r="AL9" s="545" t="s">
        <v>983</v>
      </c>
    </row>
    <row r="10" spans="1:38" ht="12.75" customHeight="1">
      <c r="A10" s="80" t="s">
        <v>983</v>
      </c>
      <c r="B10" s="155" t="s">
        <v>992</v>
      </c>
      <c r="C10" s="155"/>
      <c r="D10" s="155"/>
      <c r="E10" s="155"/>
      <c r="F10" s="155"/>
      <c r="G10" s="155"/>
      <c r="H10" s="155"/>
      <c r="I10" s="155"/>
      <c r="J10" s="155"/>
      <c r="K10" s="155"/>
      <c r="L10" s="155"/>
      <c r="M10" s="155"/>
      <c r="N10" s="155"/>
      <c r="O10" s="155"/>
      <c r="P10" s="155"/>
      <c r="Q10" s="155"/>
      <c r="R10" s="155"/>
      <c r="S10" s="141" t="s">
        <v>983</v>
      </c>
      <c r="T10" s="544" t="s">
        <v>983</v>
      </c>
      <c r="U10" s="544" t="s">
        <v>983</v>
      </c>
      <c r="V10" s="544" t="s">
        <v>983</v>
      </c>
      <c r="W10" s="544"/>
      <c r="X10" s="544"/>
      <c r="Y10" s="544"/>
      <c r="Z10" s="544"/>
      <c r="AA10" s="544"/>
      <c r="AB10" s="544"/>
      <c r="AC10" s="544"/>
      <c r="AD10" s="544"/>
      <c r="AE10" s="544"/>
      <c r="AF10" s="544"/>
      <c r="AG10" s="544"/>
      <c r="AH10" s="544" t="s">
        <v>983</v>
      </c>
      <c r="AI10" s="544" t="s">
        <v>983</v>
      </c>
      <c r="AJ10" s="544" t="s">
        <v>983</v>
      </c>
      <c r="AK10" s="544" t="s">
        <v>983</v>
      </c>
      <c r="AL10" s="545" t="s">
        <v>983</v>
      </c>
    </row>
    <row r="11" spans="1:38" ht="12.75" customHeight="1">
      <c r="A11" s="80" t="s">
        <v>983</v>
      </c>
      <c r="B11" s="155" t="s">
        <v>993</v>
      </c>
      <c r="C11" s="155"/>
      <c r="D11" s="155"/>
      <c r="E11" s="155"/>
      <c r="F11" s="155"/>
      <c r="G11" s="155"/>
      <c r="H11" s="155"/>
      <c r="I11" s="155"/>
      <c r="J11" s="155"/>
      <c r="K11" s="155"/>
      <c r="L11" s="155"/>
      <c r="M11" s="155"/>
      <c r="N11" s="155"/>
      <c r="O11" s="155"/>
      <c r="P11" s="155"/>
      <c r="Q11" s="155"/>
      <c r="S11" s="141" t="s">
        <v>983</v>
      </c>
      <c r="T11" s="544" t="s">
        <v>983</v>
      </c>
      <c r="U11" s="544" t="s">
        <v>983</v>
      </c>
      <c r="V11" s="544" t="s">
        <v>983</v>
      </c>
      <c r="W11" s="544"/>
      <c r="X11" s="544"/>
      <c r="Y11" s="544"/>
      <c r="Z11" s="544"/>
      <c r="AA11" s="544"/>
      <c r="AB11" s="544"/>
      <c r="AC11" s="544"/>
      <c r="AD11" s="544"/>
      <c r="AE11" s="544"/>
      <c r="AF11" s="544"/>
      <c r="AG11" s="544"/>
      <c r="AH11" s="544" t="s">
        <v>983</v>
      </c>
      <c r="AI11" s="544" t="s">
        <v>983</v>
      </c>
      <c r="AJ11" s="544" t="s">
        <v>983</v>
      </c>
      <c r="AK11" s="544" t="s">
        <v>983</v>
      </c>
      <c r="AL11" s="545" t="s">
        <v>983</v>
      </c>
    </row>
    <row r="12" spans="1:38" ht="12.75" customHeight="1">
      <c r="A12" s="80" t="s">
        <v>983</v>
      </c>
      <c r="B12" s="155" t="s">
        <v>994</v>
      </c>
      <c r="C12" s="155"/>
      <c r="D12" s="155"/>
      <c r="E12" s="155"/>
      <c r="F12" s="155"/>
      <c r="G12" s="155"/>
      <c r="H12" s="155"/>
      <c r="I12" s="155"/>
      <c r="J12" s="155"/>
      <c r="K12" s="155"/>
      <c r="L12" s="155"/>
      <c r="M12" s="155"/>
      <c r="N12" s="155"/>
      <c r="O12" s="155"/>
      <c r="P12" s="155"/>
      <c r="S12" s="141" t="s">
        <v>983</v>
      </c>
      <c r="T12" s="544" t="s">
        <v>983</v>
      </c>
      <c r="U12" s="544" t="s">
        <v>983</v>
      </c>
      <c r="V12" s="544" t="s">
        <v>983</v>
      </c>
      <c r="W12" s="544"/>
      <c r="X12" s="544"/>
      <c r="Y12" s="544"/>
      <c r="Z12" s="544"/>
      <c r="AA12" s="544"/>
      <c r="AB12" s="544"/>
      <c r="AC12" s="544"/>
      <c r="AD12" s="544"/>
      <c r="AE12" s="544"/>
      <c r="AF12" s="544"/>
      <c r="AG12" s="544"/>
      <c r="AH12" s="544" t="s">
        <v>983</v>
      </c>
      <c r="AI12" s="544" t="s">
        <v>983</v>
      </c>
      <c r="AJ12" s="544" t="s">
        <v>983</v>
      </c>
      <c r="AK12" s="544" t="s">
        <v>983</v>
      </c>
      <c r="AL12" s="545" t="s">
        <v>983</v>
      </c>
    </row>
    <row r="13" spans="1:38" ht="12.75" customHeight="1">
      <c r="A13" s="80" t="s">
        <v>983</v>
      </c>
      <c r="B13" s="155" t="s">
        <v>995</v>
      </c>
      <c r="C13" s="155"/>
      <c r="D13" s="155"/>
      <c r="E13" s="155"/>
      <c r="F13" s="155"/>
      <c r="G13" s="155"/>
      <c r="H13" s="155"/>
      <c r="I13" s="155"/>
      <c r="J13" s="155"/>
      <c r="K13" s="155"/>
      <c r="L13" s="155"/>
      <c r="M13" s="155"/>
      <c r="N13" s="155"/>
      <c r="O13" s="155"/>
      <c r="P13" s="155"/>
      <c r="Q13" s="155"/>
      <c r="R13" s="155"/>
      <c r="S13" s="141" t="s">
        <v>983</v>
      </c>
      <c r="T13" s="544" t="s">
        <v>983</v>
      </c>
      <c r="U13" s="544" t="s">
        <v>983</v>
      </c>
      <c r="V13" s="544" t="s">
        <v>983</v>
      </c>
      <c r="W13" s="544"/>
      <c r="X13" s="544"/>
      <c r="Y13" s="544"/>
      <c r="Z13" s="544"/>
      <c r="AA13" s="544"/>
      <c r="AB13" s="544"/>
      <c r="AC13" s="544"/>
      <c r="AD13" s="544"/>
      <c r="AE13" s="544"/>
      <c r="AF13" s="544"/>
      <c r="AG13" s="544"/>
      <c r="AH13" s="544" t="s">
        <v>983</v>
      </c>
      <c r="AI13" s="544" t="s">
        <v>983</v>
      </c>
      <c r="AJ13" s="544" t="s">
        <v>983</v>
      </c>
      <c r="AK13" s="544" t="s">
        <v>983</v>
      </c>
      <c r="AL13" s="545" t="s">
        <v>983</v>
      </c>
    </row>
    <row r="14" spans="1:38" ht="12.75" customHeight="1">
      <c r="A14" s="80" t="s">
        <v>983</v>
      </c>
      <c r="S14" s="141" t="s">
        <v>983</v>
      </c>
      <c r="T14" s="544" t="s">
        <v>983</v>
      </c>
      <c r="U14" s="544" t="s">
        <v>983</v>
      </c>
      <c r="V14" s="544" t="s">
        <v>983</v>
      </c>
      <c r="W14" s="544"/>
      <c r="X14" s="544"/>
      <c r="Y14" s="544"/>
      <c r="Z14" s="544"/>
      <c r="AA14" s="544"/>
      <c r="AB14" s="544"/>
      <c r="AC14" s="544"/>
      <c r="AD14" s="544"/>
      <c r="AE14" s="544"/>
      <c r="AF14" s="544"/>
      <c r="AG14" s="544"/>
      <c r="AH14" s="544" t="s">
        <v>983</v>
      </c>
      <c r="AI14" s="544" t="s">
        <v>983</v>
      </c>
      <c r="AJ14" s="544" t="s">
        <v>983</v>
      </c>
      <c r="AK14" s="544" t="s">
        <v>983</v>
      </c>
      <c r="AL14" s="545" t="s">
        <v>983</v>
      </c>
    </row>
    <row r="15" spans="1:38" ht="12.75" customHeight="1">
      <c r="A15" s="80" t="s">
        <v>983</v>
      </c>
      <c r="B15" s="155"/>
      <c r="S15" s="141" t="s">
        <v>983</v>
      </c>
      <c r="T15" s="544" t="s">
        <v>983</v>
      </c>
      <c r="U15" s="544" t="s">
        <v>983</v>
      </c>
      <c r="V15" s="544" t="s">
        <v>983</v>
      </c>
      <c r="W15" s="544"/>
      <c r="X15" s="544"/>
      <c r="Y15" s="544"/>
      <c r="Z15" s="544"/>
      <c r="AA15" s="544"/>
      <c r="AB15" s="544"/>
      <c r="AC15" s="544"/>
      <c r="AD15" s="544"/>
      <c r="AE15" s="544"/>
      <c r="AF15" s="544"/>
      <c r="AG15" s="544"/>
      <c r="AH15" s="544" t="s">
        <v>983</v>
      </c>
      <c r="AI15" s="544" t="s">
        <v>983</v>
      </c>
      <c r="AJ15" s="544" t="s">
        <v>983</v>
      </c>
      <c r="AK15" s="544" t="s">
        <v>983</v>
      </c>
      <c r="AL15" s="545" t="s">
        <v>983</v>
      </c>
    </row>
    <row r="16" spans="1:38" ht="12.75" customHeight="1">
      <c r="A16" s="80" t="s">
        <v>983</v>
      </c>
      <c r="B16" s="155"/>
      <c r="S16" s="141" t="s">
        <v>983</v>
      </c>
      <c r="T16" s="544" t="s">
        <v>983</v>
      </c>
      <c r="U16" s="544" t="s">
        <v>983</v>
      </c>
      <c r="V16" s="544" t="s">
        <v>983</v>
      </c>
      <c r="W16" s="544"/>
      <c r="X16" s="544"/>
      <c r="Y16" s="544"/>
      <c r="Z16" s="544"/>
      <c r="AA16" s="544"/>
      <c r="AB16" s="544"/>
      <c r="AC16" s="544"/>
      <c r="AD16" s="544"/>
      <c r="AE16" s="544"/>
      <c r="AF16" s="544"/>
      <c r="AG16" s="544"/>
      <c r="AH16" s="544" t="s">
        <v>983</v>
      </c>
      <c r="AI16" s="544" t="s">
        <v>983</v>
      </c>
      <c r="AJ16" s="544" t="s">
        <v>983</v>
      </c>
      <c r="AK16" s="544" t="s">
        <v>983</v>
      </c>
      <c r="AL16" s="545" t="s">
        <v>983</v>
      </c>
    </row>
    <row r="17" spans="1:38" ht="12.75" customHeight="1">
      <c r="A17" s="80" t="s">
        <v>983</v>
      </c>
      <c r="B17" s="155"/>
      <c r="S17" s="141" t="s">
        <v>983</v>
      </c>
      <c r="T17" s="544" t="s">
        <v>983</v>
      </c>
      <c r="U17" s="544" t="s">
        <v>983</v>
      </c>
      <c r="V17" s="544" t="s">
        <v>983</v>
      </c>
      <c r="W17" s="544"/>
      <c r="X17" s="544"/>
      <c r="Y17" s="544"/>
      <c r="Z17" s="544"/>
      <c r="AA17" s="544"/>
      <c r="AB17" s="544"/>
      <c r="AC17" s="544"/>
      <c r="AD17" s="544"/>
      <c r="AE17" s="544"/>
      <c r="AF17" s="544"/>
      <c r="AG17" s="544"/>
      <c r="AH17" s="544" t="s">
        <v>983</v>
      </c>
      <c r="AI17" s="544" t="s">
        <v>983</v>
      </c>
      <c r="AJ17" s="544" t="s">
        <v>983</v>
      </c>
      <c r="AK17" s="544" t="s">
        <v>983</v>
      </c>
      <c r="AL17" s="545" t="s">
        <v>983</v>
      </c>
    </row>
    <row r="18" spans="1:38" ht="12.75" customHeight="1">
      <c r="A18" s="80" t="s">
        <v>983</v>
      </c>
      <c r="B18" s="155"/>
      <c r="S18" s="141" t="s">
        <v>983</v>
      </c>
      <c r="T18" s="544" t="s">
        <v>983</v>
      </c>
      <c r="U18" s="544" t="s">
        <v>983</v>
      </c>
      <c r="V18" s="544" t="s">
        <v>983</v>
      </c>
      <c r="W18" s="544"/>
      <c r="X18" s="544"/>
      <c r="Y18" s="544"/>
      <c r="Z18" s="544"/>
      <c r="AA18" s="544"/>
      <c r="AB18" s="544"/>
      <c r="AC18" s="544"/>
      <c r="AD18" s="544"/>
      <c r="AE18" s="544"/>
      <c r="AF18" s="544"/>
      <c r="AG18" s="544"/>
      <c r="AH18" s="544" t="s">
        <v>983</v>
      </c>
      <c r="AI18" s="544" t="s">
        <v>983</v>
      </c>
      <c r="AJ18" s="544" t="s">
        <v>983</v>
      </c>
      <c r="AK18" s="544" t="s">
        <v>983</v>
      </c>
      <c r="AL18" s="545" t="s">
        <v>983</v>
      </c>
    </row>
    <row r="19" spans="1:38" ht="12.75" customHeight="1">
      <c r="A19" s="80" t="s">
        <v>983</v>
      </c>
      <c r="B19" s="155"/>
      <c r="C19" s="155"/>
      <c r="S19" s="141" t="s">
        <v>983</v>
      </c>
      <c r="T19" s="544" t="s">
        <v>983</v>
      </c>
      <c r="U19" s="544" t="s">
        <v>983</v>
      </c>
      <c r="V19" s="544" t="s">
        <v>983</v>
      </c>
      <c r="W19" s="544"/>
      <c r="X19" s="544"/>
      <c r="Y19" s="544"/>
      <c r="Z19" s="544"/>
      <c r="AA19" s="544"/>
      <c r="AB19" s="544"/>
      <c r="AC19" s="544"/>
      <c r="AD19" s="544"/>
      <c r="AE19" s="544"/>
      <c r="AF19" s="544"/>
      <c r="AG19" s="544"/>
      <c r="AH19" s="544" t="s">
        <v>983</v>
      </c>
      <c r="AI19" s="544" t="s">
        <v>983</v>
      </c>
      <c r="AJ19" s="544" t="s">
        <v>983</v>
      </c>
      <c r="AK19" s="544" t="s">
        <v>983</v>
      </c>
      <c r="AL19" s="545" t="s">
        <v>983</v>
      </c>
    </row>
    <row r="20" spans="1:38" ht="12.75" customHeight="1">
      <c r="A20" s="80" t="s">
        <v>983</v>
      </c>
      <c r="S20" s="141" t="s">
        <v>983</v>
      </c>
      <c r="T20" s="544" t="s">
        <v>983</v>
      </c>
      <c r="U20" s="544" t="s">
        <v>983</v>
      </c>
      <c r="V20" s="544" t="s">
        <v>983</v>
      </c>
      <c r="W20" s="544"/>
      <c r="X20" s="544"/>
      <c r="Y20" s="544"/>
      <c r="Z20" s="544"/>
      <c r="AA20" s="544"/>
      <c r="AB20" s="544"/>
      <c r="AC20" s="544"/>
      <c r="AD20" s="544"/>
      <c r="AE20" s="544"/>
      <c r="AF20" s="544"/>
      <c r="AG20" s="544"/>
      <c r="AH20" s="544" t="s">
        <v>983</v>
      </c>
      <c r="AI20" s="544" t="s">
        <v>983</v>
      </c>
      <c r="AJ20" s="544" t="s">
        <v>983</v>
      </c>
      <c r="AK20" s="544" t="s">
        <v>983</v>
      </c>
      <c r="AL20" s="545" t="s">
        <v>983</v>
      </c>
    </row>
    <row r="21" spans="1:38" ht="12.75" customHeight="1">
      <c r="A21" s="80" t="s">
        <v>983</v>
      </c>
      <c r="B21" s="155"/>
      <c r="S21" s="141" t="s">
        <v>983</v>
      </c>
      <c r="T21" s="544" t="s">
        <v>983</v>
      </c>
      <c r="U21" s="544" t="s">
        <v>983</v>
      </c>
      <c r="V21" s="544" t="s">
        <v>983</v>
      </c>
      <c r="W21" s="544"/>
      <c r="X21" s="544"/>
      <c r="Y21" s="544"/>
      <c r="Z21" s="544"/>
      <c r="AA21" s="544"/>
      <c r="AB21" s="544"/>
      <c r="AC21" s="544"/>
      <c r="AD21" s="544"/>
      <c r="AE21" s="544"/>
      <c r="AF21" s="544"/>
      <c r="AG21" s="544"/>
      <c r="AH21" s="544" t="s">
        <v>983</v>
      </c>
      <c r="AI21" s="544" t="s">
        <v>983</v>
      </c>
      <c r="AJ21" s="544" t="s">
        <v>983</v>
      </c>
      <c r="AK21" s="544" t="s">
        <v>983</v>
      </c>
      <c r="AL21" s="545" t="s">
        <v>983</v>
      </c>
    </row>
    <row r="22" spans="1:38" ht="12.75" customHeight="1">
      <c r="A22" s="80" t="s">
        <v>983</v>
      </c>
      <c r="B22" s="155"/>
      <c r="S22" s="141" t="s">
        <v>983</v>
      </c>
      <c r="T22" s="544" t="s">
        <v>983</v>
      </c>
      <c r="U22" s="544" t="s">
        <v>983</v>
      </c>
      <c r="V22" s="544" t="s">
        <v>983</v>
      </c>
      <c r="W22" s="544"/>
      <c r="X22" s="544"/>
      <c r="Y22" s="544"/>
      <c r="Z22" s="544"/>
      <c r="AA22" s="544"/>
      <c r="AB22" s="544"/>
      <c r="AC22" s="544"/>
      <c r="AD22" s="544"/>
      <c r="AE22" s="544"/>
      <c r="AF22" s="544"/>
      <c r="AG22" s="544"/>
      <c r="AH22" s="544" t="s">
        <v>983</v>
      </c>
      <c r="AI22" s="544" t="s">
        <v>983</v>
      </c>
      <c r="AJ22" s="544" t="s">
        <v>983</v>
      </c>
      <c r="AK22" s="544" t="s">
        <v>983</v>
      </c>
      <c r="AL22" s="545" t="s">
        <v>983</v>
      </c>
    </row>
    <row r="23" spans="1:38" ht="12.75" customHeight="1">
      <c r="A23" s="80" t="s">
        <v>983</v>
      </c>
      <c r="B23" s="155"/>
      <c r="S23" s="141" t="s">
        <v>983</v>
      </c>
      <c r="T23" s="544" t="s">
        <v>983</v>
      </c>
      <c r="U23" s="544"/>
      <c r="V23" s="544" t="s">
        <v>983</v>
      </c>
      <c r="W23" s="544"/>
      <c r="X23" s="544"/>
      <c r="Y23" s="544"/>
      <c r="Z23" s="544"/>
      <c r="AA23" s="544"/>
      <c r="AB23" s="544"/>
      <c r="AC23" s="544"/>
      <c r="AD23" s="544"/>
      <c r="AE23" s="544"/>
      <c r="AF23" s="544"/>
      <c r="AG23" s="544"/>
      <c r="AH23" s="544" t="s">
        <v>983</v>
      </c>
      <c r="AI23" s="544" t="s">
        <v>983</v>
      </c>
      <c r="AJ23" s="544" t="s">
        <v>983</v>
      </c>
      <c r="AK23" s="544" t="s">
        <v>983</v>
      </c>
      <c r="AL23" s="545" t="s">
        <v>983</v>
      </c>
    </row>
    <row r="24" spans="1:38" ht="12.75" customHeight="1">
      <c r="A24" s="80" t="s">
        <v>983</v>
      </c>
      <c r="S24" s="141" t="s">
        <v>983</v>
      </c>
      <c r="T24" s="544" t="s">
        <v>983</v>
      </c>
      <c r="U24" s="544" t="s">
        <v>983</v>
      </c>
      <c r="V24" s="544" t="s">
        <v>983</v>
      </c>
      <c r="W24" s="544"/>
      <c r="X24" s="544"/>
      <c r="Y24" s="544"/>
      <c r="Z24" s="544"/>
      <c r="AA24" s="544"/>
      <c r="AB24" s="544"/>
      <c r="AC24" s="544"/>
      <c r="AD24" s="544"/>
      <c r="AE24" s="544"/>
      <c r="AF24" s="544"/>
      <c r="AG24" s="544"/>
      <c r="AH24" s="544" t="s">
        <v>983</v>
      </c>
      <c r="AI24" s="544" t="s">
        <v>983</v>
      </c>
      <c r="AJ24" s="544" t="s">
        <v>983</v>
      </c>
      <c r="AK24" s="544" t="s">
        <v>983</v>
      </c>
      <c r="AL24" s="545" t="s">
        <v>983</v>
      </c>
    </row>
    <row r="25" spans="1:38" ht="12.75" customHeight="1">
      <c r="A25" s="80" t="s">
        <v>983</v>
      </c>
      <c r="B25" s="155"/>
      <c r="S25" s="141" t="s">
        <v>983</v>
      </c>
      <c r="T25" s="544" t="s">
        <v>983</v>
      </c>
      <c r="U25" s="544" t="s">
        <v>983</v>
      </c>
      <c r="V25" s="544" t="s">
        <v>983</v>
      </c>
      <c r="W25" s="544"/>
      <c r="X25" s="544"/>
      <c r="Y25" s="544"/>
      <c r="Z25" s="544"/>
      <c r="AA25" s="544"/>
      <c r="AB25" s="544"/>
      <c r="AC25" s="544"/>
      <c r="AD25" s="544"/>
      <c r="AE25" s="544"/>
      <c r="AF25" s="544"/>
      <c r="AG25" s="544"/>
      <c r="AH25" s="544" t="s">
        <v>983</v>
      </c>
      <c r="AI25" s="544" t="s">
        <v>983</v>
      </c>
      <c r="AJ25" s="544" t="s">
        <v>983</v>
      </c>
      <c r="AK25" s="544" t="s">
        <v>983</v>
      </c>
      <c r="AL25" s="545" t="s">
        <v>983</v>
      </c>
    </row>
    <row r="26" spans="1:38" ht="12.75" customHeight="1">
      <c r="A26" s="80" t="s">
        <v>983</v>
      </c>
      <c r="B26" s="155"/>
      <c r="S26" s="141" t="s">
        <v>983</v>
      </c>
      <c r="T26" s="544" t="s">
        <v>983</v>
      </c>
      <c r="U26" s="544" t="s">
        <v>996</v>
      </c>
      <c r="V26" s="544"/>
      <c r="W26" s="544"/>
      <c r="X26" s="544"/>
      <c r="Y26" s="544"/>
      <c r="Z26" s="544"/>
      <c r="AA26" s="544"/>
      <c r="AB26" s="544"/>
      <c r="AC26" s="544"/>
      <c r="AD26" s="544"/>
      <c r="AE26" s="544" t="s">
        <v>983</v>
      </c>
      <c r="AF26" s="544" t="s">
        <v>983</v>
      </c>
      <c r="AG26" s="544" t="s">
        <v>983</v>
      </c>
      <c r="AH26" s="544" t="s">
        <v>983</v>
      </c>
      <c r="AI26" s="544" t="s">
        <v>983</v>
      </c>
      <c r="AJ26" s="544" t="s">
        <v>983</v>
      </c>
      <c r="AK26" s="544" t="s">
        <v>983</v>
      </c>
      <c r="AL26" s="545" t="s">
        <v>983</v>
      </c>
    </row>
    <row r="27" spans="1:38" ht="12.75" customHeight="1">
      <c r="A27" s="80" t="s">
        <v>983</v>
      </c>
      <c r="B27" s="155"/>
      <c r="S27" s="141" t="s">
        <v>983</v>
      </c>
      <c r="T27" s="544" t="s">
        <v>983</v>
      </c>
      <c r="U27" s="544" t="s">
        <v>983</v>
      </c>
      <c r="V27" s="544" t="s">
        <v>983</v>
      </c>
      <c r="W27" s="544" t="s">
        <v>983</v>
      </c>
      <c r="X27" s="544" t="s">
        <v>983</v>
      </c>
      <c r="Y27" s="544" t="s">
        <v>983</v>
      </c>
      <c r="Z27" s="544" t="s">
        <v>983</v>
      </c>
      <c r="AA27" s="544" t="s">
        <v>983</v>
      </c>
      <c r="AB27" s="544" t="s">
        <v>983</v>
      </c>
      <c r="AC27" s="544" t="s">
        <v>983</v>
      </c>
      <c r="AD27" s="544" t="s">
        <v>983</v>
      </c>
      <c r="AE27" s="544" t="s">
        <v>983</v>
      </c>
      <c r="AF27" s="544" t="s">
        <v>983</v>
      </c>
      <c r="AG27" s="544" t="s">
        <v>983</v>
      </c>
      <c r="AH27" s="544" t="s">
        <v>983</v>
      </c>
      <c r="AI27" s="544" t="s">
        <v>983</v>
      </c>
      <c r="AJ27" s="544" t="s">
        <v>983</v>
      </c>
      <c r="AK27" s="544" t="s">
        <v>983</v>
      </c>
      <c r="AL27" s="545" t="s">
        <v>983</v>
      </c>
    </row>
    <row r="28" spans="1:38" ht="12.75" customHeight="1">
      <c r="A28" s="80" t="s">
        <v>983</v>
      </c>
      <c r="B28" s="155"/>
      <c r="S28" s="141" t="s">
        <v>983</v>
      </c>
      <c r="T28" s="544" t="s">
        <v>983</v>
      </c>
      <c r="U28" s="547" t="s">
        <v>997</v>
      </c>
      <c r="V28" s="544"/>
      <c r="W28" s="544"/>
      <c r="X28" s="544"/>
      <c r="Y28" s="544"/>
      <c r="Z28" s="544"/>
      <c r="AA28" s="544"/>
      <c r="AB28" s="544"/>
      <c r="AC28" s="544"/>
      <c r="AD28" s="544"/>
      <c r="AE28" s="544"/>
      <c r="AF28" s="544"/>
      <c r="AG28" s="544"/>
      <c r="AH28" s="544"/>
      <c r="AI28" s="544"/>
      <c r="AJ28" s="544" t="s">
        <v>983</v>
      </c>
      <c r="AK28" s="544" t="s">
        <v>983</v>
      </c>
      <c r="AL28" s="545" t="s">
        <v>983</v>
      </c>
    </row>
    <row r="29" spans="1:38" ht="12.75" customHeight="1">
      <c r="A29" s="80" t="s">
        <v>983</v>
      </c>
      <c r="B29" s="155"/>
      <c r="S29" s="141" t="s">
        <v>983</v>
      </c>
      <c r="T29" s="544" t="s">
        <v>983</v>
      </c>
      <c r="U29" s="544" t="s">
        <v>998</v>
      </c>
      <c r="V29" s="544"/>
      <c r="W29" s="544"/>
      <c r="X29" s="544"/>
      <c r="Y29" s="544"/>
      <c r="Z29" s="544"/>
      <c r="AA29" s="544"/>
      <c r="AB29" s="544"/>
      <c r="AC29" s="544" t="s">
        <v>983</v>
      </c>
      <c r="AD29" s="544" t="s">
        <v>983</v>
      </c>
      <c r="AE29" s="544" t="s">
        <v>983</v>
      </c>
      <c r="AF29" s="544" t="s">
        <v>983</v>
      </c>
      <c r="AG29" s="544" t="s">
        <v>983</v>
      </c>
      <c r="AH29" s="544" t="s">
        <v>983</v>
      </c>
      <c r="AI29" s="544" t="s">
        <v>983</v>
      </c>
      <c r="AJ29" s="544" t="s">
        <v>983</v>
      </c>
      <c r="AK29" s="544" t="s">
        <v>983</v>
      </c>
      <c r="AL29" s="545" t="s">
        <v>983</v>
      </c>
    </row>
    <row r="30" spans="1:38" ht="12.75" customHeight="1">
      <c r="A30" s="80" t="s">
        <v>983</v>
      </c>
      <c r="B30" s="155"/>
      <c r="S30" s="141" t="s">
        <v>983</v>
      </c>
      <c r="T30" s="544" t="s">
        <v>983</v>
      </c>
      <c r="U30" s="544"/>
      <c r="V30" s="544"/>
      <c r="W30" s="544"/>
      <c r="X30" s="544"/>
      <c r="Y30" s="544"/>
      <c r="Z30" s="544"/>
      <c r="AA30" s="544"/>
      <c r="AB30" s="544"/>
      <c r="AC30" s="544"/>
      <c r="AD30" s="544"/>
      <c r="AE30" s="544"/>
      <c r="AF30" s="544"/>
      <c r="AG30" s="544"/>
      <c r="AH30" s="544"/>
      <c r="AI30" s="544"/>
      <c r="AJ30" s="544" t="s">
        <v>983</v>
      </c>
      <c r="AK30" s="544" t="s">
        <v>983</v>
      </c>
      <c r="AL30" s="545" t="s">
        <v>983</v>
      </c>
    </row>
    <row r="31" spans="1:38" ht="12.75" customHeight="1">
      <c r="A31" s="80" t="s">
        <v>983</v>
      </c>
      <c r="B31" s="155"/>
      <c r="C31" s="155"/>
      <c r="S31" s="141" t="s">
        <v>983</v>
      </c>
      <c r="T31" s="544" t="s">
        <v>983</v>
      </c>
      <c r="U31" s="544"/>
      <c r="V31" s="544"/>
      <c r="W31" s="544"/>
      <c r="X31" s="544"/>
      <c r="Y31" s="544"/>
      <c r="Z31" s="544"/>
      <c r="AA31" s="544"/>
      <c r="AB31" s="544"/>
      <c r="AC31" s="544"/>
      <c r="AD31" s="544"/>
      <c r="AE31" s="544"/>
      <c r="AF31" s="544"/>
      <c r="AG31" s="544"/>
      <c r="AH31" s="544"/>
      <c r="AI31" s="544"/>
      <c r="AJ31" s="544" t="s">
        <v>983</v>
      </c>
      <c r="AK31" s="544" t="s">
        <v>983</v>
      </c>
      <c r="AL31" s="545" t="s">
        <v>983</v>
      </c>
    </row>
    <row r="32" spans="1:38" ht="12.75" customHeight="1">
      <c r="A32" s="80" t="s">
        <v>983</v>
      </c>
      <c r="S32" s="141" t="s">
        <v>983</v>
      </c>
      <c r="T32" s="544" t="s">
        <v>983</v>
      </c>
      <c r="U32" s="544"/>
      <c r="V32" s="544"/>
      <c r="W32" s="544"/>
      <c r="X32" s="544"/>
      <c r="Y32" s="544"/>
      <c r="Z32" s="544"/>
      <c r="AA32" s="544"/>
      <c r="AB32" s="544"/>
      <c r="AC32" s="544"/>
      <c r="AD32" s="544"/>
      <c r="AE32" s="544"/>
      <c r="AF32" s="544"/>
      <c r="AG32" s="544"/>
      <c r="AH32" s="544"/>
      <c r="AI32" s="544"/>
      <c r="AJ32" s="544" t="s">
        <v>983</v>
      </c>
      <c r="AK32" s="544" t="s">
        <v>983</v>
      </c>
      <c r="AL32" s="545" t="s">
        <v>983</v>
      </c>
    </row>
    <row r="33" spans="1:38" ht="12.75" customHeight="1">
      <c r="A33" s="80" t="s">
        <v>983</v>
      </c>
      <c r="B33" s="155" t="s">
        <v>999</v>
      </c>
      <c r="C33" s="155"/>
      <c r="D33" s="155"/>
      <c r="E33" s="155"/>
      <c r="F33" s="155"/>
      <c r="G33" s="155"/>
      <c r="H33" s="155"/>
      <c r="I33" s="155"/>
      <c r="J33" s="155"/>
      <c r="K33" s="155"/>
      <c r="L33" s="155"/>
      <c r="M33" s="155"/>
      <c r="N33" s="155"/>
      <c r="O33" s="155"/>
      <c r="P33" s="155"/>
      <c r="Q33" s="155"/>
      <c r="R33" s="155"/>
      <c r="S33" s="141" t="s">
        <v>983</v>
      </c>
      <c r="T33" s="544" t="s">
        <v>983</v>
      </c>
      <c r="U33" s="544"/>
      <c r="V33" s="544"/>
      <c r="W33" s="544"/>
      <c r="X33" s="544"/>
      <c r="Y33" s="544"/>
      <c r="Z33" s="544"/>
      <c r="AA33" s="544"/>
      <c r="AB33" s="544"/>
      <c r="AC33" s="544"/>
      <c r="AD33" s="544"/>
      <c r="AE33" s="544"/>
      <c r="AF33" s="544"/>
      <c r="AG33" s="544"/>
      <c r="AH33" s="544"/>
      <c r="AI33" s="544"/>
      <c r="AJ33" s="544" t="s">
        <v>983</v>
      </c>
      <c r="AK33" s="544" t="s">
        <v>983</v>
      </c>
      <c r="AL33" s="545" t="s">
        <v>983</v>
      </c>
    </row>
    <row r="34" spans="1:38" ht="12.75" customHeight="1">
      <c r="A34" s="80" t="s">
        <v>983</v>
      </c>
      <c r="B34" s="548" t="s">
        <v>1000</v>
      </c>
      <c r="C34" s="155"/>
      <c r="D34" s="155"/>
      <c r="E34" s="155"/>
      <c r="F34" s="155"/>
      <c r="G34" s="155"/>
      <c r="H34" s="155"/>
      <c r="I34" s="155"/>
      <c r="J34" s="155"/>
      <c r="K34" s="155"/>
      <c r="L34" s="155"/>
      <c r="M34" s="155"/>
      <c r="N34" s="155"/>
      <c r="O34" s="155"/>
      <c r="P34" s="155"/>
      <c r="Q34" s="155"/>
      <c r="S34" s="141" t="s">
        <v>983</v>
      </c>
      <c r="T34" s="544" t="s">
        <v>983</v>
      </c>
      <c r="U34" s="544"/>
      <c r="V34" s="544"/>
      <c r="W34" s="544"/>
      <c r="X34" s="544"/>
      <c r="Y34" s="544"/>
      <c r="Z34" s="544"/>
      <c r="AA34" s="544"/>
      <c r="AB34" s="544"/>
      <c r="AC34" s="544"/>
      <c r="AD34" s="544"/>
      <c r="AE34" s="544"/>
      <c r="AF34" s="544"/>
      <c r="AG34" s="544"/>
      <c r="AH34" s="544"/>
      <c r="AI34" s="544"/>
      <c r="AJ34" s="544" t="s">
        <v>983</v>
      </c>
      <c r="AK34" s="544" t="s">
        <v>983</v>
      </c>
      <c r="AL34" s="545" t="s">
        <v>983</v>
      </c>
    </row>
    <row r="35" spans="1:38" ht="12.75" customHeight="1">
      <c r="A35" s="80" t="s">
        <v>983</v>
      </c>
      <c r="B35" s="155"/>
      <c r="S35" s="141" t="s">
        <v>983</v>
      </c>
      <c r="T35" s="544" t="s">
        <v>983</v>
      </c>
      <c r="U35" s="544"/>
      <c r="V35" s="544"/>
      <c r="W35" s="544"/>
      <c r="X35" s="544"/>
      <c r="Y35" s="544"/>
      <c r="Z35" s="544"/>
      <c r="AA35" s="544"/>
      <c r="AB35" s="544"/>
      <c r="AC35" s="544"/>
      <c r="AD35" s="544"/>
      <c r="AE35" s="544"/>
      <c r="AF35" s="544"/>
      <c r="AG35" s="544"/>
      <c r="AH35" s="544"/>
      <c r="AI35" s="544"/>
      <c r="AJ35" s="544" t="s">
        <v>983</v>
      </c>
      <c r="AK35" s="544" t="s">
        <v>983</v>
      </c>
      <c r="AL35" s="545" t="s">
        <v>983</v>
      </c>
    </row>
    <row r="36" spans="1:38" ht="12.75" customHeight="1">
      <c r="A36" s="80" t="s">
        <v>983</v>
      </c>
      <c r="S36" s="141" t="s">
        <v>983</v>
      </c>
      <c r="T36" s="544" t="s">
        <v>983</v>
      </c>
      <c r="U36" s="544"/>
      <c r="V36" s="544"/>
      <c r="W36" s="544"/>
      <c r="X36" s="544"/>
      <c r="Y36" s="544"/>
      <c r="Z36" s="544"/>
      <c r="AA36" s="544"/>
      <c r="AB36" s="544"/>
      <c r="AC36" s="544"/>
      <c r="AD36" s="544"/>
      <c r="AE36" s="544"/>
      <c r="AF36" s="544"/>
      <c r="AG36" s="544"/>
      <c r="AH36" s="544"/>
      <c r="AI36" s="544"/>
      <c r="AJ36" s="544" t="s">
        <v>983</v>
      </c>
      <c r="AK36" s="544" t="s">
        <v>983</v>
      </c>
      <c r="AL36" s="545" t="s">
        <v>983</v>
      </c>
    </row>
    <row r="37" spans="1:38" ht="12.75" customHeight="1">
      <c r="A37" s="80" t="s">
        <v>983</v>
      </c>
      <c r="S37" s="141" t="s">
        <v>983</v>
      </c>
      <c r="T37" s="544" t="s">
        <v>983</v>
      </c>
      <c r="U37" s="544"/>
      <c r="V37" s="544"/>
      <c r="W37" s="544"/>
      <c r="X37" s="544"/>
      <c r="Y37" s="544"/>
      <c r="Z37" s="544"/>
      <c r="AA37" s="544"/>
      <c r="AB37" s="544"/>
      <c r="AC37" s="544"/>
      <c r="AD37" s="544"/>
      <c r="AE37" s="544"/>
      <c r="AF37" s="544"/>
      <c r="AG37" s="544"/>
      <c r="AH37" s="544"/>
      <c r="AI37" s="544"/>
      <c r="AJ37" s="544" t="s">
        <v>983</v>
      </c>
      <c r="AK37" s="544" t="s">
        <v>983</v>
      </c>
      <c r="AL37" s="545" t="s">
        <v>983</v>
      </c>
    </row>
    <row r="38" spans="1:38" ht="12.75" customHeight="1">
      <c r="A38" s="80" t="s">
        <v>983</v>
      </c>
      <c r="S38" s="141" t="s">
        <v>983</v>
      </c>
      <c r="T38" s="544" t="s">
        <v>983</v>
      </c>
      <c r="U38" s="544"/>
      <c r="V38" s="544"/>
      <c r="W38" s="544"/>
      <c r="X38" s="544"/>
      <c r="Y38" s="544"/>
      <c r="Z38" s="544"/>
      <c r="AA38" s="544"/>
      <c r="AB38" s="544"/>
      <c r="AC38" s="544"/>
      <c r="AD38" s="544"/>
      <c r="AE38" s="544"/>
      <c r="AF38" s="544"/>
      <c r="AG38" s="544"/>
      <c r="AH38" s="544"/>
      <c r="AI38" s="544"/>
      <c r="AJ38" s="544" t="s">
        <v>983</v>
      </c>
      <c r="AK38" s="544" t="s">
        <v>983</v>
      </c>
      <c r="AL38" s="545" t="s">
        <v>983</v>
      </c>
    </row>
    <row r="39" spans="1:38" ht="12.75" customHeight="1">
      <c r="A39" s="80" t="s">
        <v>983</v>
      </c>
      <c r="S39" s="141" t="s">
        <v>983</v>
      </c>
      <c r="T39" s="544" t="s">
        <v>983</v>
      </c>
      <c r="U39" s="544"/>
      <c r="V39" s="544"/>
      <c r="W39" s="544"/>
      <c r="X39" s="544"/>
      <c r="Y39" s="544"/>
      <c r="Z39" s="544"/>
      <c r="AA39" s="544"/>
      <c r="AB39" s="544"/>
      <c r="AC39" s="544"/>
      <c r="AD39" s="544"/>
      <c r="AE39" s="544"/>
      <c r="AF39" s="544"/>
      <c r="AG39" s="544"/>
      <c r="AH39" s="544"/>
      <c r="AI39" s="544"/>
      <c r="AJ39" s="544" t="s">
        <v>983</v>
      </c>
      <c r="AK39" s="544" t="s">
        <v>983</v>
      </c>
      <c r="AL39" s="545" t="s">
        <v>983</v>
      </c>
    </row>
    <row r="40" spans="1:38" ht="12.75" customHeight="1">
      <c r="A40" s="80" t="s">
        <v>983</v>
      </c>
      <c r="S40" s="141" t="s">
        <v>983</v>
      </c>
      <c r="T40" s="544" t="s">
        <v>983</v>
      </c>
      <c r="U40" s="544"/>
      <c r="V40" s="544"/>
      <c r="W40" s="544"/>
      <c r="X40" s="544"/>
      <c r="Y40" s="544"/>
      <c r="Z40" s="544"/>
      <c r="AA40" s="544"/>
      <c r="AB40" s="544"/>
      <c r="AC40" s="544"/>
      <c r="AD40" s="544"/>
      <c r="AE40" s="544"/>
      <c r="AF40" s="544"/>
      <c r="AG40" s="544"/>
      <c r="AH40" s="544"/>
      <c r="AI40" s="544"/>
      <c r="AJ40" s="544" t="s">
        <v>983</v>
      </c>
      <c r="AK40" s="544" t="s">
        <v>983</v>
      </c>
      <c r="AL40" s="545" t="s">
        <v>983</v>
      </c>
    </row>
    <row r="41" spans="1:38" ht="12.75" customHeight="1">
      <c r="A41" s="80" t="s">
        <v>983</v>
      </c>
      <c r="S41" s="141" t="s">
        <v>983</v>
      </c>
      <c r="T41" s="544" t="s">
        <v>983</v>
      </c>
      <c r="U41" s="544"/>
      <c r="V41" s="544"/>
      <c r="W41" s="544"/>
      <c r="X41" s="544"/>
      <c r="Y41" s="544"/>
      <c r="Z41" s="544"/>
      <c r="AA41" s="544"/>
      <c r="AB41" s="544"/>
      <c r="AC41" s="544"/>
      <c r="AD41" s="544"/>
      <c r="AE41" s="544"/>
      <c r="AF41" s="544"/>
      <c r="AG41" s="544"/>
      <c r="AH41" s="544"/>
      <c r="AI41" s="544"/>
      <c r="AJ41" s="544" t="s">
        <v>983</v>
      </c>
      <c r="AK41" s="544" t="s">
        <v>983</v>
      </c>
      <c r="AL41" s="545" t="s">
        <v>983</v>
      </c>
    </row>
    <row r="42" spans="1:38" ht="12.75" customHeight="1">
      <c r="A42" s="80" t="s">
        <v>983</v>
      </c>
      <c r="S42" s="141" t="s">
        <v>983</v>
      </c>
      <c r="T42" s="544" t="s">
        <v>983</v>
      </c>
      <c r="U42" s="544"/>
      <c r="V42" s="544"/>
      <c r="W42" s="544"/>
      <c r="X42" s="544"/>
      <c r="Y42" s="544"/>
      <c r="Z42" s="544"/>
      <c r="AA42" s="544"/>
      <c r="AB42" s="544"/>
      <c r="AC42" s="544"/>
      <c r="AD42" s="544"/>
      <c r="AE42" s="544"/>
      <c r="AF42" s="544"/>
      <c r="AG42" s="544"/>
      <c r="AH42" s="544"/>
      <c r="AI42" s="544"/>
      <c r="AJ42" s="544" t="s">
        <v>983</v>
      </c>
      <c r="AK42" s="544" t="s">
        <v>983</v>
      </c>
      <c r="AL42" s="545" t="s">
        <v>983</v>
      </c>
    </row>
    <row r="43" spans="1:38" ht="12.75" customHeight="1">
      <c r="A43" s="80" t="s">
        <v>983</v>
      </c>
      <c r="S43" s="141" t="s">
        <v>983</v>
      </c>
      <c r="T43" s="544" t="s">
        <v>983</v>
      </c>
      <c r="U43" s="544" t="s">
        <v>983</v>
      </c>
      <c r="V43" s="544" t="s">
        <v>983</v>
      </c>
      <c r="W43" s="544" t="s">
        <v>983</v>
      </c>
      <c r="X43" s="544" t="s">
        <v>983</v>
      </c>
      <c r="Y43" s="544" t="s">
        <v>983</v>
      </c>
      <c r="Z43" s="544" t="s">
        <v>983</v>
      </c>
      <c r="AA43" s="544" t="s">
        <v>983</v>
      </c>
      <c r="AB43" s="544" t="s">
        <v>983</v>
      </c>
      <c r="AC43" s="544" t="s">
        <v>983</v>
      </c>
      <c r="AD43" s="544" t="s">
        <v>983</v>
      </c>
      <c r="AE43" s="544" t="s">
        <v>983</v>
      </c>
      <c r="AF43" s="544" t="s">
        <v>983</v>
      </c>
      <c r="AG43" s="544" t="s">
        <v>983</v>
      </c>
      <c r="AH43" s="544" t="s">
        <v>983</v>
      </c>
      <c r="AI43" s="544" t="s">
        <v>983</v>
      </c>
      <c r="AJ43" s="544" t="s">
        <v>983</v>
      </c>
      <c r="AK43" s="544" t="s">
        <v>983</v>
      </c>
      <c r="AL43" s="545" t="s">
        <v>983</v>
      </c>
    </row>
    <row r="44" spans="1:38" ht="12.75" customHeight="1">
      <c r="A44" s="80" t="s">
        <v>983</v>
      </c>
      <c r="S44" s="141" t="s">
        <v>983</v>
      </c>
      <c r="T44" s="544" t="s">
        <v>983</v>
      </c>
      <c r="U44" s="544" t="s">
        <v>983</v>
      </c>
      <c r="V44" s="544"/>
      <c r="W44" s="544" t="s">
        <v>983</v>
      </c>
      <c r="X44" s="544" t="s">
        <v>983</v>
      </c>
      <c r="Y44" s="544" t="s">
        <v>983</v>
      </c>
      <c r="Z44" s="544" t="s">
        <v>983</v>
      </c>
      <c r="AA44" s="544" t="s">
        <v>983</v>
      </c>
      <c r="AB44" s="544" t="s">
        <v>983</v>
      </c>
      <c r="AC44" s="544" t="s">
        <v>983</v>
      </c>
      <c r="AD44" s="544" t="s">
        <v>983</v>
      </c>
      <c r="AE44" s="544" t="s">
        <v>983</v>
      </c>
      <c r="AF44" s="544" t="s">
        <v>983</v>
      </c>
      <c r="AG44" s="544" t="s">
        <v>983</v>
      </c>
      <c r="AH44" s="544" t="s">
        <v>983</v>
      </c>
      <c r="AI44" s="544" t="s">
        <v>983</v>
      </c>
      <c r="AJ44" s="544" t="s">
        <v>983</v>
      </c>
      <c r="AK44" s="544" t="s">
        <v>983</v>
      </c>
      <c r="AL44" s="545" t="s">
        <v>983</v>
      </c>
    </row>
    <row r="45" spans="1:38" ht="12.75" customHeight="1">
      <c r="A45" s="80" t="s">
        <v>983</v>
      </c>
      <c r="S45" s="141" t="s">
        <v>983</v>
      </c>
      <c r="T45" s="544" t="s">
        <v>983</v>
      </c>
      <c r="U45" s="544" t="s">
        <v>983</v>
      </c>
      <c r="V45" s="544" t="s">
        <v>983</v>
      </c>
      <c r="W45" s="544" t="s">
        <v>983</v>
      </c>
      <c r="X45" s="544" t="s">
        <v>983</v>
      </c>
      <c r="Y45" s="544" t="s">
        <v>983</v>
      </c>
      <c r="Z45" s="544" t="s">
        <v>983</v>
      </c>
      <c r="AA45" s="544" t="s">
        <v>983</v>
      </c>
      <c r="AB45" s="544" t="s">
        <v>983</v>
      </c>
      <c r="AC45" s="544" t="s">
        <v>983</v>
      </c>
      <c r="AD45" s="544" t="s">
        <v>983</v>
      </c>
      <c r="AE45" s="544" t="s">
        <v>983</v>
      </c>
      <c r="AF45" s="544" t="s">
        <v>983</v>
      </c>
      <c r="AG45" s="544" t="s">
        <v>983</v>
      </c>
      <c r="AH45" s="544" t="s">
        <v>983</v>
      </c>
      <c r="AI45" s="544" t="s">
        <v>983</v>
      </c>
      <c r="AJ45" s="544" t="s">
        <v>983</v>
      </c>
      <c r="AK45" s="544" t="s">
        <v>983</v>
      </c>
      <c r="AL45" s="545" t="s">
        <v>983</v>
      </c>
    </row>
    <row r="46" spans="1:38" ht="12.75" customHeight="1">
      <c r="A46" s="80" t="s">
        <v>983</v>
      </c>
      <c r="S46" s="141" t="s">
        <v>983</v>
      </c>
      <c r="T46" s="544" t="s">
        <v>983</v>
      </c>
      <c r="U46" s="544" t="s">
        <v>1001</v>
      </c>
      <c r="V46" s="544"/>
      <c r="W46" s="544"/>
      <c r="X46" s="544"/>
      <c r="Y46" s="544"/>
      <c r="Z46" s="544"/>
      <c r="AA46" s="544"/>
      <c r="AB46" s="544"/>
      <c r="AC46" s="544"/>
      <c r="AD46" s="544"/>
      <c r="AE46" s="544"/>
      <c r="AF46" s="544"/>
      <c r="AG46" s="544"/>
      <c r="AH46" s="544"/>
      <c r="AI46" s="544"/>
      <c r="AJ46" s="544" t="s">
        <v>983</v>
      </c>
      <c r="AK46" s="544" t="s">
        <v>983</v>
      </c>
      <c r="AL46" s="545" t="s">
        <v>983</v>
      </c>
    </row>
    <row r="47" spans="1:38" ht="12.75" customHeight="1">
      <c r="A47" s="80" t="s">
        <v>983</v>
      </c>
      <c r="S47" s="141" t="s">
        <v>983</v>
      </c>
      <c r="T47" s="7"/>
      <c r="U47" s="6"/>
      <c r="V47" s="6"/>
      <c r="W47" s="6"/>
      <c r="X47" s="6"/>
      <c r="Y47" s="6"/>
      <c r="Z47" s="6"/>
      <c r="AA47" s="6"/>
      <c r="AB47" s="6"/>
      <c r="AC47" s="6"/>
      <c r="AD47" s="6"/>
      <c r="AE47" s="6"/>
      <c r="AF47" s="6"/>
      <c r="AG47" s="6"/>
      <c r="AH47" s="6"/>
      <c r="AI47" s="6"/>
      <c r="AJ47" s="6"/>
      <c r="AK47" s="6"/>
      <c r="AL47" s="8"/>
    </row>
    <row r="48" spans="1:38" ht="12.75" customHeight="1">
      <c r="A48" s="80" t="s">
        <v>983</v>
      </c>
      <c r="S48" s="141" t="s">
        <v>983</v>
      </c>
      <c r="T48" s="7"/>
      <c r="U48" s="6"/>
      <c r="V48" s="6"/>
      <c r="W48" s="6"/>
      <c r="X48" s="6"/>
      <c r="Y48" s="6"/>
      <c r="Z48" s="6"/>
      <c r="AA48" s="6"/>
      <c r="AB48" s="6"/>
      <c r="AC48" s="6"/>
      <c r="AD48" s="6"/>
      <c r="AE48" s="6"/>
      <c r="AF48" s="6"/>
      <c r="AG48" s="6"/>
      <c r="AH48" s="6"/>
      <c r="AI48" s="6"/>
      <c r="AJ48" s="6"/>
      <c r="AK48" s="6"/>
      <c r="AL48" s="8"/>
    </row>
    <row r="49" spans="1:38" ht="12.75" customHeight="1">
      <c r="A49" s="80" t="s">
        <v>983</v>
      </c>
      <c r="S49" s="141" t="s">
        <v>983</v>
      </c>
      <c r="T49" s="7"/>
      <c r="U49" s="6"/>
      <c r="V49" s="6"/>
      <c r="W49" s="6"/>
      <c r="X49" s="6"/>
      <c r="Y49" s="6"/>
      <c r="Z49" s="6"/>
      <c r="AA49" s="6"/>
      <c r="AB49" s="6"/>
      <c r="AC49" s="6"/>
      <c r="AD49" s="6"/>
      <c r="AE49" s="6"/>
      <c r="AF49" s="6"/>
      <c r="AG49" s="6"/>
      <c r="AH49" s="6"/>
      <c r="AI49" s="6"/>
      <c r="AJ49" s="6"/>
      <c r="AK49" s="6"/>
      <c r="AL49" s="8"/>
    </row>
    <row r="50" spans="1:38" ht="12.75" customHeight="1">
      <c r="A50" s="80" t="s">
        <v>983</v>
      </c>
      <c r="B50" s="156" t="s">
        <v>1002</v>
      </c>
      <c r="C50" s="155"/>
      <c r="D50" s="155"/>
      <c r="E50" s="155"/>
      <c r="F50" s="155"/>
      <c r="G50" s="155"/>
      <c r="H50" s="155"/>
      <c r="I50" s="155"/>
      <c r="J50" s="155"/>
      <c r="K50" s="155"/>
      <c r="L50" s="155"/>
      <c r="M50" s="155"/>
      <c r="N50" s="155"/>
      <c r="O50" s="155"/>
      <c r="P50" s="155"/>
      <c r="Q50" s="155"/>
      <c r="R50" s="155"/>
      <c r="S50" s="155"/>
      <c r="T50" s="7"/>
      <c r="U50" s="6"/>
      <c r="V50" s="6"/>
      <c r="W50" s="6"/>
      <c r="X50" s="6"/>
      <c r="Y50" s="6"/>
      <c r="Z50" s="6"/>
      <c r="AA50" s="6"/>
      <c r="AB50" s="6"/>
      <c r="AC50" s="6"/>
      <c r="AD50" s="6"/>
      <c r="AE50" s="6"/>
      <c r="AF50" s="6"/>
      <c r="AG50" s="6"/>
      <c r="AH50" s="6"/>
      <c r="AI50" s="6"/>
      <c r="AJ50" s="6"/>
      <c r="AK50" s="6"/>
      <c r="AL50" s="8"/>
    </row>
    <row r="51" spans="1:38" ht="12.75" customHeight="1">
      <c r="A51" s="80" t="s">
        <v>983</v>
      </c>
      <c r="B51" s="155"/>
      <c r="C51" s="155"/>
      <c r="D51" s="155"/>
      <c r="E51" s="155"/>
      <c r="F51" s="155"/>
      <c r="G51" s="155"/>
      <c r="H51" s="155"/>
      <c r="I51" s="155"/>
      <c r="J51" s="155"/>
      <c r="K51" s="155"/>
      <c r="L51" s="155"/>
      <c r="M51" s="155"/>
      <c r="N51" s="155"/>
      <c r="O51" s="155"/>
      <c r="P51" s="155"/>
      <c r="Q51" s="155"/>
      <c r="S51" s="141" t="s">
        <v>983</v>
      </c>
      <c r="T51" s="7"/>
      <c r="U51" s="6"/>
      <c r="V51" s="6"/>
      <c r="W51" s="6"/>
      <c r="X51" s="6"/>
      <c r="Y51" s="6"/>
      <c r="Z51" s="6"/>
      <c r="AA51" s="6"/>
      <c r="AB51" s="6"/>
      <c r="AC51" s="6"/>
      <c r="AD51" s="6"/>
      <c r="AE51" s="6"/>
      <c r="AF51" s="6"/>
      <c r="AG51" s="6"/>
      <c r="AH51" s="6"/>
      <c r="AI51" s="6"/>
      <c r="AJ51" s="6"/>
      <c r="AK51" s="6"/>
      <c r="AL51" s="8"/>
    </row>
    <row r="52" spans="1:38" ht="12.75" customHeight="1">
      <c r="A52" s="80" t="s">
        <v>983</v>
      </c>
      <c r="B52" s="155" t="s">
        <v>1003</v>
      </c>
      <c r="S52" s="141" t="s">
        <v>983</v>
      </c>
      <c r="T52" s="7"/>
      <c r="U52" s="6"/>
      <c r="V52" s="6"/>
      <c r="W52" s="6"/>
      <c r="X52" s="6"/>
      <c r="Y52" s="6"/>
      <c r="Z52" s="6"/>
      <c r="AA52" s="6"/>
      <c r="AB52" s="6"/>
      <c r="AC52" s="6"/>
      <c r="AD52" s="6"/>
      <c r="AE52" s="6"/>
      <c r="AF52" s="6"/>
      <c r="AG52" s="6"/>
      <c r="AH52" s="6"/>
      <c r="AI52" s="6"/>
      <c r="AJ52" s="6"/>
      <c r="AK52" s="6"/>
      <c r="AL52" s="8"/>
    </row>
    <row r="53" spans="1:38" ht="12.75" customHeight="1">
      <c r="A53" s="80" t="s">
        <v>983</v>
      </c>
      <c r="B53" s="155"/>
      <c r="C53" s="155"/>
      <c r="D53" s="155"/>
      <c r="E53" s="155"/>
      <c r="F53" s="155"/>
      <c r="G53" s="155"/>
      <c r="H53" s="155"/>
      <c r="I53" s="155"/>
      <c r="J53" s="155"/>
      <c r="K53" s="155"/>
      <c r="L53" s="155"/>
      <c r="M53" s="155"/>
      <c r="N53" s="155"/>
      <c r="O53" s="155"/>
      <c r="P53" s="155"/>
      <c r="Q53" s="155"/>
      <c r="R53" s="155"/>
      <c r="S53" s="141" t="s">
        <v>983</v>
      </c>
      <c r="T53" s="7"/>
      <c r="U53" s="6"/>
      <c r="V53" s="6"/>
      <c r="W53" s="6"/>
      <c r="X53" s="6"/>
      <c r="Y53" s="6"/>
      <c r="Z53" s="6"/>
      <c r="AA53" s="6"/>
      <c r="AB53" s="6"/>
      <c r="AC53" s="6"/>
      <c r="AD53" s="6"/>
      <c r="AE53" s="6"/>
      <c r="AF53" s="6"/>
      <c r="AG53" s="6"/>
      <c r="AH53" s="6"/>
      <c r="AI53" s="6"/>
      <c r="AJ53" s="6"/>
      <c r="AK53" s="6"/>
      <c r="AL53" s="8"/>
    </row>
    <row r="54" spans="1:38" ht="12.75" customHeight="1">
      <c r="A54" s="528"/>
      <c r="B54" s="536"/>
      <c r="C54" s="529"/>
      <c r="D54" s="529"/>
      <c r="E54" s="529"/>
      <c r="F54" s="529"/>
      <c r="G54" s="529"/>
      <c r="H54" s="529"/>
      <c r="I54" s="529"/>
      <c r="J54" s="529"/>
      <c r="K54" s="529"/>
      <c r="L54" s="529"/>
      <c r="M54" s="529"/>
      <c r="N54" s="529"/>
      <c r="O54" s="529"/>
      <c r="P54" s="529"/>
      <c r="Q54" s="529"/>
      <c r="R54" s="529"/>
      <c r="S54" s="531"/>
      <c r="T54" s="7"/>
      <c r="U54" s="6"/>
      <c r="V54" s="6"/>
      <c r="W54" s="6"/>
      <c r="X54" s="6"/>
      <c r="Y54" s="6"/>
      <c r="Z54" s="6"/>
      <c r="AA54" s="6"/>
      <c r="AB54" s="6"/>
      <c r="AC54" s="6"/>
      <c r="AD54" s="6"/>
      <c r="AE54" s="6"/>
      <c r="AF54" s="6"/>
      <c r="AG54" s="6"/>
      <c r="AH54" s="6"/>
      <c r="AI54" s="6"/>
      <c r="AJ54" s="6"/>
      <c r="AK54" s="6"/>
      <c r="AL54" s="8"/>
    </row>
    <row r="55" spans="1:38" ht="12.75" customHeight="1">
      <c r="A55" s="528"/>
      <c r="B55" s="530" t="s">
        <v>884</v>
      </c>
      <c r="C55" s="529"/>
      <c r="D55" s="529"/>
      <c r="E55" s="529"/>
      <c r="F55" s="529"/>
      <c r="G55" s="529"/>
      <c r="H55" s="529"/>
      <c r="I55" s="529"/>
      <c r="J55" s="529"/>
      <c r="K55" s="529"/>
      <c r="L55" s="529"/>
      <c r="M55" s="529"/>
      <c r="N55" s="529"/>
      <c r="O55" s="529"/>
      <c r="P55" s="529"/>
      <c r="Q55" s="529"/>
      <c r="R55" s="529"/>
      <c r="S55" s="531"/>
      <c r="T55" s="7"/>
      <c r="U55" s="447" t="s">
        <v>884</v>
      </c>
      <c r="V55" s="6"/>
      <c r="W55" s="6"/>
      <c r="X55" s="6"/>
      <c r="Y55" s="6"/>
      <c r="Z55" s="6"/>
      <c r="AA55" s="6"/>
      <c r="AB55" s="6"/>
      <c r="AC55" s="6"/>
      <c r="AD55" s="6"/>
      <c r="AE55" s="6"/>
      <c r="AF55" s="6"/>
      <c r="AG55" s="6"/>
      <c r="AH55" s="6"/>
      <c r="AI55" s="6"/>
      <c r="AJ55" s="6"/>
      <c r="AK55" s="6"/>
      <c r="AL55" s="8"/>
    </row>
    <row r="56" spans="1:38" ht="12.75" customHeight="1">
      <c r="A56" s="534"/>
      <c r="B56" s="533"/>
      <c r="C56" s="533"/>
      <c r="D56" s="533"/>
      <c r="E56" s="533"/>
      <c r="F56" s="533"/>
      <c r="G56" s="533"/>
      <c r="H56" s="533"/>
      <c r="I56" s="533"/>
      <c r="J56" s="533"/>
      <c r="K56" s="533"/>
      <c r="L56" s="533"/>
      <c r="M56" s="533"/>
      <c r="N56" s="533"/>
      <c r="O56" s="533"/>
      <c r="P56" s="533"/>
      <c r="Q56" s="533"/>
      <c r="R56" s="533"/>
      <c r="S56" s="535"/>
      <c r="T56" s="20"/>
      <c r="U56" s="21"/>
      <c r="V56" s="21"/>
      <c r="W56" s="21"/>
      <c r="X56" s="21"/>
      <c r="Y56" s="21"/>
      <c r="Z56" s="21"/>
      <c r="AA56" s="21"/>
      <c r="AB56" s="21"/>
      <c r="AC56" s="21"/>
      <c r="AD56" s="21"/>
      <c r="AE56" s="21"/>
      <c r="AF56" s="21"/>
      <c r="AG56" s="21"/>
      <c r="AH56" s="21"/>
      <c r="AI56" s="21"/>
      <c r="AJ56" s="21"/>
      <c r="AK56" s="21"/>
      <c r="AL56" s="22"/>
    </row>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T1:AL1"/>
  </mergeCells>
  <hyperlinks>
    <hyperlink ref="B55" location="'T4.5 Harness Attachments'!V12" display="BACK" xr:uid="{00000000-0004-0000-3000-000000000000}"/>
    <hyperlink ref="U55" location="'T5.5 Shoulder Harness Bar'!A1" display="BACK" xr:uid="{00000000-0004-0000-3000-000001000000}"/>
  </hyperlinks>
  <pageMargins left="0.39370078740157483" right="0.39370078740157483" top="0.39370078740157483" bottom="0.39370078740157483" header="0" footer="0"/>
  <pageSetup paperSize="9"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1000"/>
  <sheetViews>
    <sheetView showGridLines="0" workbookViewId="0"/>
  </sheetViews>
  <sheetFormatPr baseColWidth="10" defaultColWidth="12.5703125" defaultRowHeight="15" customHeight="1"/>
  <cols>
    <col min="1" max="21" width="5" customWidth="1"/>
    <col min="22" max="22" width="6.42578125" customWidth="1"/>
    <col min="23" max="38" width="5" customWidth="1"/>
  </cols>
  <sheetData>
    <row r="1" spans="1:38" ht="12.75" customHeight="1">
      <c r="A1" s="764" t="s">
        <v>1004</v>
      </c>
      <c r="B1" s="601"/>
      <c r="C1" s="601"/>
      <c r="D1" s="601"/>
      <c r="E1" s="601"/>
      <c r="F1" s="601"/>
      <c r="G1" s="601"/>
      <c r="H1" s="601"/>
      <c r="I1" s="601"/>
      <c r="J1" s="601"/>
      <c r="K1" s="601"/>
      <c r="L1" s="601"/>
      <c r="M1" s="601"/>
      <c r="N1" s="601"/>
      <c r="O1" s="601"/>
      <c r="P1" s="601"/>
      <c r="Q1" s="601"/>
      <c r="R1" s="601"/>
      <c r="S1" s="602"/>
      <c r="T1" s="37"/>
      <c r="U1" s="37"/>
      <c r="V1" s="37"/>
      <c r="W1" s="37"/>
      <c r="X1" s="37"/>
      <c r="Y1" s="37"/>
      <c r="Z1" s="37"/>
      <c r="AA1" s="37"/>
      <c r="AB1" s="37"/>
      <c r="AC1" s="37"/>
      <c r="AD1" s="37"/>
      <c r="AE1" s="37"/>
      <c r="AF1" s="37"/>
      <c r="AG1" s="37"/>
      <c r="AH1" s="37"/>
      <c r="AI1" s="37"/>
      <c r="AJ1" s="37"/>
      <c r="AK1" s="37"/>
      <c r="AL1" s="38"/>
    </row>
    <row r="2" spans="1:38" ht="12.75" customHeight="1">
      <c r="B2" s="155" t="s">
        <v>1005</v>
      </c>
      <c r="C2" s="155"/>
      <c r="D2" s="155"/>
      <c r="E2" s="155"/>
      <c r="F2" s="155"/>
      <c r="G2" s="155"/>
      <c r="H2" s="155"/>
      <c r="I2" s="155"/>
      <c r="J2" s="155"/>
      <c r="K2" s="155"/>
      <c r="L2" s="155"/>
      <c r="M2" s="155"/>
      <c r="N2" s="155"/>
      <c r="O2" s="155"/>
      <c r="P2" s="155"/>
      <c r="Q2" s="155"/>
      <c r="R2" s="155"/>
      <c r="S2" s="156"/>
      <c r="T2" s="155"/>
      <c r="U2" s="67" t="s">
        <v>1006</v>
      </c>
      <c r="AL2" s="141"/>
    </row>
    <row r="3" spans="1:38" ht="12.75" customHeight="1">
      <c r="B3" s="155"/>
      <c r="C3" s="155"/>
      <c r="D3" s="155"/>
      <c r="E3" s="155"/>
      <c r="F3" s="155"/>
      <c r="G3" s="155"/>
      <c r="H3" s="155"/>
      <c r="I3" s="155"/>
      <c r="J3" s="155"/>
      <c r="K3" s="155"/>
      <c r="L3" s="155"/>
      <c r="M3" s="155"/>
      <c r="N3" s="155"/>
      <c r="O3" s="155"/>
      <c r="P3" s="155"/>
      <c r="Q3" s="155"/>
      <c r="R3" s="155"/>
      <c r="S3" s="156"/>
      <c r="T3" s="155"/>
      <c r="AL3" s="141"/>
    </row>
    <row r="4" spans="1:38" ht="12.75" customHeight="1">
      <c r="B4" s="549" t="s">
        <v>1007</v>
      </c>
      <c r="C4" s="549"/>
      <c r="D4" s="549"/>
      <c r="E4" s="549"/>
      <c r="F4" s="549"/>
      <c r="G4" s="549"/>
      <c r="H4" s="549"/>
      <c r="I4" s="549"/>
      <c r="J4" s="549"/>
      <c r="K4" s="549"/>
      <c r="L4" s="549"/>
      <c r="M4" s="549"/>
      <c r="N4" s="549"/>
      <c r="O4" s="549"/>
      <c r="P4" s="549"/>
      <c r="Q4" s="155"/>
      <c r="R4" s="155"/>
      <c r="S4" s="156"/>
      <c r="T4" s="155"/>
      <c r="U4" s="155" t="s">
        <v>1008</v>
      </c>
      <c r="V4" s="155"/>
      <c r="W4" s="155"/>
      <c r="X4" s="155"/>
      <c r="Y4" s="155"/>
      <c r="Z4" s="155"/>
      <c r="AA4" s="155"/>
      <c r="AB4" s="155"/>
      <c r="AC4" s="155"/>
      <c r="AD4" s="155"/>
      <c r="AE4" s="155"/>
      <c r="AF4" s="155"/>
      <c r="AG4" s="155"/>
      <c r="AH4" s="155"/>
      <c r="AI4" s="155"/>
      <c r="AJ4" s="155"/>
      <c r="AK4" s="155"/>
      <c r="AL4" s="141"/>
    </row>
    <row r="5" spans="1:38" ht="12.75" customHeight="1">
      <c r="B5" s="155"/>
      <c r="C5" s="155"/>
      <c r="D5" s="155"/>
      <c r="E5" s="155"/>
      <c r="F5" s="155"/>
      <c r="G5" s="155"/>
      <c r="H5" s="155"/>
      <c r="I5" s="155"/>
      <c r="J5" s="155"/>
      <c r="K5" s="155"/>
      <c r="L5" s="155"/>
      <c r="M5" s="155"/>
      <c r="N5" s="155"/>
      <c r="O5" s="155"/>
      <c r="P5" s="155"/>
      <c r="Q5" s="155"/>
      <c r="R5" s="155"/>
      <c r="S5" s="156"/>
      <c r="T5" s="155"/>
      <c r="U5" s="155" t="s">
        <v>1009</v>
      </c>
      <c r="V5" s="155"/>
      <c r="W5" s="155"/>
      <c r="X5" s="155"/>
      <c r="Y5" s="155"/>
      <c r="Z5" s="155"/>
      <c r="AA5" s="155"/>
      <c r="AB5" s="155"/>
      <c r="AC5" s="155"/>
      <c r="AD5" s="155"/>
      <c r="AE5" s="155"/>
      <c r="AF5" s="155"/>
      <c r="AG5" s="155"/>
      <c r="AH5" s="155"/>
      <c r="AI5" s="155"/>
      <c r="AJ5" s="155"/>
      <c r="AK5" s="155"/>
      <c r="AL5" s="141"/>
    </row>
    <row r="6" spans="1:38" ht="12.75" customHeight="1">
      <c r="B6" s="540" t="s">
        <v>1010</v>
      </c>
      <c r="C6" s="155"/>
      <c r="D6" s="155"/>
      <c r="E6" s="155"/>
      <c r="F6" s="155"/>
      <c r="G6" s="155"/>
      <c r="H6" s="155"/>
      <c r="I6" s="155"/>
      <c r="J6" s="155"/>
      <c r="K6" s="155"/>
      <c r="L6" s="155"/>
      <c r="M6" s="155"/>
      <c r="N6" s="155"/>
      <c r="O6" s="155"/>
      <c r="P6" s="155"/>
      <c r="Q6" s="155"/>
      <c r="R6" s="155"/>
      <c r="S6" s="156"/>
      <c r="T6" s="155"/>
      <c r="AL6" s="141"/>
    </row>
    <row r="7" spans="1:38" ht="12.75" customHeight="1">
      <c r="B7" s="155" t="s">
        <v>1011</v>
      </c>
      <c r="C7" s="155"/>
      <c r="D7" s="155"/>
      <c r="E7" s="155"/>
      <c r="F7" s="155"/>
      <c r="G7" s="155"/>
      <c r="H7" s="155"/>
      <c r="I7" s="155"/>
      <c r="J7" s="155"/>
      <c r="K7" s="155"/>
      <c r="L7" s="155"/>
      <c r="M7" s="155"/>
      <c r="N7" s="155"/>
      <c r="O7" s="155"/>
      <c r="P7" s="155"/>
      <c r="Q7" s="155"/>
      <c r="R7" s="155"/>
      <c r="S7" s="156"/>
      <c r="T7" s="155"/>
      <c r="AL7" s="141"/>
    </row>
    <row r="8" spans="1:38" ht="12.75" customHeight="1">
      <c r="B8" s="155"/>
      <c r="C8" s="155"/>
      <c r="D8" s="155"/>
      <c r="E8" s="155"/>
      <c r="F8" s="155"/>
      <c r="G8" s="155"/>
      <c r="H8" s="155"/>
      <c r="I8" s="155"/>
      <c r="J8" s="155"/>
      <c r="K8" s="155"/>
      <c r="L8" s="155"/>
      <c r="M8" s="155"/>
      <c r="N8" s="155"/>
      <c r="O8" s="155"/>
      <c r="P8" s="155"/>
      <c r="Q8" s="155"/>
      <c r="R8" s="155"/>
      <c r="S8" s="156"/>
      <c r="T8" s="155"/>
      <c r="AL8" s="141"/>
    </row>
    <row r="9" spans="1:38" ht="12.75" customHeight="1">
      <c r="B9" s="540" t="s">
        <v>1012</v>
      </c>
      <c r="C9" s="155"/>
      <c r="D9" s="155"/>
      <c r="E9" s="155"/>
      <c r="F9" s="155"/>
      <c r="G9" s="155"/>
      <c r="H9" s="155"/>
      <c r="I9" s="155"/>
      <c r="J9" s="155"/>
      <c r="K9" s="155"/>
      <c r="L9" s="155"/>
      <c r="M9" s="155"/>
      <c r="N9" s="155"/>
      <c r="O9" s="155"/>
      <c r="P9" s="155"/>
      <c r="Q9" s="155"/>
      <c r="R9" s="155"/>
      <c r="S9" s="156"/>
      <c r="T9" s="155"/>
      <c r="AL9" s="141"/>
    </row>
    <row r="10" spans="1:38" ht="12.75" customHeight="1">
      <c r="B10" s="155"/>
      <c r="C10" s="155"/>
      <c r="D10" s="155"/>
      <c r="E10" s="155"/>
      <c r="F10" s="155"/>
      <c r="G10" s="155"/>
      <c r="H10" s="155"/>
      <c r="I10" s="155"/>
      <c r="J10" s="155"/>
      <c r="K10" s="155"/>
      <c r="L10" s="155"/>
      <c r="M10" s="155"/>
      <c r="N10" s="155"/>
      <c r="O10" s="155"/>
      <c r="P10" s="155"/>
      <c r="Q10" s="155"/>
      <c r="R10" s="155"/>
      <c r="S10" s="156"/>
      <c r="T10" s="155"/>
      <c r="AL10" s="141"/>
    </row>
    <row r="11" spans="1:38" ht="12.75" customHeight="1">
      <c r="B11" s="155"/>
      <c r="C11" s="155"/>
      <c r="D11" s="155"/>
      <c r="E11" s="155"/>
      <c r="F11" s="155"/>
      <c r="G11" s="155"/>
      <c r="H11" s="155"/>
      <c r="I11" s="155"/>
      <c r="J11" s="155"/>
      <c r="K11" s="155"/>
      <c r="L11" s="155"/>
      <c r="M11" s="155"/>
      <c r="N11" s="155"/>
      <c r="O11" s="155"/>
      <c r="P11" s="155"/>
      <c r="Q11" s="155"/>
      <c r="R11" s="155"/>
      <c r="S11" s="156"/>
      <c r="T11" s="155"/>
      <c r="AL11" s="141"/>
    </row>
    <row r="12" spans="1:38" ht="12.75" customHeight="1">
      <c r="B12" s="155"/>
      <c r="C12" s="155"/>
      <c r="D12" s="155"/>
      <c r="E12" s="155"/>
      <c r="F12" s="155"/>
      <c r="G12" s="155"/>
      <c r="H12" s="155"/>
      <c r="I12" s="155"/>
      <c r="J12" s="155"/>
      <c r="K12" s="155"/>
      <c r="L12" s="155"/>
      <c r="M12" s="155"/>
      <c r="N12" s="155"/>
      <c r="O12" s="155"/>
      <c r="P12" s="155"/>
      <c r="Q12" s="155"/>
      <c r="R12" s="155"/>
      <c r="S12" s="156"/>
      <c r="T12" s="155"/>
      <c r="AL12" s="141"/>
    </row>
    <row r="13" spans="1:38" ht="12.75" customHeight="1">
      <c r="B13" s="155"/>
      <c r="C13" s="155"/>
      <c r="D13" s="155"/>
      <c r="E13" s="155"/>
      <c r="F13" s="155"/>
      <c r="G13" s="155"/>
      <c r="H13" s="155"/>
      <c r="I13" s="155"/>
      <c r="J13" s="155"/>
      <c r="K13" s="155"/>
      <c r="L13" s="155"/>
      <c r="M13" s="155"/>
      <c r="N13" s="155"/>
      <c r="O13" s="155"/>
      <c r="P13" s="155"/>
      <c r="Q13" s="155"/>
      <c r="R13" s="155"/>
      <c r="S13" s="156"/>
      <c r="T13" s="155"/>
      <c r="AL13" s="141"/>
    </row>
    <row r="14" spans="1:38" ht="12.75" customHeight="1">
      <c r="B14" s="155"/>
      <c r="C14" s="155"/>
      <c r="D14" s="155"/>
      <c r="E14" s="155"/>
      <c r="F14" s="155"/>
      <c r="G14" s="155"/>
      <c r="H14" s="155"/>
      <c r="I14" s="155"/>
      <c r="J14" s="155"/>
      <c r="K14" s="155"/>
      <c r="L14" s="155"/>
      <c r="M14" s="155"/>
      <c r="N14" s="155"/>
      <c r="O14" s="155"/>
      <c r="P14" s="155"/>
      <c r="Q14" s="155"/>
      <c r="R14" s="155"/>
      <c r="S14" s="156"/>
      <c r="T14" s="155"/>
      <c r="AL14" s="141"/>
    </row>
    <row r="15" spans="1:38" ht="12.75" customHeight="1">
      <c r="B15" s="155"/>
      <c r="C15" s="155"/>
      <c r="D15" s="155"/>
      <c r="E15" s="155"/>
      <c r="F15" s="155"/>
      <c r="G15" s="155"/>
      <c r="H15" s="155"/>
      <c r="I15" s="155"/>
      <c r="J15" s="155"/>
      <c r="K15" s="155"/>
      <c r="L15" s="155"/>
      <c r="M15" s="155"/>
      <c r="N15" s="155"/>
      <c r="O15" s="155"/>
      <c r="P15" s="155"/>
      <c r="Q15" s="155"/>
      <c r="R15" s="155"/>
      <c r="S15" s="156"/>
      <c r="T15" s="155"/>
      <c r="AL15" s="141"/>
    </row>
    <row r="16" spans="1:38" ht="12.75" customHeight="1">
      <c r="B16" s="155"/>
      <c r="C16" s="155"/>
      <c r="D16" s="155"/>
      <c r="E16" s="155"/>
      <c r="F16" s="155"/>
      <c r="G16" s="155"/>
      <c r="H16" s="155"/>
      <c r="I16" s="155"/>
      <c r="J16" s="155"/>
      <c r="K16" s="155"/>
      <c r="L16" s="155"/>
      <c r="M16" s="155"/>
      <c r="N16" s="155"/>
      <c r="O16" s="155"/>
      <c r="P16" s="155"/>
      <c r="Q16" s="155"/>
      <c r="R16" s="155"/>
      <c r="S16" s="156"/>
      <c r="T16" s="155"/>
      <c r="AL16" s="141"/>
    </row>
    <row r="17" spans="2:38" ht="12.75" customHeight="1">
      <c r="B17" s="155"/>
      <c r="C17" s="155"/>
      <c r="D17" s="155"/>
      <c r="E17" s="155"/>
      <c r="F17" s="155"/>
      <c r="G17" s="155"/>
      <c r="H17" s="155"/>
      <c r="I17" s="155"/>
      <c r="J17" s="155"/>
      <c r="K17" s="155"/>
      <c r="L17" s="155"/>
      <c r="M17" s="155"/>
      <c r="N17" s="155"/>
      <c r="O17" s="155"/>
      <c r="P17" s="155"/>
      <c r="Q17" s="155"/>
      <c r="R17" s="155"/>
      <c r="S17" s="156"/>
      <c r="T17" s="155"/>
      <c r="AL17" s="141"/>
    </row>
    <row r="18" spans="2:38" ht="12.75" customHeight="1">
      <c r="B18" s="155"/>
      <c r="C18" s="155"/>
      <c r="D18" s="155"/>
      <c r="E18" s="155"/>
      <c r="F18" s="155"/>
      <c r="G18" s="155"/>
      <c r="H18" s="155"/>
      <c r="I18" s="155"/>
      <c r="J18" s="155"/>
      <c r="K18" s="155"/>
      <c r="L18" s="155"/>
      <c r="M18" s="155"/>
      <c r="N18" s="155"/>
      <c r="O18" s="155"/>
      <c r="P18" s="155"/>
      <c r="Q18" s="155"/>
      <c r="R18" s="155"/>
      <c r="S18" s="156"/>
      <c r="T18" s="155"/>
      <c r="AL18" s="141"/>
    </row>
    <row r="19" spans="2:38" ht="12.75" customHeight="1">
      <c r="B19" s="155"/>
      <c r="C19" s="155"/>
      <c r="D19" s="155"/>
      <c r="E19" s="155"/>
      <c r="F19" s="155"/>
      <c r="G19" s="155"/>
      <c r="H19" s="155"/>
      <c r="I19" s="155"/>
      <c r="J19" s="155"/>
      <c r="K19" s="155"/>
      <c r="L19" s="155"/>
      <c r="M19" s="155"/>
      <c r="N19" s="155"/>
      <c r="O19" s="155"/>
      <c r="P19" s="155"/>
      <c r="Q19" s="155"/>
      <c r="R19" s="155"/>
      <c r="S19" s="156"/>
      <c r="T19" s="155"/>
      <c r="AL19" s="141"/>
    </row>
    <row r="20" spans="2:38" ht="12.75" customHeight="1">
      <c r="B20" s="155"/>
      <c r="C20" s="155"/>
      <c r="D20" s="155"/>
      <c r="E20" s="155"/>
      <c r="F20" s="155"/>
      <c r="G20" s="155"/>
      <c r="H20" s="155"/>
      <c r="I20" s="155"/>
      <c r="J20" s="155"/>
      <c r="K20" s="155"/>
      <c r="L20" s="155"/>
      <c r="M20" s="155"/>
      <c r="N20" s="155"/>
      <c r="O20" s="155"/>
      <c r="P20" s="155"/>
      <c r="Q20" s="155"/>
      <c r="R20" s="155"/>
      <c r="S20" s="156"/>
      <c r="T20" s="155"/>
      <c r="AL20" s="141"/>
    </row>
    <row r="21" spans="2:38" ht="12.75" customHeight="1">
      <c r="S21" s="156"/>
      <c r="T21" s="155"/>
      <c r="AL21" s="141"/>
    </row>
    <row r="22" spans="2:38" ht="12.75" customHeight="1">
      <c r="S22" s="156"/>
      <c r="T22" s="155"/>
      <c r="AL22" s="141"/>
    </row>
    <row r="23" spans="2:38" ht="12.75" customHeight="1">
      <c r="B23" s="155"/>
      <c r="C23" s="155"/>
      <c r="D23" s="155"/>
      <c r="E23" s="155"/>
      <c r="F23" s="155"/>
      <c r="G23" s="155"/>
      <c r="H23" s="155"/>
      <c r="I23" s="155"/>
      <c r="J23" s="155"/>
      <c r="K23" s="155"/>
      <c r="L23" s="155"/>
      <c r="M23" s="155"/>
      <c r="N23" s="155"/>
      <c r="O23" s="155"/>
      <c r="P23" s="155"/>
      <c r="Q23" s="155"/>
      <c r="R23" s="155"/>
      <c r="S23" s="156"/>
      <c r="T23" s="155"/>
      <c r="AL23" s="141"/>
    </row>
    <row r="24" spans="2:38" ht="12.75" customHeight="1">
      <c r="B24" s="155"/>
      <c r="C24" s="155"/>
      <c r="D24" s="155"/>
      <c r="E24" s="155"/>
      <c r="F24" s="155"/>
      <c r="G24" s="155"/>
      <c r="H24" s="155"/>
      <c r="I24" s="155"/>
      <c r="J24" s="155"/>
      <c r="K24" s="155"/>
      <c r="L24" s="155"/>
      <c r="M24" s="155"/>
      <c r="N24" s="155"/>
      <c r="O24" s="155"/>
      <c r="P24" s="155"/>
      <c r="Q24" s="155"/>
      <c r="R24" s="155"/>
      <c r="S24" s="156"/>
      <c r="T24" s="155"/>
      <c r="U24" s="549" t="s">
        <v>1013</v>
      </c>
      <c r="V24" s="549"/>
      <c r="W24" s="549"/>
      <c r="X24" s="155"/>
      <c r="Y24" s="155"/>
      <c r="Z24" s="155"/>
      <c r="AA24" s="155"/>
      <c r="AB24" s="155"/>
      <c r="AC24" s="155"/>
      <c r="AD24" s="155"/>
      <c r="AE24" s="155"/>
      <c r="AF24" s="155"/>
      <c r="AG24" s="155"/>
      <c r="AH24" s="155"/>
      <c r="AI24" s="155"/>
      <c r="AL24" s="141"/>
    </row>
    <row r="25" spans="2:38" ht="12.75" customHeight="1">
      <c r="S25" s="141"/>
      <c r="T25" s="155"/>
      <c r="U25" s="155"/>
      <c r="V25" s="155"/>
      <c r="W25" s="155"/>
      <c r="X25" s="155"/>
      <c r="Y25" s="155"/>
      <c r="Z25" s="155"/>
      <c r="AA25" s="155"/>
      <c r="AB25" s="155"/>
      <c r="AC25" s="155"/>
      <c r="AD25" s="155"/>
      <c r="AE25" s="155"/>
      <c r="AF25" s="155"/>
      <c r="AG25" s="155"/>
      <c r="AH25" s="155"/>
      <c r="AI25" s="155"/>
      <c r="AL25" s="141"/>
    </row>
    <row r="26" spans="2:38" ht="12.75" customHeight="1">
      <c r="S26" s="141"/>
      <c r="T26" s="155"/>
      <c r="U26" s="540" t="s">
        <v>1010</v>
      </c>
      <c r="V26" s="155"/>
      <c r="W26" s="155"/>
      <c r="X26" s="155"/>
      <c r="Y26" s="155"/>
      <c r="Z26" s="155"/>
      <c r="AA26" s="155"/>
      <c r="AB26" s="155"/>
      <c r="AC26" s="155"/>
      <c r="AD26" s="155"/>
      <c r="AE26" s="155"/>
      <c r="AF26" s="155"/>
      <c r="AG26" s="155"/>
      <c r="AH26" s="155"/>
      <c r="AI26" s="155"/>
      <c r="AL26" s="141"/>
    </row>
    <row r="27" spans="2:38" ht="12.75" customHeight="1">
      <c r="B27" s="549" t="s">
        <v>1014</v>
      </c>
      <c r="C27" s="549"/>
      <c r="D27" s="549"/>
      <c r="E27" s="549"/>
      <c r="F27" s="549"/>
      <c r="G27" s="549"/>
      <c r="H27" s="549"/>
      <c r="I27" s="549"/>
      <c r="J27" s="549"/>
      <c r="K27" s="549"/>
      <c r="L27" s="549"/>
      <c r="M27" s="549"/>
      <c r="N27" s="549"/>
      <c r="O27" s="549"/>
      <c r="P27" s="549"/>
      <c r="Q27" s="549"/>
      <c r="R27" s="549"/>
      <c r="S27" s="156"/>
      <c r="T27" s="155"/>
      <c r="U27" s="155" t="s">
        <v>1011</v>
      </c>
      <c r="V27" s="155"/>
      <c r="W27" s="155"/>
      <c r="X27" s="155"/>
      <c r="Y27" s="155"/>
      <c r="Z27" s="155"/>
      <c r="AA27" s="155"/>
      <c r="AB27" s="155"/>
      <c r="AC27" s="155"/>
      <c r="AD27" s="155"/>
      <c r="AE27" s="155"/>
      <c r="AF27" s="155"/>
      <c r="AG27" s="155"/>
      <c r="AH27" s="155"/>
      <c r="AI27" s="155"/>
      <c r="AL27" s="141"/>
    </row>
    <row r="28" spans="2:38" ht="12.75" customHeight="1">
      <c r="B28" s="549" t="s">
        <v>1015</v>
      </c>
      <c r="C28" s="549"/>
      <c r="D28" s="549"/>
      <c r="E28" s="549"/>
      <c r="F28" s="549"/>
      <c r="G28" s="549"/>
      <c r="H28" s="549"/>
      <c r="I28" s="549"/>
      <c r="J28" s="549"/>
      <c r="K28" s="549"/>
      <c r="L28" s="549"/>
      <c r="M28" s="549"/>
      <c r="N28" s="549"/>
      <c r="O28" s="549"/>
      <c r="P28" s="549"/>
      <c r="Q28" s="549"/>
      <c r="R28" s="549"/>
      <c r="S28" s="156"/>
      <c r="T28" s="155"/>
      <c r="U28" s="155"/>
      <c r="V28" s="155"/>
      <c r="W28" s="155"/>
      <c r="X28" s="155"/>
      <c r="Y28" s="155"/>
      <c r="Z28" s="155"/>
      <c r="AA28" s="155"/>
      <c r="AB28" s="155"/>
      <c r="AC28" s="155"/>
      <c r="AD28" s="155"/>
      <c r="AE28" s="155"/>
      <c r="AF28" s="155"/>
      <c r="AG28" s="155"/>
      <c r="AH28" s="155"/>
      <c r="AI28" s="155"/>
      <c r="AL28" s="141"/>
    </row>
    <row r="29" spans="2:38" ht="12.75" customHeight="1">
      <c r="B29" s="155"/>
      <c r="C29" s="155"/>
      <c r="D29" s="155"/>
      <c r="E29" s="155"/>
      <c r="F29" s="155"/>
      <c r="G29" s="155"/>
      <c r="H29" s="155"/>
      <c r="I29" s="155"/>
      <c r="J29" s="155"/>
      <c r="K29" s="155"/>
      <c r="L29" s="155"/>
      <c r="M29" s="155"/>
      <c r="N29" s="155"/>
      <c r="O29" s="155"/>
      <c r="P29" s="155"/>
      <c r="Q29" s="155"/>
      <c r="R29" s="155"/>
      <c r="S29" s="156"/>
      <c r="T29" s="155"/>
      <c r="U29" s="540" t="s">
        <v>1012</v>
      </c>
      <c r="V29" s="155"/>
      <c r="W29" s="155"/>
      <c r="X29" s="155"/>
      <c r="Y29" s="155"/>
      <c r="Z29" s="155"/>
      <c r="AA29" s="155"/>
      <c r="AB29" s="155"/>
      <c r="AC29" s="155"/>
      <c r="AD29" s="155"/>
      <c r="AE29" s="155"/>
      <c r="AF29" s="155"/>
      <c r="AG29" s="155"/>
      <c r="AH29" s="155"/>
      <c r="AI29" s="155"/>
      <c r="AL29" s="141"/>
    </row>
    <row r="30" spans="2:38" ht="12.75" customHeight="1">
      <c r="B30" s="540" t="s">
        <v>1016</v>
      </c>
      <c r="C30" s="155"/>
      <c r="D30" s="155"/>
      <c r="E30" s="155"/>
      <c r="F30" s="155"/>
      <c r="G30" s="155"/>
      <c r="H30" s="155"/>
      <c r="I30" s="155"/>
      <c r="J30" s="155"/>
      <c r="K30" s="155"/>
      <c r="L30" s="155"/>
      <c r="M30" s="155"/>
      <c r="N30" s="155"/>
      <c r="O30" s="155"/>
      <c r="P30" s="155"/>
      <c r="Q30" s="155"/>
      <c r="R30" s="155"/>
      <c r="S30" s="156"/>
      <c r="T30" s="155"/>
      <c r="U30" s="155"/>
      <c r="V30" s="155"/>
      <c r="W30" s="155"/>
      <c r="X30" s="155"/>
      <c r="Y30" s="155"/>
      <c r="Z30" s="155"/>
      <c r="AA30" s="155"/>
      <c r="AB30" s="155"/>
      <c r="AC30" s="155"/>
      <c r="AD30" s="155"/>
      <c r="AE30" s="155"/>
      <c r="AF30" s="155"/>
      <c r="AG30" s="155"/>
      <c r="AH30" s="155"/>
      <c r="AI30" s="155"/>
      <c r="AL30" s="141"/>
    </row>
    <row r="31" spans="2:38" ht="12.75" customHeight="1">
      <c r="B31" s="155"/>
      <c r="C31" s="155"/>
      <c r="D31" s="155"/>
      <c r="E31" s="155"/>
      <c r="F31" s="155"/>
      <c r="G31" s="155"/>
      <c r="H31" s="155"/>
      <c r="I31" s="155"/>
      <c r="J31" s="155"/>
      <c r="K31" s="155"/>
      <c r="L31" s="155"/>
      <c r="M31" s="155"/>
      <c r="N31" s="155"/>
      <c r="O31" s="155"/>
      <c r="P31" s="155"/>
      <c r="Q31" s="155"/>
      <c r="R31" s="155"/>
      <c r="S31" s="156"/>
      <c r="T31" s="155"/>
      <c r="U31" s="540" t="s">
        <v>1017</v>
      </c>
      <c r="V31" s="155"/>
      <c r="W31" s="155"/>
      <c r="X31" s="155"/>
      <c r="Y31" s="155"/>
      <c r="Z31" s="155"/>
      <c r="AA31" s="155"/>
      <c r="AB31" s="155"/>
      <c r="AC31" s="155"/>
      <c r="AD31" s="155"/>
      <c r="AE31" s="155"/>
      <c r="AF31" s="155"/>
      <c r="AG31" s="155"/>
      <c r="AH31" s="155"/>
      <c r="AI31" s="155"/>
      <c r="AL31" s="141"/>
    </row>
    <row r="32" spans="2:38" ht="12.75" customHeight="1">
      <c r="B32" s="540" t="s">
        <v>1018</v>
      </c>
      <c r="C32" s="155"/>
      <c r="D32" s="155"/>
      <c r="E32" s="155"/>
      <c r="F32" s="155"/>
      <c r="G32" s="155"/>
      <c r="H32" s="155"/>
      <c r="I32" s="155"/>
      <c r="J32" s="155"/>
      <c r="K32" s="155"/>
      <c r="L32" s="155"/>
      <c r="M32" s="155"/>
      <c r="N32" s="155"/>
      <c r="O32" s="155"/>
      <c r="P32" s="155"/>
      <c r="Q32" s="155"/>
      <c r="R32" s="155"/>
      <c r="S32" s="156"/>
      <c r="T32" s="155"/>
      <c r="U32" s="155" t="s">
        <v>1019</v>
      </c>
      <c r="V32" s="155"/>
      <c r="W32" s="155"/>
      <c r="X32" s="155"/>
      <c r="Y32" s="155"/>
      <c r="Z32" s="155"/>
      <c r="AA32" s="155"/>
      <c r="AB32" s="155"/>
      <c r="AC32" s="155"/>
      <c r="AD32" s="155"/>
      <c r="AE32" s="155"/>
      <c r="AF32" s="155"/>
      <c r="AG32" s="155"/>
      <c r="AH32" s="155"/>
      <c r="AI32" s="155"/>
      <c r="AL32" s="141"/>
    </row>
    <row r="33" spans="2:38" ht="12.75" customHeight="1">
      <c r="B33" s="540" t="s">
        <v>1020</v>
      </c>
      <c r="C33" s="155"/>
      <c r="D33" s="155"/>
      <c r="E33" s="155"/>
      <c r="F33" s="155"/>
      <c r="G33" s="155"/>
      <c r="H33" s="155"/>
      <c r="I33" s="155"/>
      <c r="J33" s="155"/>
      <c r="K33" s="155"/>
      <c r="L33" s="155"/>
      <c r="M33" s="155"/>
      <c r="N33" s="155"/>
      <c r="O33" s="155"/>
      <c r="P33" s="155"/>
      <c r="Q33" s="155"/>
      <c r="R33" s="155"/>
      <c r="S33" s="156"/>
      <c r="T33" s="155"/>
      <c r="U33" s="155"/>
      <c r="V33" s="155"/>
      <c r="W33" s="155"/>
      <c r="X33" s="155"/>
      <c r="Y33" s="155"/>
      <c r="Z33" s="155"/>
      <c r="AA33" s="155"/>
      <c r="AB33" s="155"/>
      <c r="AC33" s="155"/>
      <c r="AD33" s="155"/>
      <c r="AE33" s="155"/>
      <c r="AF33" s="155"/>
      <c r="AG33" s="155"/>
      <c r="AH33" s="155"/>
      <c r="AI33" s="155"/>
      <c r="AL33" s="141"/>
    </row>
    <row r="34" spans="2:38" ht="12.75" customHeight="1">
      <c r="B34" s="155"/>
      <c r="C34" s="155"/>
      <c r="D34" s="155"/>
      <c r="E34" s="155"/>
      <c r="F34" s="155"/>
      <c r="G34" s="155"/>
      <c r="H34" s="155"/>
      <c r="I34" s="155"/>
      <c r="J34" s="155"/>
      <c r="K34" s="155"/>
      <c r="L34" s="155"/>
      <c r="M34" s="155"/>
      <c r="N34" s="155"/>
      <c r="O34" s="155"/>
      <c r="P34" s="155"/>
      <c r="Q34" s="155"/>
      <c r="R34" s="155"/>
      <c r="S34" s="156"/>
      <c r="T34" s="155"/>
      <c r="U34" s="155"/>
      <c r="V34" s="155"/>
      <c r="W34" s="155"/>
      <c r="X34" s="155"/>
      <c r="Y34" s="155"/>
      <c r="Z34" s="155"/>
      <c r="AA34" s="155"/>
      <c r="AB34" s="155"/>
      <c r="AC34" s="155"/>
      <c r="AD34" s="155"/>
      <c r="AE34" s="155"/>
      <c r="AF34" s="155"/>
      <c r="AG34" s="155"/>
      <c r="AH34" s="155"/>
      <c r="AI34" s="155"/>
      <c r="AL34" s="141"/>
    </row>
    <row r="35" spans="2:38" ht="12.75" customHeight="1">
      <c r="B35" s="155" t="s">
        <v>1021</v>
      </c>
      <c r="C35" s="155"/>
      <c r="D35" s="155"/>
      <c r="E35" s="155"/>
      <c r="F35" s="155"/>
      <c r="G35" s="155"/>
      <c r="H35" s="155"/>
      <c r="I35" s="155"/>
      <c r="J35" s="155"/>
      <c r="K35" s="155"/>
      <c r="L35" s="155"/>
      <c r="M35" s="155"/>
      <c r="N35" s="155"/>
      <c r="O35" s="155"/>
      <c r="P35" s="155"/>
      <c r="Q35" s="155"/>
      <c r="R35" s="155"/>
      <c r="S35" s="156"/>
      <c r="T35" s="155"/>
      <c r="U35" s="155"/>
      <c r="V35" s="155"/>
      <c r="W35" s="155"/>
      <c r="X35" s="155"/>
      <c r="Y35" s="155"/>
      <c r="Z35" s="155"/>
      <c r="AA35" s="155"/>
      <c r="AB35" s="155"/>
      <c r="AC35" s="155"/>
      <c r="AD35" s="155"/>
      <c r="AE35" s="155"/>
      <c r="AF35" s="155"/>
      <c r="AG35" s="155"/>
      <c r="AH35" s="155"/>
      <c r="AI35" s="155"/>
      <c r="AL35" s="141"/>
    </row>
    <row r="36" spans="2:38" ht="12.75" customHeight="1">
      <c r="B36" s="155" t="s">
        <v>1022</v>
      </c>
      <c r="C36" s="155"/>
      <c r="D36" s="155"/>
      <c r="E36" s="155"/>
      <c r="F36" s="155"/>
      <c r="G36" s="155"/>
      <c r="H36" s="155"/>
      <c r="I36" s="155"/>
      <c r="J36" s="155"/>
      <c r="K36" s="155"/>
      <c r="L36" s="155"/>
      <c r="M36" s="155"/>
      <c r="N36" s="155"/>
      <c r="O36" s="155"/>
      <c r="P36" s="155"/>
      <c r="Q36" s="155"/>
      <c r="R36" s="155"/>
      <c r="S36" s="156"/>
      <c r="T36" s="151"/>
      <c r="U36" s="155"/>
      <c r="V36" s="155"/>
      <c r="W36" s="155"/>
      <c r="X36" s="155"/>
      <c r="Y36" s="155"/>
      <c r="Z36" s="155"/>
      <c r="AA36" s="155"/>
      <c r="AB36" s="155"/>
      <c r="AC36" s="155"/>
      <c r="AD36" s="155"/>
      <c r="AE36" s="155"/>
      <c r="AF36" s="155"/>
      <c r="AG36" s="155"/>
      <c r="AH36" s="155"/>
      <c r="AI36" s="155"/>
      <c r="AL36" s="141"/>
    </row>
    <row r="37" spans="2:38" ht="12.75" customHeight="1">
      <c r="B37" s="155" t="s">
        <v>1023</v>
      </c>
      <c r="C37" s="155"/>
      <c r="D37" s="155"/>
      <c r="E37" s="155"/>
      <c r="F37" s="155"/>
      <c r="G37" s="155"/>
      <c r="H37" s="155"/>
      <c r="I37" s="155"/>
      <c r="J37" s="155"/>
      <c r="K37" s="155"/>
      <c r="L37" s="155"/>
      <c r="M37" s="155"/>
      <c r="N37" s="155"/>
      <c r="O37" s="155"/>
      <c r="P37" s="155"/>
      <c r="Q37" s="155"/>
      <c r="R37" s="155"/>
      <c r="S37" s="156"/>
      <c r="T37" s="151"/>
      <c r="U37" s="155"/>
      <c r="V37" s="155"/>
      <c r="W37" s="155"/>
      <c r="X37" s="155"/>
      <c r="Y37" s="155"/>
      <c r="Z37" s="155"/>
      <c r="AA37" s="155"/>
      <c r="AB37" s="155"/>
      <c r="AC37" s="155"/>
      <c r="AD37" s="155"/>
      <c r="AE37" s="155"/>
      <c r="AF37" s="155"/>
      <c r="AG37" s="155"/>
      <c r="AH37" s="155"/>
      <c r="AI37" s="155"/>
      <c r="AL37" s="141"/>
    </row>
    <row r="38" spans="2:38" ht="12.75" customHeight="1">
      <c r="B38" s="155"/>
      <c r="C38" s="155"/>
      <c r="D38" s="155"/>
      <c r="E38" s="155"/>
      <c r="F38" s="155"/>
      <c r="G38" s="155"/>
      <c r="H38" s="155"/>
      <c r="I38" s="155"/>
      <c r="J38" s="155"/>
      <c r="K38" s="155"/>
      <c r="L38" s="155"/>
      <c r="M38" s="155"/>
      <c r="N38" s="155"/>
      <c r="O38" s="155"/>
      <c r="P38" s="155"/>
      <c r="Q38" s="155"/>
      <c r="R38" s="155"/>
      <c r="S38" s="155"/>
      <c r="T38" s="151"/>
      <c r="U38" s="155"/>
      <c r="V38" s="155"/>
      <c r="W38" s="155"/>
      <c r="X38" s="155"/>
      <c r="Y38" s="155"/>
      <c r="Z38" s="155"/>
      <c r="AA38" s="155"/>
      <c r="AB38" s="155"/>
      <c r="AC38" s="155"/>
      <c r="AD38" s="155"/>
      <c r="AE38" s="155"/>
      <c r="AF38" s="155"/>
      <c r="AG38" s="155"/>
      <c r="AH38" s="155"/>
      <c r="AI38" s="155"/>
      <c r="AL38" s="141"/>
    </row>
    <row r="39" spans="2:38" ht="12.75" customHeight="1">
      <c r="B39" s="155"/>
      <c r="C39" s="155"/>
      <c r="D39" s="155"/>
      <c r="E39" s="155"/>
      <c r="F39" s="155"/>
      <c r="G39" s="155"/>
      <c r="H39" s="155"/>
      <c r="I39" s="155"/>
      <c r="J39" s="155"/>
      <c r="K39" s="155"/>
      <c r="L39" s="155"/>
      <c r="M39" s="155"/>
      <c r="N39" s="155"/>
      <c r="O39" s="155"/>
      <c r="P39" s="155"/>
      <c r="Q39" s="155"/>
      <c r="R39" s="155"/>
      <c r="S39" s="155"/>
      <c r="T39" s="151"/>
      <c r="U39" s="155"/>
      <c r="V39" s="155"/>
      <c r="W39" s="155"/>
      <c r="X39" s="155"/>
      <c r="Y39" s="155"/>
      <c r="Z39" s="155"/>
      <c r="AA39" s="155"/>
      <c r="AB39" s="155"/>
      <c r="AC39" s="155"/>
      <c r="AD39" s="155"/>
      <c r="AE39" s="155"/>
      <c r="AF39" s="155"/>
      <c r="AG39" s="155"/>
      <c r="AH39" s="155"/>
      <c r="AI39" s="155"/>
      <c r="AL39" s="141"/>
    </row>
    <row r="40" spans="2:38" ht="12.75" customHeight="1">
      <c r="B40" s="155"/>
      <c r="C40" s="155"/>
      <c r="D40" s="155"/>
      <c r="E40" s="155"/>
      <c r="F40" s="155"/>
      <c r="G40" s="155"/>
      <c r="H40" s="155"/>
      <c r="I40" s="155"/>
      <c r="J40" s="155"/>
      <c r="K40" s="155"/>
      <c r="L40" s="155"/>
      <c r="M40" s="155"/>
      <c r="N40" s="155"/>
      <c r="O40" s="155"/>
      <c r="P40" s="155"/>
      <c r="Q40" s="155"/>
      <c r="R40" s="155"/>
      <c r="S40" s="155"/>
      <c r="T40" s="151"/>
      <c r="U40" s="155"/>
      <c r="V40" s="155"/>
      <c r="W40" s="155"/>
      <c r="X40" s="155"/>
      <c r="Y40" s="155"/>
      <c r="Z40" s="155"/>
      <c r="AA40" s="155"/>
      <c r="AB40" s="155"/>
      <c r="AC40" s="155"/>
      <c r="AD40" s="155"/>
      <c r="AE40" s="155"/>
      <c r="AF40" s="155"/>
      <c r="AG40" s="155"/>
      <c r="AH40" s="155"/>
      <c r="AI40" s="155"/>
      <c r="AL40" s="141"/>
    </row>
    <row r="41" spans="2:38" ht="12.75" customHeight="1">
      <c r="B41" s="155"/>
      <c r="C41" s="155"/>
      <c r="D41" s="155"/>
      <c r="E41" s="155"/>
      <c r="F41" s="155"/>
      <c r="G41" s="155"/>
      <c r="H41" s="155"/>
      <c r="I41" s="155"/>
      <c r="J41" s="155"/>
      <c r="K41" s="155"/>
      <c r="L41" s="155"/>
      <c r="M41" s="155"/>
      <c r="N41" s="155"/>
      <c r="O41" s="155"/>
      <c r="P41" s="155"/>
      <c r="Q41" s="155"/>
      <c r="R41" s="155"/>
      <c r="S41" s="155"/>
      <c r="T41" s="151"/>
      <c r="U41" s="155"/>
      <c r="V41" s="155"/>
      <c r="W41" s="155"/>
      <c r="X41" s="155"/>
      <c r="Y41" s="155"/>
      <c r="Z41" s="155"/>
      <c r="AA41" s="155"/>
      <c r="AB41" s="155"/>
      <c r="AC41" s="155"/>
      <c r="AD41" s="155"/>
      <c r="AE41" s="155"/>
      <c r="AF41" s="155"/>
      <c r="AG41" s="155"/>
      <c r="AH41" s="155"/>
      <c r="AI41" s="155"/>
      <c r="AL41" s="141"/>
    </row>
    <row r="42" spans="2:38" ht="12.75" customHeight="1">
      <c r="B42" s="155"/>
      <c r="C42" s="155"/>
      <c r="D42" s="155"/>
      <c r="E42" s="155"/>
      <c r="F42" s="155"/>
      <c r="G42" s="155"/>
      <c r="H42" s="155"/>
      <c r="I42" s="155"/>
      <c r="J42" s="155"/>
      <c r="K42" s="155"/>
      <c r="L42" s="155"/>
      <c r="M42" s="155"/>
      <c r="N42" s="155"/>
      <c r="O42" s="155"/>
      <c r="P42" s="155"/>
      <c r="Q42" s="155"/>
      <c r="R42" s="155"/>
      <c r="S42" s="155"/>
      <c r="T42" s="151"/>
      <c r="U42" s="155"/>
      <c r="V42" s="155"/>
      <c r="W42" s="155"/>
      <c r="X42" s="155"/>
      <c r="Y42" s="155"/>
      <c r="Z42" s="155"/>
      <c r="AA42" s="155"/>
      <c r="AB42" s="155"/>
      <c r="AC42" s="155"/>
      <c r="AD42" s="155"/>
      <c r="AE42" s="155"/>
      <c r="AF42" s="155"/>
      <c r="AG42" s="155"/>
      <c r="AH42" s="155"/>
      <c r="AI42" s="155"/>
      <c r="AL42" s="141"/>
    </row>
    <row r="43" spans="2:38" ht="12.75" customHeight="1">
      <c r="B43" s="155"/>
      <c r="C43" s="155"/>
      <c r="D43" s="155"/>
      <c r="E43" s="155"/>
      <c r="F43" s="155"/>
      <c r="G43" s="155"/>
      <c r="H43" s="155"/>
      <c r="I43" s="155"/>
      <c r="J43" s="155"/>
      <c r="K43" s="155"/>
      <c r="L43" s="155"/>
      <c r="M43" s="155"/>
      <c r="N43" s="155"/>
      <c r="O43" s="155"/>
      <c r="P43" s="155"/>
      <c r="Q43" s="155"/>
      <c r="R43" s="155"/>
      <c r="S43" s="155"/>
      <c r="T43" s="151"/>
      <c r="U43" s="155"/>
      <c r="V43" s="155"/>
      <c r="W43" s="155"/>
      <c r="X43" s="155"/>
      <c r="Y43" s="155"/>
      <c r="Z43" s="155"/>
      <c r="AA43" s="155"/>
      <c r="AB43" s="155"/>
      <c r="AC43" s="155"/>
      <c r="AD43" s="155"/>
      <c r="AE43" s="155"/>
      <c r="AF43" s="155"/>
      <c r="AG43" s="155"/>
      <c r="AH43" s="155"/>
      <c r="AI43" s="155"/>
      <c r="AL43" s="141"/>
    </row>
    <row r="44" spans="2:38" ht="12.75" customHeight="1">
      <c r="B44" s="155"/>
      <c r="C44" s="155"/>
      <c r="D44" s="155"/>
      <c r="E44" s="155"/>
      <c r="F44" s="155"/>
      <c r="G44" s="155"/>
      <c r="H44" s="155"/>
      <c r="I44" s="155"/>
      <c r="J44" s="155"/>
      <c r="K44" s="155"/>
      <c r="L44" s="155"/>
      <c r="M44" s="155"/>
      <c r="N44" s="155"/>
      <c r="O44" s="155"/>
      <c r="P44" s="155"/>
      <c r="Q44" s="155"/>
      <c r="R44" s="155"/>
      <c r="S44" s="155"/>
      <c r="T44" s="151"/>
      <c r="U44" s="155"/>
      <c r="V44" s="155"/>
      <c r="W44" s="155"/>
      <c r="X44" s="155"/>
      <c r="Y44" s="155"/>
      <c r="Z44" s="155"/>
      <c r="AA44" s="155"/>
      <c r="AB44" s="155"/>
      <c r="AC44" s="155"/>
      <c r="AD44" s="155"/>
      <c r="AE44" s="155"/>
      <c r="AF44" s="155"/>
      <c r="AG44" s="155"/>
      <c r="AH44" s="155"/>
      <c r="AI44" s="155"/>
      <c r="AL44" s="141"/>
    </row>
    <row r="45" spans="2:38" ht="12.75" customHeight="1">
      <c r="B45" s="155"/>
      <c r="C45" s="155"/>
      <c r="D45" s="155"/>
      <c r="E45" s="155"/>
      <c r="F45" s="155"/>
      <c r="G45" s="155"/>
      <c r="H45" s="155"/>
      <c r="I45" s="155"/>
      <c r="J45" s="155"/>
      <c r="K45" s="155"/>
      <c r="L45" s="155"/>
      <c r="M45" s="155"/>
      <c r="N45" s="155"/>
      <c r="O45" s="155"/>
      <c r="P45" s="155"/>
      <c r="Q45" s="155"/>
      <c r="R45" s="155"/>
      <c r="S45" s="155"/>
      <c r="T45" s="151"/>
      <c r="U45" s="155"/>
      <c r="V45" s="155"/>
      <c r="W45" s="155"/>
      <c r="X45" s="155"/>
      <c r="Y45" s="155"/>
      <c r="Z45" s="155"/>
      <c r="AA45" s="155"/>
      <c r="AB45" s="155"/>
      <c r="AC45" s="155"/>
      <c r="AD45" s="155"/>
      <c r="AE45" s="155"/>
      <c r="AF45" s="155"/>
      <c r="AG45" s="155"/>
      <c r="AH45" s="155"/>
      <c r="AI45" s="155"/>
      <c r="AL45" s="141"/>
    </row>
    <row r="46" spans="2:38" ht="12.75" customHeight="1">
      <c r="B46" s="155"/>
      <c r="C46" s="155"/>
      <c r="D46" s="155"/>
      <c r="E46" s="155"/>
      <c r="F46" s="155"/>
      <c r="G46" s="155"/>
      <c r="H46" s="155"/>
      <c r="I46" s="155"/>
      <c r="J46" s="155"/>
      <c r="K46" s="155"/>
      <c r="L46" s="155"/>
      <c r="M46" s="155"/>
      <c r="N46" s="155"/>
      <c r="O46" s="155"/>
      <c r="P46" s="155"/>
      <c r="Q46" s="155"/>
      <c r="R46" s="155"/>
      <c r="S46" s="155"/>
      <c r="T46" s="151"/>
      <c r="U46" s="155"/>
      <c r="V46" s="155"/>
      <c r="W46" s="155"/>
      <c r="X46" s="155"/>
      <c r="Y46" s="155"/>
      <c r="Z46" s="155"/>
      <c r="AA46" s="155"/>
      <c r="AB46" s="155"/>
      <c r="AC46" s="155"/>
      <c r="AD46" s="155"/>
      <c r="AE46" s="155"/>
      <c r="AF46" s="155"/>
      <c r="AG46" s="155"/>
      <c r="AH46" s="155"/>
      <c r="AI46" s="155"/>
      <c r="AL46" s="141"/>
    </row>
    <row r="47" spans="2:38" ht="12.75" customHeight="1">
      <c r="B47" s="155"/>
      <c r="C47" s="155"/>
      <c r="D47" s="155"/>
      <c r="E47" s="155"/>
      <c r="F47" s="155"/>
      <c r="G47" s="155"/>
      <c r="H47" s="155"/>
      <c r="I47" s="155"/>
      <c r="J47" s="155"/>
      <c r="K47" s="155"/>
      <c r="L47" s="155"/>
      <c r="M47" s="155"/>
      <c r="N47" s="155"/>
      <c r="O47" s="155"/>
      <c r="P47" s="155"/>
      <c r="Q47" s="155"/>
      <c r="R47" s="155"/>
      <c r="S47" s="155"/>
      <c r="T47" s="151"/>
      <c r="U47" s="155"/>
      <c r="V47" s="155"/>
      <c r="W47" s="155"/>
      <c r="X47" s="155"/>
      <c r="Y47" s="155"/>
      <c r="Z47" s="155"/>
      <c r="AA47" s="155"/>
      <c r="AB47" s="155"/>
      <c r="AC47" s="155"/>
      <c r="AD47" s="155"/>
      <c r="AE47" s="155"/>
      <c r="AF47" s="155"/>
      <c r="AG47" s="155"/>
      <c r="AH47" s="155"/>
      <c r="AI47" s="155"/>
      <c r="AL47" s="141"/>
    </row>
    <row r="48" spans="2:38" ht="12.75" customHeight="1">
      <c r="B48" s="155"/>
      <c r="C48" s="155"/>
      <c r="D48" s="155"/>
      <c r="E48" s="155"/>
      <c r="F48" s="155"/>
      <c r="G48" s="155"/>
      <c r="H48" s="155"/>
      <c r="I48" s="155"/>
      <c r="J48" s="155"/>
      <c r="K48" s="155"/>
      <c r="L48" s="155"/>
      <c r="M48" s="155"/>
      <c r="N48" s="155"/>
      <c r="O48" s="155"/>
      <c r="P48" s="155"/>
      <c r="Q48" s="155"/>
      <c r="R48" s="155"/>
      <c r="S48" s="155"/>
      <c r="T48" s="151"/>
      <c r="AL48" s="141"/>
    </row>
    <row r="49" spans="1:38" ht="12.75" customHeight="1">
      <c r="B49" s="155"/>
      <c r="C49" s="155"/>
      <c r="D49" s="155"/>
      <c r="E49" s="155"/>
      <c r="F49" s="155"/>
      <c r="G49" s="155"/>
      <c r="H49" s="155"/>
      <c r="I49" s="155"/>
      <c r="J49" s="155"/>
      <c r="K49" s="155"/>
      <c r="L49" s="155"/>
      <c r="M49" s="155"/>
      <c r="N49" s="155"/>
      <c r="O49" s="155"/>
      <c r="P49" s="155"/>
      <c r="Q49" s="155"/>
      <c r="R49" s="155"/>
      <c r="S49" s="155"/>
      <c r="T49" s="151"/>
      <c r="AL49" s="141"/>
    </row>
    <row r="50" spans="1:38" ht="12.75" customHeight="1">
      <c r="S50" s="155"/>
      <c r="T50" s="151"/>
      <c r="AL50" s="141"/>
    </row>
    <row r="51" spans="1:38" ht="12.75" customHeight="1">
      <c r="S51" s="550"/>
      <c r="T51" s="151"/>
      <c r="U51" s="155"/>
      <c r="V51" s="155"/>
      <c r="W51" s="155"/>
      <c r="X51" s="155"/>
      <c r="Y51" s="155"/>
      <c r="Z51" s="155"/>
      <c r="AA51" s="155"/>
      <c r="AB51" s="155"/>
      <c r="AC51" s="155"/>
      <c r="AD51" s="155"/>
      <c r="AE51" s="155"/>
      <c r="AF51" s="155"/>
      <c r="AG51" s="155"/>
      <c r="AH51" s="155"/>
      <c r="AI51" s="155"/>
      <c r="AL51" s="141"/>
    </row>
    <row r="52" spans="1:38" ht="12.75" customHeight="1">
      <c r="B52" s="155" t="s">
        <v>1024</v>
      </c>
      <c r="C52" s="155"/>
      <c r="D52" s="155"/>
      <c r="E52" s="155"/>
      <c r="F52" s="155"/>
      <c r="G52" s="155"/>
      <c r="H52" s="155"/>
      <c r="I52" s="155"/>
      <c r="J52" s="155"/>
      <c r="K52" s="155"/>
      <c r="L52" s="155"/>
      <c r="M52" s="155"/>
      <c r="N52" s="155"/>
      <c r="O52" s="155"/>
      <c r="P52" s="155"/>
      <c r="Q52" s="155"/>
      <c r="R52" s="155"/>
      <c r="S52" s="550"/>
      <c r="T52" s="80"/>
      <c r="U52" s="155" t="s">
        <v>1025</v>
      </c>
      <c r="V52" s="155"/>
      <c r="W52" s="155"/>
      <c r="X52" s="155"/>
      <c r="Y52" s="155"/>
      <c r="Z52" s="155"/>
      <c r="AA52" s="155"/>
      <c r="AB52" s="155"/>
      <c r="AC52" s="155"/>
      <c r="AD52" s="155"/>
      <c r="AE52" s="155"/>
      <c r="AF52" s="155"/>
      <c r="AG52" s="155"/>
      <c r="AH52" s="155"/>
      <c r="AI52" s="155"/>
      <c r="AL52" s="141"/>
    </row>
    <row r="53" spans="1:38" ht="12.75" customHeight="1">
      <c r="B53" s="155"/>
      <c r="C53" s="155"/>
      <c r="D53" s="155"/>
      <c r="E53" s="155"/>
      <c r="F53" s="155"/>
      <c r="G53" s="155"/>
      <c r="H53" s="155"/>
      <c r="I53" s="155"/>
      <c r="J53" s="155"/>
      <c r="K53" s="155"/>
      <c r="L53" s="155"/>
      <c r="M53" s="155"/>
      <c r="N53" s="155"/>
      <c r="O53" s="155"/>
      <c r="P53" s="155"/>
      <c r="Q53" s="155"/>
      <c r="R53" s="155"/>
      <c r="S53" s="550"/>
      <c r="T53" s="80"/>
      <c r="U53" s="155" t="s">
        <v>1026</v>
      </c>
      <c r="V53" s="155"/>
      <c r="W53" s="155"/>
      <c r="X53" s="155"/>
      <c r="Y53" s="155"/>
      <c r="Z53" s="155"/>
      <c r="AA53" s="155"/>
      <c r="AB53" s="155"/>
      <c r="AC53" s="155"/>
      <c r="AD53" s="155"/>
      <c r="AE53" s="155"/>
      <c r="AF53" s="155"/>
      <c r="AG53" s="155"/>
      <c r="AH53" s="155"/>
      <c r="AI53" s="155"/>
      <c r="AL53" s="141"/>
    </row>
    <row r="54" spans="1:38" ht="12.75" customHeight="1">
      <c r="A54" s="528"/>
      <c r="S54" s="531"/>
      <c r="T54" s="80"/>
      <c r="U54" s="155" t="s">
        <v>1027</v>
      </c>
      <c r="V54" s="155"/>
      <c r="W54" s="155"/>
      <c r="X54" s="155"/>
      <c r="Y54" s="155"/>
      <c r="Z54" s="155"/>
      <c r="AA54" s="155"/>
      <c r="AB54" s="155"/>
      <c r="AC54" s="155"/>
      <c r="AD54" s="155"/>
      <c r="AE54" s="155"/>
      <c r="AF54" s="155"/>
      <c r="AG54" s="155"/>
      <c r="AH54" s="155"/>
      <c r="AI54" s="155"/>
      <c r="AL54" s="141"/>
    </row>
    <row r="55" spans="1:38" ht="12.75" customHeight="1">
      <c r="A55" s="528"/>
      <c r="S55" s="531"/>
      <c r="T55" s="80"/>
      <c r="U55" s="155"/>
      <c r="V55" s="155"/>
      <c r="W55" s="155"/>
      <c r="X55" s="155"/>
      <c r="Y55" s="155"/>
      <c r="Z55" s="155"/>
      <c r="AA55" s="155"/>
      <c r="AB55" s="155"/>
      <c r="AC55" s="155"/>
      <c r="AD55" s="155"/>
      <c r="AE55" s="155"/>
      <c r="AF55" s="155"/>
      <c r="AG55" s="155"/>
      <c r="AH55" s="155"/>
      <c r="AI55" s="155"/>
      <c r="AL55" s="141"/>
    </row>
    <row r="56" spans="1:38" ht="12.75" customHeight="1">
      <c r="A56" s="528"/>
      <c r="B56" s="536"/>
      <c r="C56" s="529"/>
      <c r="D56" s="529"/>
      <c r="E56" s="529"/>
      <c r="F56" s="529"/>
      <c r="G56" s="529"/>
      <c r="H56" s="529"/>
      <c r="I56" s="529"/>
      <c r="J56" s="529"/>
      <c r="K56" s="529"/>
      <c r="L56" s="529"/>
      <c r="M56" s="529"/>
      <c r="N56" s="529"/>
      <c r="O56" s="529"/>
      <c r="P56" s="529"/>
      <c r="Q56" s="529"/>
      <c r="R56" s="529"/>
      <c r="S56" s="531"/>
      <c r="T56" s="80"/>
      <c r="U56" s="155"/>
      <c r="W56" s="155"/>
      <c r="X56" s="155"/>
      <c r="Y56" s="155"/>
      <c r="Z56" s="155"/>
      <c r="AA56" s="155"/>
      <c r="AB56" s="155"/>
      <c r="AC56" s="155"/>
      <c r="AD56" s="155"/>
      <c r="AE56" s="155"/>
      <c r="AF56" s="155"/>
      <c r="AG56" s="155"/>
      <c r="AH56" s="155"/>
      <c r="AI56" s="155"/>
      <c r="AJ56" s="39" t="s">
        <v>884</v>
      </c>
      <c r="AL56" s="141"/>
    </row>
    <row r="57" spans="1:38" ht="12.75" customHeight="1">
      <c r="A57" s="534"/>
      <c r="B57" s="533"/>
      <c r="C57" s="533"/>
      <c r="D57" s="533"/>
      <c r="E57" s="533"/>
      <c r="F57" s="533"/>
      <c r="G57" s="533"/>
      <c r="H57" s="533"/>
      <c r="I57" s="533"/>
      <c r="J57" s="533"/>
      <c r="K57" s="533"/>
      <c r="L57" s="533"/>
      <c r="M57" s="533"/>
      <c r="N57" s="533"/>
      <c r="O57" s="533"/>
      <c r="P57" s="533"/>
      <c r="Q57" s="533"/>
      <c r="R57" s="533"/>
      <c r="S57" s="535"/>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J56" location="'EV5.5.1&amp;2 EV4.4 ACPS TSPS Side'!A1" display="BACK" xr:uid="{00000000-0004-0000-3100-000000000000}"/>
  </hyperlinks>
  <pageMargins left="0.39370078740157483" right="0.39370078740157483" top="0.39370078740157483" bottom="0.39370078740157483" header="0" footer="0"/>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1000"/>
  <sheetViews>
    <sheetView showGridLines="0" workbookViewId="0"/>
  </sheetViews>
  <sheetFormatPr baseColWidth="10" defaultColWidth="12.5703125" defaultRowHeight="15" customHeight="1"/>
  <cols>
    <col min="1" max="1" width="5" customWidth="1"/>
    <col min="2" max="2" width="5.85546875" customWidth="1"/>
    <col min="3" max="38" width="5" customWidth="1"/>
  </cols>
  <sheetData>
    <row r="1" spans="1:38" ht="12.75" customHeight="1">
      <c r="A1" s="617" t="s">
        <v>1028</v>
      </c>
      <c r="B1" s="598"/>
      <c r="C1" s="598"/>
      <c r="D1" s="598"/>
      <c r="E1" s="598"/>
      <c r="F1" s="598"/>
      <c r="G1" s="598"/>
      <c r="H1" s="598"/>
      <c r="I1" s="598"/>
      <c r="J1" s="598"/>
      <c r="K1" s="598"/>
      <c r="L1" s="598"/>
      <c r="M1" s="598"/>
      <c r="N1" s="598"/>
      <c r="O1" s="598"/>
      <c r="P1" s="598"/>
      <c r="Q1" s="598"/>
      <c r="R1" s="598"/>
      <c r="S1" s="598"/>
      <c r="T1" s="382"/>
      <c r="U1" s="37"/>
      <c r="V1" s="37"/>
      <c r="W1" s="37"/>
      <c r="X1" s="37"/>
      <c r="Y1" s="37"/>
      <c r="Z1" s="37"/>
      <c r="AA1" s="37"/>
      <c r="AB1" s="37"/>
      <c r="AC1" s="37"/>
      <c r="AD1" s="37"/>
      <c r="AE1" s="37"/>
      <c r="AF1" s="37"/>
      <c r="AG1" s="37"/>
      <c r="AH1" s="37"/>
      <c r="AI1" s="37"/>
      <c r="AJ1" s="37"/>
      <c r="AK1" s="37"/>
      <c r="AL1" s="38"/>
    </row>
    <row r="2" spans="1:38" ht="12.75" customHeight="1">
      <c r="A2" s="525"/>
      <c r="B2" s="526"/>
      <c r="C2" s="526"/>
      <c r="D2" s="526"/>
      <c r="E2" s="526"/>
      <c r="F2" s="526"/>
      <c r="G2" s="526"/>
      <c r="H2" s="526"/>
      <c r="I2" s="526"/>
      <c r="J2" s="526"/>
      <c r="K2" s="526"/>
      <c r="L2" s="526"/>
      <c r="M2" s="526"/>
      <c r="N2" s="526"/>
      <c r="O2" s="526"/>
      <c r="P2" s="526"/>
      <c r="Q2" s="526"/>
      <c r="R2" s="526"/>
      <c r="S2" s="527"/>
      <c r="T2" s="80"/>
      <c r="U2" s="34"/>
      <c r="V2" s="34"/>
      <c r="W2" s="34"/>
      <c r="X2" s="34"/>
      <c r="Y2" s="34"/>
      <c r="Z2" s="34"/>
      <c r="AA2" s="34"/>
      <c r="AB2" s="34"/>
      <c r="AC2" s="34"/>
      <c r="AD2" s="34"/>
      <c r="AE2" s="34"/>
      <c r="AF2" s="34"/>
      <c r="AG2" s="34"/>
      <c r="AH2" s="34"/>
      <c r="AI2" s="34"/>
      <c r="AJ2" s="34"/>
      <c r="AK2" s="34"/>
      <c r="AL2" s="141"/>
    </row>
    <row r="3" spans="1:38" ht="12.75" customHeight="1">
      <c r="A3" s="528"/>
      <c r="B3" s="536"/>
      <c r="C3" s="529"/>
      <c r="D3" s="529"/>
      <c r="E3" s="529"/>
      <c r="F3" s="529"/>
      <c r="G3" s="529"/>
      <c r="H3" s="529"/>
      <c r="I3" s="529"/>
      <c r="J3" s="529"/>
      <c r="K3" s="529"/>
      <c r="L3" s="529"/>
      <c r="M3" s="529"/>
      <c r="N3" s="529"/>
      <c r="O3" s="529"/>
      <c r="P3" s="529"/>
      <c r="Q3" s="529"/>
      <c r="R3" s="529"/>
      <c r="S3" s="531"/>
      <c r="T3" s="80"/>
      <c r="U3" s="155"/>
      <c r="V3" s="34"/>
      <c r="W3" s="34"/>
      <c r="X3" s="34"/>
      <c r="Y3" s="34"/>
      <c r="Z3" s="34"/>
      <c r="AA3" s="34"/>
      <c r="AB3" s="34"/>
      <c r="AC3" s="34"/>
      <c r="AD3" s="34"/>
      <c r="AE3" s="34"/>
      <c r="AF3" s="34"/>
      <c r="AG3" s="34"/>
      <c r="AH3" s="34"/>
      <c r="AI3" s="34"/>
      <c r="AJ3" s="34"/>
      <c r="AK3" s="34"/>
      <c r="AL3" s="141"/>
    </row>
    <row r="4" spans="1:38" ht="12.75" customHeight="1">
      <c r="A4" s="528"/>
      <c r="B4" s="536"/>
      <c r="C4" s="529"/>
      <c r="D4" s="529"/>
      <c r="E4" s="529"/>
      <c r="F4" s="529"/>
      <c r="G4" s="529"/>
      <c r="H4" s="529"/>
      <c r="I4" s="529"/>
      <c r="J4" s="529"/>
      <c r="K4" s="529"/>
      <c r="L4" s="529"/>
      <c r="M4" s="529"/>
      <c r="N4" s="529"/>
      <c r="O4" s="529"/>
      <c r="P4" s="529"/>
      <c r="Q4" s="529"/>
      <c r="R4" s="529"/>
      <c r="S4" s="531"/>
      <c r="T4" s="80"/>
      <c r="U4" s="155"/>
      <c r="V4" s="34"/>
      <c r="W4" s="34"/>
      <c r="X4" s="34"/>
      <c r="Y4" s="34"/>
      <c r="Z4" s="34"/>
      <c r="AA4" s="34"/>
      <c r="AB4" s="34"/>
      <c r="AC4" s="34"/>
      <c r="AD4" s="34"/>
      <c r="AE4" s="34"/>
      <c r="AF4" s="34"/>
      <c r="AG4" s="34"/>
      <c r="AH4" s="34"/>
      <c r="AI4" s="34"/>
      <c r="AJ4" s="34"/>
      <c r="AK4" s="34"/>
      <c r="AL4" s="141"/>
    </row>
    <row r="5" spans="1:38" ht="12.75" customHeight="1">
      <c r="A5" s="528"/>
      <c r="B5" s="542"/>
      <c r="C5" s="529"/>
      <c r="D5" s="529"/>
      <c r="E5" s="529"/>
      <c r="F5" s="529"/>
      <c r="G5" s="529"/>
      <c r="H5" s="529"/>
      <c r="I5" s="529"/>
      <c r="J5" s="529"/>
      <c r="K5" s="529"/>
      <c r="L5" s="529"/>
      <c r="M5" s="529"/>
      <c r="N5" s="529"/>
      <c r="O5" s="529"/>
      <c r="P5" s="529"/>
      <c r="Q5" s="529"/>
      <c r="R5" s="529"/>
      <c r="S5" s="531"/>
      <c r="T5" s="80"/>
      <c r="U5" s="155"/>
      <c r="V5" s="34"/>
      <c r="W5" s="34"/>
      <c r="X5" s="34"/>
      <c r="Y5" s="34"/>
      <c r="Z5" s="34"/>
      <c r="AA5" s="34"/>
      <c r="AB5" s="34"/>
      <c r="AC5" s="34"/>
      <c r="AD5" s="34"/>
      <c r="AE5" s="34"/>
      <c r="AF5" s="34"/>
      <c r="AG5" s="34"/>
      <c r="AH5" s="34"/>
      <c r="AI5" s="34"/>
      <c r="AJ5" s="34"/>
      <c r="AK5" s="34"/>
      <c r="AL5" s="141"/>
    </row>
    <row r="6" spans="1:38" ht="12.75" customHeight="1">
      <c r="A6" s="528"/>
      <c r="B6" s="536"/>
      <c r="C6" s="529"/>
      <c r="D6" s="529"/>
      <c r="E6" s="529"/>
      <c r="F6" s="529"/>
      <c r="G6" s="529"/>
      <c r="H6" s="529"/>
      <c r="I6" s="529"/>
      <c r="J6" s="529"/>
      <c r="K6" s="529"/>
      <c r="L6" s="529"/>
      <c r="M6" s="529"/>
      <c r="N6" s="529"/>
      <c r="O6" s="529"/>
      <c r="P6" s="529"/>
      <c r="Q6" s="529"/>
      <c r="R6" s="529"/>
      <c r="S6" s="531"/>
      <c r="T6" s="80"/>
      <c r="U6" s="155"/>
      <c r="V6" s="34"/>
      <c r="W6" s="34"/>
      <c r="X6" s="34"/>
      <c r="Y6" s="34"/>
      <c r="Z6" s="34"/>
      <c r="AA6" s="34"/>
      <c r="AB6" s="34"/>
      <c r="AC6" s="34"/>
      <c r="AD6" s="34"/>
      <c r="AE6" s="34"/>
      <c r="AF6" s="34"/>
      <c r="AG6" s="34"/>
      <c r="AH6" s="34"/>
      <c r="AI6" s="34"/>
      <c r="AJ6" s="34"/>
      <c r="AK6" s="34"/>
      <c r="AL6" s="141"/>
    </row>
    <row r="7" spans="1:38" ht="12.75" customHeight="1">
      <c r="A7" s="528"/>
      <c r="B7" s="536"/>
      <c r="C7" s="529"/>
      <c r="D7" s="529"/>
      <c r="E7" s="529"/>
      <c r="F7" s="529"/>
      <c r="G7" s="529"/>
      <c r="H7" s="529"/>
      <c r="I7" s="529"/>
      <c r="J7" s="529"/>
      <c r="K7" s="529"/>
      <c r="L7" s="529"/>
      <c r="M7" s="529"/>
      <c r="N7" s="529"/>
      <c r="O7" s="529"/>
      <c r="P7" s="529"/>
      <c r="Q7" s="529"/>
      <c r="R7" s="529"/>
      <c r="S7" s="531"/>
      <c r="T7" s="80"/>
      <c r="U7" s="34"/>
      <c r="V7" s="34"/>
      <c r="W7" s="34"/>
      <c r="X7" s="34"/>
      <c r="Y7" s="34"/>
      <c r="Z7" s="34"/>
      <c r="AA7" s="34"/>
      <c r="AB7" s="34"/>
      <c r="AC7" s="34"/>
      <c r="AD7" s="34"/>
      <c r="AE7" s="34"/>
      <c r="AF7" s="34"/>
      <c r="AG7" s="34"/>
      <c r="AH7" s="34"/>
      <c r="AI7" s="34"/>
      <c r="AJ7" s="34"/>
      <c r="AK7" s="34"/>
      <c r="AL7" s="141"/>
    </row>
    <row r="8" spans="1:38" ht="12.75" customHeight="1">
      <c r="A8" s="528"/>
      <c r="B8" s="536"/>
      <c r="C8" s="529"/>
      <c r="D8" s="529"/>
      <c r="E8" s="529"/>
      <c r="F8" s="529"/>
      <c r="G8" s="529"/>
      <c r="H8" s="529"/>
      <c r="I8" s="529"/>
      <c r="J8" s="529"/>
      <c r="K8" s="529"/>
      <c r="L8" s="529"/>
      <c r="M8" s="529"/>
      <c r="N8" s="529"/>
      <c r="O8" s="529"/>
      <c r="P8" s="529"/>
      <c r="Q8" s="529"/>
      <c r="R8" s="529"/>
      <c r="S8" s="531"/>
      <c r="T8" s="80"/>
      <c r="U8" s="34"/>
      <c r="V8" s="34"/>
      <c r="W8" s="34"/>
      <c r="X8" s="34"/>
      <c r="Y8" s="34"/>
      <c r="Z8" s="34"/>
      <c r="AA8" s="34"/>
      <c r="AB8" s="34"/>
      <c r="AC8" s="34"/>
      <c r="AD8" s="34"/>
      <c r="AE8" s="34"/>
      <c r="AF8" s="34"/>
      <c r="AG8" s="34"/>
      <c r="AH8" s="34"/>
      <c r="AI8" s="34"/>
      <c r="AJ8" s="34"/>
      <c r="AK8" s="34"/>
      <c r="AL8" s="141"/>
    </row>
    <row r="9" spans="1:38" ht="12.75" customHeight="1">
      <c r="A9" s="528"/>
      <c r="B9" s="536"/>
      <c r="C9" s="529"/>
      <c r="D9" s="529"/>
      <c r="E9" s="529"/>
      <c r="F9" s="529"/>
      <c r="G9" s="529"/>
      <c r="H9" s="529"/>
      <c r="I9" s="529"/>
      <c r="J9" s="529"/>
      <c r="K9" s="529"/>
      <c r="L9" s="529"/>
      <c r="M9" s="529"/>
      <c r="N9" s="529"/>
      <c r="O9" s="529"/>
      <c r="P9" s="529"/>
      <c r="Q9" s="529"/>
      <c r="R9" s="529"/>
      <c r="S9" s="531"/>
      <c r="T9" s="80"/>
      <c r="U9" s="34"/>
      <c r="V9" s="34"/>
      <c r="W9" s="34"/>
      <c r="X9" s="34"/>
      <c r="Y9" s="34"/>
      <c r="Z9" s="34"/>
      <c r="AA9" s="34"/>
      <c r="AB9" s="34"/>
      <c r="AC9" s="34"/>
      <c r="AD9" s="34"/>
      <c r="AE9" s="34"/>
      <c r="AF9" s="34"/>
      <c r="AG9" s="34"/>
      <c r="AH9" s="34"/>
      <c r="AI9" s="34"/>
      <c r="AJ9" s="34"/>
      <c r="AK9" s="34"/>
      <c r="AL9" s="141"/>
    </row>
    <row r="10" spans="1:38" ht="12.75" customHeight="1">
      <c r="A10" s="528"/>
      <c r="B10" s="536"/>
      <c r="C10" s="529"/>
      <c r="D10" s="529"/>
      <c r="E10" s="529"/>
      <c r="F10" s="529"/>
      <c r="G10" s="529"/>
      <c r="H10" s="529"/>
      <c r="I10" s="529"/>
      <c r="J10" s="529"/>
      <c r="K10" s="529"/>
      <c r="L10" s="529"/>
      <c r="M10" s="529"/>
      <c r="N10" s="529"/>
      <c r="O10" s="529"/>
      <c r="P10" s="529"/>
      <c r="Q10" s="529"/>
      <c r="R10" s="529"/>
      <c r="S10" s="531"/>
      <c r="T10" s="80"/>
      <c r="U10" s="34"/>
      <c r="V10" s="34"/>
      <c r="W10" s="34"/>
      <c r="X10" s="34"/>
      <c r="Y10" s="34"/>
      <c r="Z10" s="34"/>
      <c r="AA10" s="34"/>
      <c r="AB10" s="34"/>
      <c r="AC10" s="34"/>
      <c r="AD10" s="34"/>
      <c r="AE10" s="34"/>
      <c r="AF10" s="34"/>
      <c r="AG10" s="34"/>
      <c r="AH10" s="34"/>
      <c r="AI10" s="34"/>
      <c r="AJ10" s="34"/>
      <c r="AK10" s="34"/>
      <c r="AL10" s="141"/>
    </row>
    <row r="11" spans="1:38" ht="12.75" customHeight="1">
      <c r="A11" s="528"/>
      <c r="B11" s="536"/>
      <c r="C11" s="529"/>
      <c r="D11" s="529"/>
      <c r="E11" s="529"/>
      <c r="F11" s="529"/>
      <c r="G11" s="529"/>
      <c r="H11" s="529"/>
      <c r="I11" s="529"/>
      <c r="J11" s="529"/>
      <c r="K11" s="529"/>
      <c r="L11" s="529"/>
      <c r="M11" s="529"/>
      <c r="N11" s="529"/>
      <c r="O11" s="529"/>
      <c r="P11" s="529"/>
      <c r="Q11" s="529"/>
      <c r="R11" s="529"/>
      <c r="S11" s="531"/>
      <c r="T11" s="80"/>
      <c r="U11" s="34"/>
      <c r="V11" s="34"/>
      <c r="W11" s="34"/>
      <c r="X11" s="34"/>
      <c r="Y11" s="34"/>
      <c r="Z11" s="34"/>
      <c r="AA11" s="34"/>
      <c r="AB11" s="34"/>
      <c r="AC11" s="34"/>
      <c r="AD11" s="34"/>
      <c r="AE11" s="34"/>
      <c r="AF11" s="34"/>
      <c r="AG11" s="34"/>
      <c r="AH11" s="34"/>
      <c r="AI11" s="34"/>
      <c r="AJ11" s="34"/>
      <c r="AK11" s="34"/>
      <c r="AL11" s="141"/>
    </row>
    <row r="12" spans="1:38" ht="12.75" customHeight="1">
      <c r="A12" s="528"/>
      <c r="B12" s="536"/>
      <c r="C12" s="529"/>
      <c r="D12" s="529"/>
      <c r="E12" s="529"/>
      <c r="F12" s="529"/>
      <c r="G12" s="529"/>
      <c r="H12" s="529"/>
      <c r="I12" s="529"/>
      <c r="J12" s="529"/>
      <c r="K12" s="529"/>
      <c r="L12" s="529"/>
      <c r="M12" s="529"/>
      <c r="N12" s="529"/>
      <c r="O12" s="529"/>
      <c r="P12" s="529"/>
      <c r="Q12" s="529"/>
      <c r="R12" s="529"/>
      <c r="S12" s="531"/>
      <c r="T12" s="80"/>
      <c r="U12" s="34"/>
      <c r="V12" s="34"/>
      <c r="W12" s="34"/>
      <c r="X12" s="34"/>
      <c r="Y12" s="34"/>
      <c r="Z12" s="34"/>
      <c r="AA12" s="34"/>
      <c r="AB12" s="34"/>
      <c r="AC12" s="34"/>
      <c r="AD12" s="34"/>
      <c r="AE12" s="34"/>
      <c r="AF12" s="34"/>
      <c r="AG12" s="34"/>
      <c r="AH12" s="34"/>
      <c r="AI12" s="34"/>
      <c r="AJ12" s="34"/>
      <c r="AK12" s="34"/>
      <c r="AL12" s="141"/>
    </row>
    <row r="13" spans="1:38" ht="12.75" customHeight="1">
      <c r="A13" s="528"/>
      <c r="C13" s="529"/>
      <c r="D13" s="529"/>
      <c r="E13" s="529"/>
      <c r="F13" s="529"/>
      <c r="G13" s="529"/>
      <c r="H13" s="529"/>
      <c r="I13" s="529"/>
      <c r="J13" s="529"/>
      <c r="K13" s="529"/>
      <c r="L13" s="529"/>
      <c r="M13" s="529"/>
      <c r="N13" s="529"/>
      <c r="O13" s="529"/>
      <c r="P13" s="529"/>
      <c r="Q13" s="529"/>
      <c r="R13" s="529"/>
      <c r="S13" s="531"/>
      <c r="T13" s="80"/>
      <c r="U13" s="34"/>
      <c r="V13" s="34"/>
      <c r="W13" s="34"/>
      <c r="X13" s="34"/>
      <c r="Y13" s="34"/>
      <c r="Z13" s="34"/>
      <c r="AA13" s="34"/>
      <c r="AB13" s="34"/>
      <c r="AC13" s="34"/>
      <c r="AD13" s="34"/>
      <c r="AE13" s="34"/>
      <c r="AF13" s="34"/>
      <c r="AG13" s="34"/>
      <c r="AH13" s="34"/>
      <c r="AI13" s="34"/>
      <c r="AJ13" s="34"/>
      <c r="AK13" s="34"/>
      <c r="AL13" s="141"/>
    </row>
    <row r="14" spans="1:38" ht="12.75" customHeight="1">
      <c r="A14" s="528"/>
      <c r="B14" s="536"/>
      <c r="C14" s="536"/>
      <c r="D14" s="529"/>
      <c r="E14" s="529"/>
      <c r="F14" s="529"/>
      <c r="G14" s="529"/>
      <c r="H14" s="529"/>
      <c r="I14" s="529"/>
      <c r="J14" s="529"/>
      <c r="K14" s="529"/>
      <c r="L14" s="529"/>
      <c r="M14" s="529"/>
      <c r="N14" s="529"/>
      <c r="O14" s="529"/>
      <c r="P14" s="529"/>
      <c r="Q14" s="529"/>
      <c r="R14" s="529"/>
      <c r="S14" s="531"/>
      <c r="T14" s="80"/>
      <c r="U14" s="34"/>
      <c r="V14" s="34"/>
      <c r="W14" s="34"/>
      <c r="X14" s="34"/>
      <c r="Y14" s="34"/>
      <c r="Z14" s="34"/>
      <c r="AA14" s="34"/>
      <c r="AB14" s="34"/>
      <c r="AC14" s="34"/>
      <c r="AD14" s="34"/>
      <c r="AE14" s="34"/>
      <c r="AF14" s="34"/>
      <c r="AG14" s="34"/>
      <c r="AH14" s="34"/>
      <c r="AI14" s="34"/>
      <c r="AJ14" s="34"/>
      <c r="AK14" s="34"/>
      <c r="AL14" s="141"/>
    </row>
    <row r="15" spans="1:38" ht="12.75" customHeight="1">
      <c r="A15" s="528"/>
      <c r="B15" s="536"/>
      <c r="C15" s="536"/>
      <c r="D15" s="529"/>
      <c r="E15" s="529"/>
      <c r="F15" s="529"/>
      <c r="G15" s="529"/>
      <c r="H15" s="529"/>
      <c r="I15" s="529"/>
      <c r="J15" s="529"/>
      <c r="K15" s="529"/>
      <c r="L15" s="529"/>
      <c r="M15" s="529"/>
      <c r="N15" s="529"/>
      <c r="O15" s="529"/>
      <c r="P15" s="529"/>
      <c r="Q15" s="529"/>
      <c r="R15" s="529"/>
      <c r="S15" s="531"/>
      <c r="T15" s="80"/>
      <c r="U15" s="34"/>
      <c r="V15" s="34"/>
      <c r="W15" s="34"/>
      <c r="X15" s="34"/>
      <c r="Y15" s="34"/>
      <c r="Z15" s="34"/>
      <c r="AA15" s="34"/>
      <c r="AB15" s="34"/>
      <c r="AC15" s="34"/>
      <c r="AD15" s="34"/>
      <c r="AE15" s="34"/>
      <c r="AF15" s="34"/>
      <c r="AG15" s="34"/>
      <c r="AH15" s="34"/>
      <c r="AI15" s="34"/>
      <c r="AJ15" s="34"/>
      <c r="AK15" s="34"/>
      <c r="AL15" s="141"/>
    </row>
    <row r="16" spans="1:38" ht="12.75" customHeight="1">
      <c r="A16" s="528"/>
      <c r="B16" s="155"/>
      <c r="C16" s="536"/>
      <c r="D16" s="529"/>
      <c r="E16" s="529"/>
      <c r="F16" s="529"/>
      <c r="G16" s="529"/>
      <c r="H16" s="529"/>
      <c r="I16" s="529"/>
      <c r="J16" s="529"/>
      <c r="K16" s="529"/>
      <c r="L16" s="529"/>
      <c r="M16" s="529"/>
      <c r="N16" s="529"/>
      <c r="O16" s="529"/>
      <c r="P16" s="529"/>
      <c r="Q16" s="529"/>
      <c r="R16" s="529"/>
      <c r="S16" s="531"/>
      <c r="T16" s="80"/>
      <c r="U16" s="34"/>
      <c r="V16" s="34"/>
      <c r="W16" s="34"/>
      <c r="X16" s="34"/>
      <c r="Y16" s="34"/>
      <c r="Z16" s="34"/>
      <c r="AA16" s="34"/>
      <c r="AB16" s="34"/>
      <c r="AC16" s="34"/>
      <c r="AD16" s="34"/>
      <c r="AE16" s="34"/>
      <c r="AF16" s="34"/>
      <c r="AG16" s="34"/>
      <c r="AH16" s="34"/>
      <c r="AI16" s="34"/>
      <c r="AJ16" s="34"/>
      <c r="AK16" s="34"/>
      <c r="AL16" s="141"/>
    </row>
    <row r="17" spans="1:38" ht="12.75" customHeight="1">
      <c r="A17" s="528"/>
      <c r="B17" s="155"/>
      <c r="C17" s="529"/>
      <c r="D17" s="529"/>
      <c r="E17" s="529"/>
      <c r="F17" s="529"/>
      <c r="G17" s="529"/>
      <c r="H17" s="529"/>
      <c r="I17" s="529"/>
      <c r="J17" s="529"/>
      <c r="K17" s="529"/>
      <c r="L17" s="529"/>
      <c r="M17" s="529"/>
      <c r="N17" s="529"/>
      <c r="O17" s="529"/>
      <c r="P17" s="529"/>
      <c r="Q17" s="529"/>
      <c r="R17" s="529"/>
      <c r="S17" s="531"/>
      <c r="T17" s="80"/>
      <c r="U17" s="34"/>
      <c r="V17" s="34"/>
      <c r="W17" s="34"/>
      <c r="X17" s="34"/>
      <c r="Y17" s="34"/>
      <c r="Z17" s="34"/>
      <c r="AA17" s="34"/>
      <c r="AB17" s="34"/>
      <c r="AC17" s="34"/>
      <c r="AD17" s="34"/>
      <c r="AE17" s="34"/>
      <c r="AF17" s="34"/>
      <c r="AG17" s="34"/>
      <c r="AH17" s="34"/>
      <c r="AI17" s="34"/>
      <c r="AJ17" s="34"/>
      <c r="AK17" s="34"/>
      <c r="AL17" s="141"/>
    </row>
    <row r="18" spans="1:38" ht="12.75" customHeight="1">
      <c r="A18" s="528"/>
      <c r="B18" s="155"/>
      <c r="C18" s="529"/>
      <c r="D18" s="529"/>
      <c r="E18" s="529"/>
      <c r="F18" s="529"/>
      <c r="G18" s="529"/>
      <c r="H18" s="529"/>
      <c r="I18" s="529"/>
      <c r="J18" s="529"/>
      <c r="K18" s="529"/>
      <c r="L18" s="529"/>
      <c r="M18" s="529"/>
      <c r="N18" s="529"/>
      <c r="O18" s="529"/>
      <c r="P18" s="529"/>
      <c r="Q18" s="529"/>
      <c r="R18" s="529"/>
      <c r="S18" s="531"/>
      <c r="T18" s="80"/>
      <c r="U18" s="34"/>
      <c r="V18" s="34"/>
      <c r="W18" s="34"/>
      <c r="X18" s="34"/>
      <c r="Y18" s="34"/>
      <c r="Z18" s="34"/>
      <c r="AA18" s="34"/>
      <c r="AB18" s="34"/>
      <c r="AC18" s="34"/>
      <c r="AD18" s="34"/>
      <c r="AE18" s="34"/>
      <c r="AF18" s="34"/>
      <c r="AG18" s="34"/>
      <c r="AH18" s="34"/>
      <c r="AI18" s="34"/>
      <c r="AJ18" s="34"/>
      <c r="AK18" s="34"/>
      <c r="AL18" s="141"/>
    </row>
    <row r="19" spans="1:38" ht="12.75" customHeight="1">
      <c r="A19" s="528"/>
      <c r="B19" s="536"/>
      <c r="C19" s="529"/>
      <c r="D19" s="529"/>
      <c r="E19" s="529"/>
      <c r="F19" s="529"/>
      <c r="G19" s="529"/>
      <c r="H19" s="529"/>
      <c r="I19" s="529"/>
      <c r="J19" s="529"/>
      <c r="K19" s="529"/>
      <c r="L19" s="529"/>
      <c r="M19" s="529"/>
      <c r="N19" s="529"/>
      <c r="O19" s="529"/>
      <c r="P19" s="529"/>
      <c r="Q19" s="529"/>
      <c r="R19" s="529"/>
      <c r="S19" s="531"/>
      <c r="T19" s="80"/>
      <c r="U19" s="34"/>
      <c r="V19" s="34"/>
      <c r="W19" s="34"/>
      <c r="X19" s="34"/>
      <c r="Y19" s="34"/>
      <c r="Z19" s="34"/>
      <c r="AA19" s="34"/>
      <c r="AB19" s="34"/>
      <c r="AC19" s="34"/>
      <c r="AD19" s="34"/>
      <c r="AE19" s="34"/>
      <c r="AF19" s="34"/>
      <c r="AG19" s="34"/>
      <c r="AH19" s="34"/>
      <c r="AI19" s="34"/>
      <c r="AJ19" s="34"/>
      <c r="AK19" s="34"/>
      <c r="AL19" s="141"/>
    </row>
    <row r="20" spans="1:38" ht="12.75" customHeight="1">
      <c r="A20" s="528"/>
      <c r="B20" s="536"/>
      <c r="C20" s="529"/>
      <c r="D20" s="529"/>
      <c r="E20" s="529"/>
      <c r="F20" s="529"/>
      <c r="G20" s="529"/>
      <c r="H20" s="529"/>
      <c r="I20" s="529"/>
      <c r="J20" s="529"/>
      <c r="K20" s="529"/>
      <c r="L20" s="529"/>
      <c r="M20" s="529"/>
      <c r="N20" s="529"/>
      <c r="O20" s="529"/>
      <c r="P20" s="529"/>
      <c r="Q20" s="529"/>
      <c r="R20" s="529"/>
      <c r="S20" s="531"/>
      <c r="T20" s="80"/>
      <c r="U20" s="34"/>
      <c r="V20" s="34"/>
      <c r="W20" s="34"/>
      <c r="X20" s="34"/>
      <c r="Y20" s="34"/>
      <c r="Z20" s="34"/>
      <c r="AA20" s="34"/>
      <c r="AB20" s="34"/>
      <c r="AC20" s="34"/>
      <c r="AD20" s="34"/>
      <c r="AE20" s="34"/>
      <c r="AF20" s="34"/>
      <c r="AG20" s="34"/>
      <c r="AH20" s="34"/>
      <c r="AI20" s="34"/>
      <c r="AJ20" s="34"/>
      <c r="AK20" s="34"/>
      <c r="AL20" s="141"/>
    </row>
    <row r="21" spans="1:38" ht="12.75" customHeight="1">
      <c r="A21" s="528"/>
      <c r="B21" s="536"/>
      <c r="C21" s="529"/>
      <c r="D21" s="529"/>
      <c r="E21" s="529"/>
      <c r="F21" s="529"/>
      <c r="G21" s="529"/>
      <c r="H21" s="529"/>
      <c r="I21" s="529"/>
      <c r="J21" s="529"/>
      <c r="K21" s="529"/>
      <c r="L21" s="529"/>
      <c r="M21" s="529"/>
      <c r="N21" s="529"/>
      <c r="O21" s="529"/>
      <c r="P21" s="529"/>
      <c r="Q21" s="529"/>
      <c r="R21" s="529"/>
      <c r="S21" s="531"/>
      <c r="T21" s="80"/>
      <c r="U21" s="34"/>
      <c r="V21" s="34"/>
      <c r="W21" s="34"/>
      <c r="X21" s="34"/>
      <c r="Y21" s="34"/>
      <c r="Z21" s="34"/>
      <c r="AA21" s="34"/>
      <c r="AB21" s="34"/>
      <c r="AC21" s="34"/>
      <c r="AD21" s="34"/>
      <c r="AE21" s="34"/>
      <c r="AF21" s="34"/>
      <c r="AG21" s="34"/>
      <c r="AH21" s="34"/>
      <c r="AI21" s="34"/>
      <c r="AJ21" s="34"/>
      <c r="AK21" s="34"/>
      <c r="AL21" s="141"/>
    </row>
    <row r="22" spans="1:38" ht="12.75" customHeight="1">
      <c r="A22" s="528"/>
      <c r="C22" s="529"/>
      <c r="D22" s="529"/>
      <c r="E22" s="529"/>
      <c r="F22" s="529"/>
      <c r="G22" s="529"/>
      <c r="H22" s="529"/>
      <c r="I22" s="529"/>
      <c r="J22" s="529"/>
      <c r="K22" s="529"/>
      <c r="L22" s="529"/>
      <c r="M22" s="529"/>
      <c r="N22" s="529"/>
      <c r="O22" s="529"/>
      <c r="P22" s="529"/>
      <c r="Q22" s="529"/>
      <c r="R22" s="529"/>
      <c r="S22" s="531"/>
      <c r="T22" s="80"/>
      <c r="U22" s="34"/>
      <c r="V22" s="34"/>
      <c r="W22" s="34"/>
      <c r="X22" s="34"/>
      <c r="Y22" s="34"/>
      <c r="Z22" s="34"/>
      <c r="AA22" s="34"/>
      <c r="AB22" s="34"/>
      <c r="AC22" s="34"/>
      <c r="AD22" s="34"/>
      <c r="AE22" s="34"/>
      <c r="AF22" s="34"/>
      <c r="AG22" s="34"/>
      <c r="AH22" s="34"/>
      <c r="AI22" s="34"/>
      <c r="AJ22" s="34"/>
      <c r="AK22" s="34"/>
      <c r="AL22" s="141"/>
    </row>
    <row r="23" spans="1:38" ht="12.75" customHeight="1">
      <c r="A23" s="528"/>
      <c r="B23" s="536"/>
      <c r="C23" s="529"/>
      <c r="D23" s="529"/>
      <c r="E23" s="529"/>
      <c r="F23" s="529"/>
      <c r="G23" s="529"/>
      <c r="H23" s="529"/>
      <c r="I23" s="529"/>
      <c r="J23" s="529"/>
      <c r="K23" s="529"/>
      <c r="L23" s="529"/>
      <c r="M23" s="529"/>
      <c r="N23" s="529"/>
      <c r="O23" s="529"/>
      <c r="P23" s="529"/>
      <c r="Q23" s="529"/>
      <c r="R23" s="529"/>
      <c r="S23" s="531"/>
      <c r="T23" s="80"/>
      <c r="U23" s="34"/>
      <c r="V23" s="34"/>
      <c r="W23" s="34"/>
      <c r="X23" s="34"/>
      <c r="Y23" s="34"/>
      <c r="Z23" s="34"/>
      <c r="AA23" s="34"/>
      <c r="AB23" s="34"/>
      <c r="AC23" s="34"/>
      <c r="AD23" s="34"/>
      <c r="AE23" s="34"/>
      <c r="AF23" s="34"/>
      <c r="AG23" s="34"/>
      <c r="AH23" s="34"/>
      <c r="AI23" s="34"/>
      <c r="AJ23" s="34"/>
      <c r="AK23" s="34"/>
      <c r="AL23" s="141"/>
    </row>
    <row r="24" spans="1:38" ht="12.75" customHeight="1">
      <c r="A24" s="528"/>
      <c r="B24" s="536"/>
      <c r="C24" s="529"/>
      <c r="D24" s="529"/>
      <c r="E24" s="529"/>
      <c r="F24" s="529"/>
      <c r="G24" s="529"/>
      <c r="H24" s="529"/>
      <c r="I24" s="529"/>
      <c r="J24" s="529"/>
      <c r="K24" s="529"/>
      <c r="L24" s="529"/>
      <c r="M24" s="529"/>
      <c r="N24" s="529"/>
      <c r="O24" s="529"/>
      <c r="P24" s="529"/>
      <c r="Q24" s="529"/>
      <c r="R24" s="529"/>
      <c r="S24" s="531"/>
      <c r="T24" s="80"/>
      <c r="U24" s="34"/>
      <c r="V24" s="34"/>
      <c r="W24" s="34"/>
      <c r="X24" s="34"/>
      <c r="Y24" s="34"/>
      <c r="Z24" s="34"/>
      <c r="AA24" s="34"/>
      <c r="AB24" s="34"/>
      <c r="AC24" s="34"/>
      <c r="AD24" s="34"/>
      <c r="AE24" s="34"/>
      <c r="AF24" s="34"/>
      <c r="AG24" s="34"/>
      <c r="AH24" s="34"/>
      <c r="AI24" s="34"/>
      <c r="AJ24" s="34"/>
      <c r="AK24" s="34"/>
      <c r="AL24" s="141"/>
    </row>
    <row r="25" spans="1:38" ht="12.75" customHeight="1">
      <c r="A25" s="528"/>
      <c r="B25" s="530" t="s">
        <v>884</v>
      </c>
      <c r="C25" s="529"/>
      <c r="D25" s="529"/>
      <c r="E25" s="529"/>
      <c r="F25" s="529"/>
      <c r="G25" s="529"/>
      <c r="H25" s="529"/>
      <c r="I25" s="529"/>
      <c r="J25" s="529"/>
      <c r="K25" s="529"/>
      <c r="L25" s="529"/>
      <c r="M25" s="529"/>
      <c r="N25" s="529"/>
      <c r="O25" s="529"/>
      <c r="P25" s="529"/>
      <c r="Q25" s="529"/>
      <c r="R25" s="529"/>
      <c r="S25" s="531"/>
      <c r="T25" s="80"/>
      <c r="U25" s="34"/>
      <c r="V25" s="34"/>
      <c r="W25" s="34"/>
      <c r="X25" s="34"/>
      <c r="Y25" s="34"/>
      <c r="Z25" s="34"/>
      <c r="AA25" s="34"/>
      <c r="AB25" s="34"/>
      <c r="AC25" s="34"/>
      <c r="AD25" s="34"/>
      <c r="AE25" s="34"/>
      <c r="AF25" s="34"/>
      <c r="AG25" s="34"/>
      <c r="AH25" s="34"/>
      <c r="AI25" s="34"/>
      <c r="AJ25" s="34"/>
      <c r="AK25" s="34"/>
      <c r="AL25" s="141"/>
    </row>
    <row r="26" spans="1:38" ht="12.75" customHeight="1">
      <c r="A26" s="528"/>
      <c r="B26" s="155"/>
      <c r="C26" s="529"/>
      <c r="D26" s="529"/>
      <c r="E26" s="529"/>
      <c r="F26" s="529"/>
      <c r="G26" s="529"/>
      <c r="H26" s="529"/>
      <c r="I26" s="529"/>
      <c r="J26" s="529"/>
      <c r="K26" s="529"/>
      <c r="L26" s="529"/>
      <c r="M26" s="529"/>
      <c r="N26" s="529"/>
      <c r="O26" s="529"/>
      <c r="P26" s="529"/>
      <c r="Q26" s="529"/>
      <c r="R26" s="529"/>
      <c r="S26" s="531"/>
      <c r="T26" s="80"/>
      <c r="U26" s="34"/>
      <c r="V26" s="34"/>
      <c r="W26" s="34"/>
      <c r="X26" s="34"/>
      <c r="Y26" s="34"/>
      <c r="Z26" s="34"/>
      <c r="AA26" s="34"/>
      <c r="AB26" s="34"/>
      <c r="AC26" s="34"/>
      <c r="AD26" s="34"/>
      <c r="AE26" s="34"/>
      <c r="AF26" s="34"/>
      <c r="AG26" s="34"/>
      <c r="AH26" s="34"/>
      <c r="AI26" s="34"/>
      <c r="AJ26" s="34"/>
      <c r="AK26" s="34"/>
      <c r="AL26" s="141"/>
    </row>
    <row r="27" spans="1:38" ht="12.75" customHeight="1">
      <c r="A27" s="528"/>
      <c r="B27" s="551" t="s">
        <v>1029</v>
      </c>
      <c r="C27" s="552"/>
      <c r="D27" s="552"/>
      <c r="E27" s="529"/>
      <c r="F27" s="529"/>
      <c r="G27" s="529"/>
      <c r="H27" s="529"/>
      <c r="I27" s="529"/>
      <c r="J27" s="529"/>
      <c r="K27" s="529"/>
      <c r="L27" s="529"/>
      <c r="M27" s="529"/>
      <c r="N27" s="529"/>
      <c r="O27" s="529"/>
      <c r="P27" s="529"/>
      <c r="Q27" s="529"/>
      <c r="R27" s="529"/>
      <c r="S27" s="531"/>
      <c r="T27" s="80"/>
      <c r="U27" s="34"/>
      <c r="V27" s="34"/>
      <c r="W27" s="34"/>
      <c r="X27" s="34"/>
      <c r="Y27" s="34"/>
      <c r="Z27" s="34"/>
      <c r="AA27" s="34"/>
      <c r="AB27" s="34"/>
      <c r="AC27" s="34"/>
      <c r="AD27" s="34"/>
      <c r="AE27" s="34"/>
      <c r="AF27" s="34"/>
      <c r="AG27" s="34"/>
      <c r="AH27" s="34"/>
      <c r="AI27" s="34"/>
      <c r="AJ27" s="34"/>
      <c r="AK27" s="34"/>
      <c r="AL27" s="141"/>
    </row>
    <row r="28" spans="1:38" ht="12.75" customHeight="1">
      <c r="A28" s="528"/>
      <c r="B28" s="553" t="s">
        <v>1030</v>
      </c>
      <c r="C28" s="554"/>
      <c r="D28" s="554"/>
      <c r="E28" s="554"/>
      <c r="F28" s="554"/>
      <c r="G28" s="554"/>
      <c r="H28" s="529"/>
      <c r="I28" s="529"/>
      <c r="J28" s="529"/>
      <c r="K28" s="529"/>
      <c r="L28" s="529"/>
      <c r="M28" s="529"/>
      <c r="N28" s="529"/>
      <c r="O28" s="529"/>
      <c r="P28" s="529"/>
      <c r="Q28" s="529"/>
      <c r="R28" s="529"/>
      <c r="S28" s="531"/>
      <c r="T28" s="80"/>
      <c r="U28" s="34"/>
      <c r="V28" s="34"/>
      <c r="W28" s="34"/>
      <c r="X28" s="34"/>
      <c r="Y28" s="34"/>
      <c r="Z28" s="34"/>
      <c r="AA28" s="34"/>
      <c r="AB28" s="34"/>
      <c r="AC28" s="34"/>
      <c r="AD28" s="34"/>
      <c r="AE28" s="34"/>
      <c r="AF28" s="34"/>
      <c r="AG28" s="34"/>
      <c r="AH28" s="34"/>
      <c r="AI28" s="34"/>
      <c r="AJ28" s="34"/>
      <c r="AK28" s="34"/>
      <c r="AL28" s="141"/>
    </row>
    <row r="29" spans="1:38" ht="12.75" customHeight="1">
      <c r="A29" s="528"/>
      <c r="B29" s="536"/>
      <c r="C29" s="536"/>
      <c r="D29" s="529"/>
      <c r="E29" s="529"/>
      <c r="F29" s="529"/>
      <c r="G29" s="529"/>
      <c r="H29" s="529"/>
      <c r="I29" s="529"/>
      <c r="J29" s="529"/>
      <c r="K29" s="529"/>
      <c r="L29" s="529"/>
      <c r="M29" s="529"/>
      <c r="N29" s="529"/>
      <c r="O29" s="529"/>
      <c r="P29" s="529"/>
      <c r="Q29" s="529"/>
      <c r="R29" s="529"/>
      <c r="S29" s="531"/>
      <c r="T29" s="80"/>
      <c r="U29" s="34"/>
      <c r="V29" s="34"/>
      <c r="W29" s="34"/>
      <c r="X29" s="34"/>
      <c r="Y29" s="34"/>
      <c r="Z29" s="34"/>
      <c r="AA29" s="34"/>
      <c r="AB29" s="34"/>
      <c r="AC29" s="34"/>
      <c r="AD29" s="34"/>
      <c r="AE29" s="34"/>
      <c r="AF29" s="34"/>
      <c r="AG29" s="34"/>
      <c r="AH29" s="34"/>
      <c r="AI29" s="34"/>
      <c r="AJ29" s="34"/>
      <c r="AK29" s="34"/>
      <c r="AL29" s="141"/>
    </row>
    <row r="30" spans="1:38" ht="29.25" customHeight="1">
      <c r="A30" s="555" t="s">
        <v>1031</v>
      </c>
      <c r="B30" s="765" t="s">
        <v>1032</v>
      </c>
      <c r="C30" s="598"/>
      <c r="D30" s="598"/>
      <c r="E30" s="598"/>
      <c r="F30" s="598"/>
      <c r="G30" s="598"/>
      <c r="H30" s="598"/>
      <c r="I30" s="598"/>
      <c r="J30" s="598"/>
      <c r="K30" s="598"/>
      <c r="L30" s="598"/>
      <c r="M30" s="598"/>
      <c r="N30" s="598"/>
      <c r="O30" s="598"/>
      <c r="P30" s="598"/>
      <c r="Q30" s="598"/>
      <c r="R30" s="598"/>
      <c r="S30" s="556" t="s">
        <v>1031</v>
      </c>
      <c r="T30" s="80"/>
      <c r="U30" s="34"/>
      <c r="V30" s="34"/>
      <c r="W30" s="34"/>
      <c r="X30" s="34"/>
      <c r="Y30" s="34"/>
      <c r="Z30" s="34"/>
      <c r="AA30" s="34"/>
      <c r="AB30" s="34"/>
      <c r="AC30" s="34"/>
      <c r="AD30" s="34"/>
      <c r="AE30" s="34"/>
      <c r="AF30" s="34"/>
      <c r="AG30" s="34"/>
      <c r="AH30" s="34"/>
      <c r="AI30" s="34"/>
      <c r="AJ30" s="34"/>
      <c r="AK30" s="34"/>
      <c r="AL30" s="141"/>
    </row>
    <row r="31" spans="1:38" ht="12.75" customHeight="1">
      <c r="A31" s="528"/>
      <c r="B31" s="529"/>
      <c r="C31" s="529"/>
      <c r="D31" s="529"/>
      <c r="E31" s="529"/>
      <c r="F31" s="529"/>
      <c r="G31" s="529"/>
      <c r="H31" s="529"/>
      <c r="I31" s="529"/>
      <c r="J31" s="529"/>
      <c r="K31" s="529"/>
      <c r="L31" s="529"/>
      <c r="M31" s="529"/>
      <c r="N31" s="529"/>
      <c r="O31" s="529"/>
      <c r="P31" s="529"/>
      <c r="Q31" s="529"/>
      <c r="R31" s="529"/>
      <c r="S31" s="531"/>
      <c r="T31" s="80"/>
      <c r="U31" s="34"/>
      <c r="V31" s="34"/>
      <c r="W31" s="34"/>
      <c r="X31" s="34"/>
      <c r="Y31" s="34"/>
      <c r="Z31" s="34"/>
      <c r="AA31" s="34"/>
      <c r="AB31" s="34"/>
      <c r="AC31" s="34"/>
      <c r="AD31" s="34"/>
      <c r="AE31" s="34"/>
      <c r="AF31" s="34"/>
      <c r="AG31" s="34"/>
      <c r="AH31" s="34"/>
      <c r="AI31" s="34"/>
      <c r="AJ31" s="34"/>
      <c r="AK31" s="34"/>
      <c r="AL31" s="141"/>
    </row>
    <row r="32" spans="1:38" ht="12.75" customHeight="1">
      <c r="A32" s="528"/>
      <c r="B32" s="529"/>
      <c r="C32" s="529"/>
      <c r="D32" s="529"/>
      <c r="E32" s="529"/>
      <c r="F32" s="529"/>
      <c r="G32" s="529"/>
      <c r="H32" s="529"/>
      <c r="I32" s="529"/>
      <c r="J32" s="529"/>
      <c r="K32" s="529"/>
      <c r="L32" s="529"/>
      <c r="M32" s="529"/>
      <c r="N32" s="529"/>
      <c r="O32" s="529"/>
      <c r="P32" s="529"/>
      <c r="Q32" s="529"/>
      <c r="R32" s="529"/>
      <c r="S32" s="531"/>
      <c r="T32" s="80"/>
      <c r="U32" s="34"/>
      <c r="V32" s="34"/>
      <c r="W32" s="34"/>
      <c r="X32" s="34"/>
      <c r="Y32" s="34"/>
      <c r="Z32" s="34"/>
      <c r="AA32" s="34"/>
      <c r="AB32" s="34"/>
      <c r="AC32" s="34"/>
      <c r="AD32" s="34"/>
      <c r="AE32" s="34"/>
      <c r="AF32" s="34"/>
      <c r="AG32" s="34"/>
      <c r="AH32" s="34"/>
      <c r="AI32" s="34"/>
      <c r="AJ32" s="34"/>
      <c r="AK32" s="34"/>
      <c r="AL32" s="141"/>
    </row>
    <row r="33" spans="1:38" ht="12.75" customHeight="1">
      <c r="A33" s="528"/>
      <c r="B33" s="529"/>
      <c r="C33" s="529"/>
      <c r="D33" s="529"/>
      <c r="E33" s="529"/>
      <c r="F33" s="529"/>
      <c r="G33" s="529"/>
      <c r="H33" s="529"/>
      <c r="I33" s="529"/>
      <c r="J33" s="529"/>
      <c r="K33" s="529"/>
      <c r="L33" s="529"/>
      <c r="M33" s="529"/>
      <c r="N33" s="529"/>
      <c r="O33" s="529"/>
      <c r="P33" s="529"/>
      <c r="Q33" s="529"/>
      <c r="R33" s="529"/>
      <c r="S33" s="531"/>
      <c r="T33" s="80"/>
      <c r="U33" s="34"/>
      <c r="V33" s="34"/>
      <c r="W33" s="34"/>
      <c r="X33" s="34"/>
      <c r="Y33" s="34"/>
      <c r="Z33" s="34"/>
      <c r="AA33" s="34"/>
      <c r="AB33" s="34"/>
      <c r="AC33" s="34"/>
      <c r="AD33" s="34"/>
      <c r="AE33" s="34"/>
      <c r="AF33" s="34"/>
      <c r="AG33" s="34"/>
      <c r="AH33" s="34"/>
      <c r="AI33" s="34"/>
      <c r="AJ33" s="34"/>
      <c r="AK33" s="34"/>
      <c r="AL33" s="141"/>
    </row>
    <row r="34" spans="1:38" ht="12.75" customHeight="1">
      <c r="A34" s="528"/>
      <c r="B34" s="529"/>
      <c r="C34" s="529"/>
      <c r="D34" s="529"/>
      <c r="E34" s="529"/>
      <c r="F34" s="529"/>
      <c r="G34" s="529"/>
      <c r="H34" s="529"/>
      <c r="I34" s="529"/>
      <c r="J34" s="529"/>
      <c r="K34" s="529"/>
      <c r="L34" s="529"/>
      <c r="M34" s="529"/>
      <c r="N34" s="529"/>
      <c r="O34" s="529"/>
      <c r="P34" s="529"/>
      <c r="Q34" s="529"/>
      <c r="R34" s="529"/>
      <c r="S34" s="531"/>
      <c r="T34" s="80"/>
      <c r="U34" s="34"/>
      <c r="V34" s="34"/>
      <c r="W34" s="34"/>
      <c r="X34" s="34"/>
      <c r="Y34" s="34"/>
      <c r="Z34" s="34"/>
      <c r="AA34" s="34"/>
      <c r="AB34" s="34"/>
      <c r="AC34" s="34"/>
      <c r="AD34" s="34"/>
      <c r="AE34" s="34"/>
      <c r="AF34" s="34"/>
      <c r="AG34" s="34"/>
      <c r="AH34" s="34"/>
      <c r="AI34" s="34"/>
      <c r="AJ34" s="34"/>
      <c r="AK34" s="34"/>
      <c r="AL34" s="141"/>
    </row>
    <row r="35" spans="1:38" ht="12.75" customHeight="1">
      <c r="A35" s="528"/>
      <c r="B35" s="529"/>
      <c r="C35" s="529"/>
      <c r="D35" s="529"/>
      <c r="E35" s="529"/>
      <c r="F35" s="529"/>
      <c r="G35" s="529"/>
      <c r="H35" s="529"/>
      <c r="I35" s="529"/>
      <c r="J35" s="529"/>
      <c r="K35" s="529"/>
      <c r="L35" s="529"/>
      <c r="M35" s="529"/>
      <c r="N35" s="529"/>
      <c r="O35" s="529"/>
      <c r="P35" s="529"/>
      <c r="Q35" s="529"/>
      <c r="R35" s="529"/>
      <c r="S35" s="531"/>
      <c r="T35" s="80"/>
      <c r="U35" s="34"/>
      <c r="V35" s="34"/>
      <c r="W35" s="34"/>
      <c r="X35" s="34"/>
      <c r="Y35" s="34"/>
      <c r="Z35" s="34"/>
      <c r="AA35" s="34"/>
      <c r="AB35" s="34"/>
      <c r="AC35" s="34"/>
      <c r="AD35" s="34"/>
      <c r="AE35" s="34"/>
      <c r="AF35" s="34"/>
      <c r="AG35" s="34"/>
      <c r="AH35" s="34"/>
      <c r="AI35" s="34"/>
      <c r="AJ35" s="34"/>
      <c r="AK35" s="34"/>
      <c r="AL35" s="141"/>
    </row>
    <row r="36" spans="1:38" ht="12.75" customHeight="1">
      <c r="A36" s="528"/>
      <c r="B36" s="529"/>
      <c r="C36" s="529"/>
      <c r="D36" s="529"/>
      <c r="E36" s="529"/>
      <c r="F36" s="529"/>
      <c r="G36" s="529"/>
      <c r="H36" s="529"/>
      <c r="I36" s="529"/>
      <c r="J36" s="529"/>
      <c r="K36" s="529"/>
      <c r="L36" s="529"/>
      <c r="M36" s="529"/>
      <c r="N36" s="529"/>
      <c r="O36" s="529"/>
      <c r="P36" s="529"/>
      <c r="Q36" s="529"/>
      <c r="R36" s="529"/>
      <c r="S36" s="531"/>
      <c r="T36" s="80"/>
      <c r="U36" s="34"/>
      <c r="V36" s="34"/>
      <c r="W36" s="34"/>
      <c r="X36" s="34"/>
      <c r="Y36" s="34"/>
      <c r="Z36" s="34"/>
      <c r="AA36" s="34"/>
      <c r="AB36" s="34"/>
      <c r="AC36" s="34"/>
      <c r="AD36" s="34"/>
      <c r="AE36" s="34"/>
      <c r="AF36" s="34"/>
      <c r="AG36" s="34"/>
      <c r="AH36" s="34"/>
      <c r="AI36" s="34"/>
      <c r="AJ36" s="34"/>
      <c r="AK36" s="34"/>
      <c r="AL36" s="141"/>
    </row>
    <row r="37" spans="1:38" ht="12.75" customHeight="1">
      <c r="A37" s="528"/>
      <c r="B37" s="529"/>
      <c r="C37" s="529"/>
      <c r="D37" s="529"/>
      <c r="E37" s="529"/>
      <c r="F37" s="529"/>
      <c r="G37" s="529"/>
      <c r="H37" s="529"/>
      <c r="I37" s="529"/>
      <c r="J37" s="529"/>
      <c r="K37" s="529"/>
      <c r="L37" s="529"/>
      <c r="M37" s="529"/>
      <c r="N37" s="529"/>
      <c r="O37" s="529"/>
      <c r="P37" s="529"/>
      <c r="Q37" s="529"/>
      <c r="R37" s="529"/>
      <c r="S37" s="531"/>
      <c r="T37" s="80"/>
      <c r="U37" s="34"/>
      <c r="V37" s="34"/>
      <c r="W37" s="34"/>
      <c r="X37" s="34"/>
      <c r="Y37" s="34"/>
      <c r="Z37" s="34"/>
      <c r="AA37" s="34"/>
      <c r="AB37" s="34"/>
      <c r="AC37" s="34"/>
      <c r="AD37" s="34"/>
      <c r="AE37" s="34"/>
      <c r="AF37" s="34"/>
      <c r="AG37" s="34"/>
      <c r="AH37" s="34"/>
      <c r="AI37" s="34"/>
      <c r="AJ37" s="34"/>
      <c r="AK37" s="34"/>
      <c r="AL37" s="141"/>
    </row>
    <row r="38" spans="1:38" ht="12.75" customHeight="1">
      <c r="A38" s="528"/>
      <c r="B38" s="529"/>
      <c r="C38" s="529"/>
      <c r="D38" s="529"/>
      <c r="E38" s="529"/>
      <c r="F38" s="529"/>
      <c r="G38" s="529"/>
      <c r="H38" s="529"/>
      <c r="I38" s="529"/>
      <c r="J38" s="529"/>
      <c r="K38" s="529"/>
      <c r="L38" s="529"/>
      <c r="M38" s="529"/>
      <c r="N38" s="529"/>
      <c r="O38" s="529"/>
      <c r="P38" s="529"/>
      <c r="Q38" s="529"/>
      <c r="R38" s="529"/>
      <c r="S38" s="531"/>
      <c r="T38" s="80"/>
      <c r="U38" s="34"/>
      <c r="V38" s="34"/>
      <c r="W38" s="34"/>
      <c r="X38" s="34"/>
      <c r="Y38" s="34"/>
      <c r="Z38" s="34"/>
      <c r="AA38" s="34"/>
      <c r="AB38" s="34"/>
      <c r="AC38" s="34"/>
      <c r="AD38" s="34"/>
      <c r="AE38" s="34"/>
      <c r="AF38" s="34"/>
      <c r="AG38" s="34"/>
      <c r="AH38" s="34"/>
      <c r="AI38" s="34"/>
      <c r="AJ38" s="34"/>
      <c r="AK38" s="34"/>
      <c r="AL38" s="141"/>
    </row>
    <row r="39" spans="1:38" ht="12.75" customHeight="1">
      <c r="A39" s="528"/>
      <c r="B39" s="529"/>
      <c r="C39" s="529"/>
      <c r="D39" s="529"/>
      <c r="E39" s="529"/>
      <c r="F39" s="529"/>
      <c r="G39" s="529"/>
      <c r="H39" s="529"/>
      <c r="I39" s="529"/>
      <c r="J39" s="529"/>
      <c r="K39" s="529"/>
      <c r="L39" s="529"/>
      <c r="M39" s="529"/>
      <c r="N39" s="529"/>
      <c r="O39" s="529"/>
      <c r="P39" s="529"/>
      <c r="Q39" s="529"/>
      <c r="R39" s="529"/>
      <c r="S39" s="531"/>
      <c r="T39" s="80"/>
      <c r="U39" s="34"/>
      <c r="V39" s="34"/>
      <c r="W39" s="34"/>
      <c r="X39" s="34"/>
      <c r="Y39" s="34"/>
      <c r="Z39" s="34"/>
      <c r="AA39" s="34"/>
      <c r="AB39" s="34"/>
      <c r="AC39" s="34"/>
      <c r="AD39" s="34"/>
      <c r="AE39" s="34"/>
      <c r="AF39" s="34"/>
      <c r="AG39" s="34"/>
      <c r="AH39" s="34"/>
      <c r="AI39" s="34"/>
      <c r="AJ39" s="34"/>
      <c r="AK39" s="34"/>
      <c r="AL39" s="141"/>
    </row>
    <row r="40" spans="1:38" ht="12.75" customHeight="1">
      <c r="A40" s="528"/>
      <c r="B40" s="529"/>
      <c r="C40" s="529"/>
      <c r="D40" s="529"/>
      <c r="E40" s="529"/>
      <c r="F40" s="529"/>
      <c r="G40" s="529"/>
      <c r="H40" s="529"/>
      <c r="I40" s="529"/>
      <c r="J40" s="529"/>
      <c r="K40" s="529"/>
      <c r="L40" s="529"/>
      <c r="M40" s="529"/>
      <c r="N40" s="529"/>
      <c r="O40" s="529"/>
      <c r="P40" s="529"/>
      <c r="Q40" s="529"/>
      <c r="R40" s="529"/>
      <c r="S40" s="531"/>
      <c r="T40" s="80"/>
      <c r="U40" s="34"/>
      <c r="V40" s="34"/>
      <c r="W40" s="34"/>
      <c r="X40" s="34"/>
      <c r="Y40" s="34"/>
      <c r="Z40" s="34"/>
      <c r="AA40" s="34"/>
      <c r="AB40" s="34"/>
      <c r="AC40" s="34"/>
      <c r="AD40" s="34"/>
      <c r="AE40" s="34"/>
      <c r="AF40" s="34"/>
      <c r="AG40" s="34"/>
      <c r="AH40" s="34"/>
      <c r="AI40" s="34"/>
      <c r="AJ40" s="34"/>
      <c r="AK40" s="34"/>
      <c r="AL40" s="141"/>
    </row>
    <row r="41" spans="1:38" ht="12.75" customHeight="1">
      <c r="A41" s="528"/>
      <c r="B41" s="529"/>
      <c r="C41" s="529"/>
      <c r="D41" s="529"/>
      <c r="E41" s="529"/>
      <c r="F41" s="529"/>
      <c r="G41" s="529"/>
      <c r="H41" s="529"/>
      <c r="I41" s="529"/>
      <c r="J41" s="529"/>
      <c r="K41" s="529"/>
      <c r="L41" s="529"/>
      <c r="M41" s="529"/>
      <c r="N41" s="529"/>
      <c r="O41" s="529"/>
      <c r="P41" s="529"/>
      <c r="Q41" s="529"/>
      <c r="R41" s="529"/>
      <c r="S41" s="531"/>
      <c r="T41" s="80"/>
      <c r="U41" s="34"/>
      <c r="V41" s="34"/>
      <c r="W41" s="34"/>
      <c r="X41" s="34"/>
      <c r="Y41" s="34"/>
      <c r="Z41" s="34"/>
      <c r="AA41" s="34"/>
      <c r="AB41" s="34"/>
      <c r="AC41" s="34"/>
      <c r="AD41" s="34"/>
      <c r="AE41" s="34"/>
      <c r="AF41" s="34"/>
      <c r="AG41" s="34"/>
      <c r="AH41" s="34"/>
      <c r="AI41" s="34"/>
      <c r="AJ41" s="34"/>
      <c r="AK41" s="34"/>
      <c r="AL41" s="141"/>
    </row>
    <row r="42" spans="1:38" ht="12.75" customHeight="1">
      <c r="A42" s="528"/>
      <c r="B42" s="529"/>
      <c r="C42" s="529"/>
      <c r="D42" s="529"/>
      <c r="E42" s="529"/>
      <c r="F42" s="529"/>
      <c r="G42" s="529"/>
      <c r="H42" s="529"/>
      <c r="I42" s="529"/>
      <c r="J42" s="529"/>
      <c r="K42" s="529"/>
      <c r="L42" s="529"/>
      <c r="M42" s="529"/>
      <c r="N42" s="529"/>
      <c r="O42" s="529"/>
      <c r="P42" s="529"/>
      <c r="Q42" s="529"/>
      <c r="R42" s="529"/>
      <c r="S42" s="531"/>
      <c r="T42" s="80"/>
      <c r="U42" s="34"/>
      <c r="V42" s="34"/>
      <c r="W42" s="34"/>
      <c r="X42" s="34"/>
      <c r="Y42" s="34"/>
      <c r="Z42" s="34"/>
      <c r="AA42" s="34"/>
      <c r="AB42" s="34"/>
      <c r="AC42" s="34"/>
      <c r="AD42" s="34"/>
      <c r="AE42" s="34"/>
      <c r="AF42" s="34"/>
      <c r="AG42" s="34"/>
      <c r="AH42" s="34"/>
      <c r="AI42" s="34"/>
      <c r="AJ42" s="34"/>
      <c r="AK42" s="34"/>
      <c r="AL42" s="141"/>
    </row>
    <row r="43" spans="1:38" ht="12.75" customHeight="1">
      <c r="A43" s="528"/>
      <c r="B43" s="529"/>
      <c r="C43" s="529"/>
      <c r="D43" s="529"/>
      <c r="E43" s="529"/>
      <c r="F43" s="529"/>
      <c r="G43" s="529"/>
      <c r="H43" s="529"/>
      <c r="I43" s="529"/>
      <c r="J43" s="529"/>
      <c r="K43" s="529"/>
      <c r="L43" s="529"/>
      <c r="M43" s="529"/>
      <c r="N43" s="529"/>
      <c r="O43" s="529"/>
      <c r="P43" s="529"/>
      <c r="Q43" s="529"/>
      <c r="R43" s="529"/>
      <c r="S43" s="531"/>
      <c r="T43" s="80"/>
      <c r="U43" s="34"/>
      <c r="V43" s="34"/>
      <c r="W43" s="34"/>
      <c r="X43" s="34"/>
      <c r="Y43" s="34"/>
      <c r="Z43" s="34"/>
      <c r="AA43" s="34"/>
      <c r="AB43" s="34"/>
      <c r="AC43" s="34"/>
      <c r="AD43" s="34"/>
      <c r="AE43" s="34"/>
      <c r="AF43" s="34"/>
      <c r="AG43" s="34"/>
      <c r="AH43" s="34"/>
      <c r="AI43" s="34"/>
      <c r="AJ43" s="34"/>
      <c r="AK43" s="34"/>
      <c r="AL43" s="141"/>
    </row>
    <row r="44" spans="1:38" ht="12.75" customHeight="1">
      <c r="A44" s="528"/>
      <c r="B44" s="529"/>
      <c r="C44" s="529"/>
      <c r="D44" s="529"/>
      <c r="E44" s="529"/>
      <c r="F44" s="529"/>
      <c r="G44" s="529"/>
      <c r="H44" s="529"/>
      <c r="I44" s="529"/>
      <c r="J44" s="529"/>
      <c r="K44" s="529"/>
      <c r="L44" s="529"/>
      <c r="M44" s="529"/>
      <c r="N44" s="529"/>
      <c r="O44" s="529"/>
      <c r="P44" s="529"/>
      <c r="Q44" s="529"/>
      <c r="R44" s="529"/>
      <c r="S44" s="531"/>
      <c r="T44" s="80"/>
      <c r="U44" s="34"/>
      <c r="V44" s="34"/>
      <c r="W44" s="34"/>
      <c r="X44" s="34"/>
      <c r="Y44" s="34"/>
      <c r="Z44" s="34"/>
      <c r="AA44" s="34"/>
      <c r="AB44" s="34"/>
      <c r="AC44" s="34"/>
      <c r="AD44" s="34"/>
      <c r="AE44" s="34"/>
      <c r="AF44" s="34"/>
      <c r="AG44" s="34"/>
      <c r="AH44" s="34"/>
      <c r="AI44" s="34"/>
      <c r="AJ44" s="34"/>
      <c r="AK44" s="34"/>
      <c r="AL44" s="141"/>
    </row>
    <row r="45" spans="1:38" ht="12.75" customHeight="1">
      <c r="A45" s="528"/>
      <c r="B45" s="529"/>
      <c r="C45" s="529"/>
      <c r="D45" s="529"/>
      <c r="E45" s="529"/>
      <c r="F45" s="529"/>
      <c r="G45" s="529"/>
      <c r="H45" s="529"/>
      <c r="I45" s="529"/>
      <c r="J45" s="529"/>
      <c r="K45" s="529"/>
      <c r="L45" s="529"/>
      <c r="M45" s="529"/>
      <c r="N45" s="529"/>
      <c r="O45" s="529"/>
      <c r="P45" s="529"/>
      <c r="Q45" s="529"/>
      <c r="R45" s="529"/>
      <c r="S45" s="531"/>
      <c r="T45" s="80"/>
      <c r="U45" s="34"/>
      <c r="V45" s="34"/>
      <c r="W45" s="34"/>
      <c r="X45" s="34"/>
      <c r="Y45" s="34"/>
      <c r="Z45" s="34"/>
      <c r="AA45" s="34"/>
      <c r="AB45" s="34"/>
      <c r="AC45" s="34"/>
      <c r="AD45" s="34"/>
      <c r="AE45" s="34"/>
      <c r="AF45" s="34"/>
      <c r="AG45" s="34"/>
      <c r="AH45" s="34"/>
      <c r="AI45" s="34"/>
      <c r="AJ45" s="34"/>
      <c r="AK45" s="34"/>
      <c r="AL45" s="141"/>
    </row>
    <row r="46" spans="1:38" ht="12.75" customHeight="1">
      <c r="A46" s="528"/>
      <c r="B46" s="529"/>
      <c r="C46" s="529"/>
      <c r="D46" s="529"/>
      <c r="E46" s="529"/>
      <c r="F46" s="529"/>
      <c r="G46" s="529"/>
      <c r="H46" s="529"/>
      <c r="I46" s="529"/>
      <c r="J46" s="529"/>
      <c r="K46" s="529"/>
      <c r="L46" s="529"/>
      <c r="M46" s="529"/>
      <c r="N46" s="529"/>
      <c r="O46" s="529"/>
      <c r="P46" s="529"/>
      <c r="Q46" s="529"/>
      <c r="R46" s="529"/>
      <c r="S46" s="531"/>
      <c r="T46" s="80"/>
      <c r="U46" s="34"/>
      <c r="V46" s="34"/>
      <c r="W46" s="34"/>
      <c r="X46" s="34"/>
      <c r="Y46" s="34"/>
      <c r="Z46" s="34"/>
      <c r="AA46" s="34"/>
      <c r="AB46" s="34"/>
      <c r="AC46" s="34"/>
      <c r="AD46" s="34"/>
      <c r="AE46" s="34"/>
      <c r="AF46" s="34"/>
      <c r="AG46" s="34"/>
      <c r="AH46" s="34"/>
      <c r="AI46" s="34"/>
      <c r="AJ46" s="34"/>
      <c r="AK46" s="34"/>
      <c r="AL46" s="141"/>
    </row>
    <row r="47" spans="1:38" ht="12.75" customHeight="1">
      <c r="A47" s="528"/>
      <c r="B47" s="529"/>
      <c r="C47" s="529"/>
      <c r="D47" s="529"/>
      <c r="E47" s="529"/>
      <c r="F47" s="529"/>
      <c r="G47" s="529"/>
      <c r="H47" s="529"/>
      <c r="I47" s="529"/>
      <c r="J47" s="529"/>
      <c r="K47" s="529"/>
      <c r="L47" s="529"/>
      <c r="M47" s="529"/>
      <c r="N47" s="529"/>
      <c r="O47" s="529"/>
      <c r="P47" s="529"/>
      <c r="Q47" s="529"/>
      <c r="R47" s="529"/>
      <c r="S47" s="531"/>
      <c r="T47" s="80"/>
      <c r="U47" s="34"/>
      <c r="V47" s="34"/>
      <c r="W47" s="34"/>
      <c r="X47" s="34"/>
      <c r="Y47" s="34"/>
      <c r="Z47" s="34"/>
      <c r="AA47" s="34"/>
      <c r="AB47" s="34"/>
      <c r="AC47" s="34"/>
      <c r="AD47" s="34"/>
      <c r="AE47" s="34"/>
      <c r="AF47" s="34"/>
      <c r="AG47" s="34"/>
      <c r="AH47" s="34"/>
      <c r="AI47" s="34"/>
      <c r="AJ47" s="34"/>
      <c r="AK47" s="34"/>
      <c r="AL47" s="141"/>
    </row>
    <row r="48" spans="1:38" ht="12.75" customHeight="1">
      <c r="A48" s="528"/>
      <c r="B48" s="529"/>
      <c r="C48" s="529"/>
      <c r="D48" s="529"/>
      <c r="E48" s="529"/>
      <c r="F48" s="529"/>
      <c r="G48" s="529"/>
      <c r="H48" s="529"/>
      <c r="I48" s="529"/>
      <c r="J48" s="529"/>
      <c r="K48" s="529"/>
      <c r="L48" s="529"/>
      <c r="M48" s="529"/>
      <c r="N48" s="529"/>
      <c r="O48" s="529"/>
      <c r="P48" s="529"/>
      <c r="Q48" s="529"/>
      <c r="R48" s="529"/>
      <c r="S48" s="531"/>
      <c r="T48" s="80"/>
      <c r="U48" s="34"/>
      <c r="V48" s="34"/>
      <c r="W48" s="34"/>
      <c r="X48" s="34"/>
      <c r="Y48" s="34"/>
      <c r="Z48" s="34"/>
      <c r="AA48" s="34"/>
      <c r="AB48" s="34"/>
      <c r="AC48" s="34"/>
      <c r="AD48" s="34"/>
      <c r="AE48" s="34"/>
      <c r="AF48" s="34"/>
      <c r="AG48" s="34"/>
      <c r="AH48" s="34"/>
      <c r="AI48" s="34"/>
      <c r="AJ48" s="34"/>
      <c r="AK48" s="34"/>
      <c r="AL48" s="141"/>
    </row>
    <row r="49" spans="1:38" ht="12.75" customHeight="1">
      <c r="A49" s="528"/>
      <c r="B49" s="529"/>
      <c r="C49" s="529"/>
      <c r="D49" s="529"/>
      <c r="E49" s="529"/>
      <c r="F49" s="529"/>
      <c r="G49" s="529"/>
      <c r="H49" s="529"/>
      <c r="I49" s="529"/>
      <c r="J49" s="529"/>
      <c r="K49" s="529"/>
      <c r="L49" s="529"/>
      <c r="M49" s="529"/>
      <c r="N49" s="529"/>
      <c r="O49" s="529"/>
      <c r="P49" s="529"/>
      <c r="Q49" s="529"/>
      <c r="R49" s="529"/>
      <c r="S49" s="531"/>
      <c r="T49" s="80"/>
      <c r="U49" s="34"/>
      <c r="V49" s="34"/>
      <c r="W49" s="34"/>
      <c r="X49" s="34"/>
      <c r="Y49" s="34"/>
      <c r="Z49" s="34"/>
      <c r="AA49" s="34"/>
      <c r="AB49" s="34"/>
      <c r="AC49" s="34"/>
      <c r="AD49" s="34"/>
      <c r="AE49" s="34"/>
      <c r="AF49" s="34"/>
      <c r="AG49" s="34"/>
      <c r="AH49" s="34"/>
      <c r="AI49" s="34"/>
      <c r="AJ49" s="34"/>
      <c r="AK49" s="34"/>
      <c r="AL49" s="141"/>
    </row>
    <row r="50" spans="1:38" ht="12.75" customHeight="1">
      <c r="A50" s="528"/>
      <c r="B50" s="529"/>
      <c r="C50" s="529"/>
      <c r="D50" s="529"/>
      <c r="E50" s="529"/>
      <c r="F50" s="529"/>
      <c r="G50" s="529"/>
      <c r="H50" s="529"/>
      <c r="I50" s="529"/>
      <c r="J50" s="529"/>
      <c r="K50" s="529"/>
      <c r="L50" s="529"/>
      <c r="M50" s="529"/>
      <c r="N50" s="529"/>
      <c r="O50" s="529"/>
      <c r="P50" s="529"/>
      <c r="Q50" s="529"/>
      <c r="R50" s="529"/>
      <c r="S50" s="531"/>
      <c r="T50" s="80"/>
      <c r="U50" s="34"/>
      <c r="V50" s="34"/>
      <c r="W50" s="34"/>
      <c r="X50" s="34"/>
      <c r="Y50" s="34"/>
      <c r="Z50" s="34"/>
      <c r="AA50" s="34"/>
      <c r="AB50" s="34"/>
      <c r="AC50" s="34"/>
      <c r="AD50" s="34"/>
      <c r="AE50" s="34"/>
      <c r="AF50" s="34"/>
      <c r="AG50" s="34"/>
      <c r="AH50" s="34"/>
      <c r="AI50" s="34"/>
      <c r="AJ50" s="34"/>
      <c r="AK50" s="34"/>
      <c r="AL50" s="141"/>
    </row>
    <row r="51" spans="1:38" ht="12.75" customHeight="1">
      <c r="A51" s="528"/>
      <c r="B51" s="529"/>
      <c r="C51" s="529"/>
      <c r="D51" s="529"/>
      <c r="E51" s="529"/>
      <c r="F51" s="529"/>
      <c r="G51" s="529"/>
      <c r="H51" s="529"/>
      <c r="I51" s="529"/>
      <c r="J51" s="529"/>
      <c r="K51" s="529"/>
      <c r="L51" s="529"/>
      <c r="M51" s="529"/>
      <c r="N51" s="529"/>
      <c r="O51" s="529"/>
      <c r="P51" s="529"/>
      <c r="Q51" s="529"/>
      <c r="R51" s="529"/>
      <c r="S51" s="531"/>
      <c r="T51" s="80"/>
      <c r="U51" s="34"/>
      <c r="V51" s="34"/>
      <c r="W51" s="34"/>
      <c r="X51" s="34"/>
      <c r="Y51" s="34"/>
      <c r="Z51" s="34"/>
      <c r="AA51" s="34"/>
      <c r="AB51" s="34"/>
      <c r="AC51" s="34"/>
      <c r="AD51" s="34"/>
      <c r="AE51" s="34"/>
      <c r="AF51" s="34"/>
      <c r="AG51" s="34"/>
      <c r="AH51" s="34"/>
      <c r="AI51" s="34"/>
      <c r="AJ51" s="34"/>
      <c r="AK51" s="34"/>
      <c r="AL51" s="141"/>
    </row>
    <row r="52" spans="1:38" ht="12.75" customHeight="1">
      <c r="A52" s="528"/>
      <c r="B52" s="536"/>
      <c r="C52" s="529"/>
      <c r="D52" s="529"/>
      <c r="E52" s="529"/>
      <c r="F52" s="529"/>
      <c r="G52" s="529"/>
      <c r="H52" s="529"/>
      <c r="I52" s="529"/>
      <c r="J52" s="529"/>
      <c r="K52" s="529"/>
      <c r="L52" s="529"/>
      <c r="M52" s="529"/>
      <c r="N52" s="529"/>
      <c r="O52" s="529"/>
      <c r="P52" s="529"/>
      <c r="Q52" s="529"/>
      <c r="R52" s="529"/>
      <c r="S52" s="531"/>
      <c r="T52" s="80"/>
      <c r="U52" s="34"/>
      <c r="V52" s="34"/>
      <c r="W52" s="34"/>
      <c r="X52" s="34"/>
      <c r="Y52" s="34"/>
      <c r="Z52" s="34"/>
      <c r="AA52" s="34"/>
      <c r="AB52" s="34"/>
      <c r="AC52" s="34"/>
      <c r="AD52" s="34"/>
      <c r="AE52" s="34"/>
      <c r="AF52" s="34"/>
      <c r="AG52" s="34"/>
      <c r="AH52" s="34"/>
      <c r="AI52" s="34"/>
      <c r="AJ52" s="34"/>
      <c r="AK52" s="34"/>
      <c r="AL52" s="141"/>
    </row>
    <row r="53" spans="1:38" ht="12.75" customHeight="1">
      <c r="A53" s="528"/>
      <c r="B53" s="536"/>
      <c r="C53" s="529"/>
      <c r="D53" s="529"/>
      <c r="E53" s="529"/>
      <c r="F53" s="529"/>
      <c r="G53" s="529"/>
      <c r="H53" s="529"/>
      <c r="I53" s="529"/>
      <c r="J53" s="529"/>
      <c r="K53" s="529"/>
      <c r="L53" s="529"/>
      <c r="M53" s="529"/>
      <c r="N53" s="529"/>
      <c r="O53" s="529"/>
      <c r="P53" s="529"/>
      <c r="Q53" s="529"/>
      <c r="R53" s="529"/>
      <c r="S53" s="531"/>
      <c r="T53" s="80"/>
      <c r="U53" s="34"/>
      <c r="V53" s="34"/>
      <c r="W53" s="34"/>
      <c r="X53" s="34"/>
      <c r="Y53" s="34"/>
      <c r="Z53" s="34"/>
      <c r="AA53" s="34"/>
      <c r="AB53" s="34"/>
      <c r="AC53" s="34"/>
      <c r="AD53" s="34"/>
      <c r="AE53" s="34"/>
      <c r="AF53" s="34"/>
      <c r="AG53" s="34"/>
      <c r="AH53" s="34"/>
      <c r="AI53" s="34"/>
      <c r="AJ53" s="34"/>
      <c r="AK53" s="34"/>
      <c r="AL53" s="141"/>
    </row>
    <row r="54" spans="1:38" ht="12.75" customHeight="1">
      <c r="A54" s="534"/>
      <c r="B54" s="533"/>
      <c r="C54" s="533"/>
      <c r="D54" s="533"/>
      <c r="E54" s="533"/>
      <c r="F54" s="533"/>
      <c r="G54" s="533"/>
      <c r="H54" s="533"/>
      <c r="I54" s="533"/>
      <c r="J54" s="533"/>
      <c r="K54" s="533"/>
      <c r="L54" s="533"/>
      <c r="M54" s="533"/>
      <c r="N54" s="533"/>
      <c r="O54" s="533"/>
      <c r="P54" s="533"/>
      <c r="Q54" s="533"/>
      <c r="R54" s="533"/>
      <c r="S54" s="535"/>
      <c r="T54" s="251"/>
      <c r="U54" s="25"/>
      <c r="V54" s="25"/>
      <c r="W54" s="25"/>
      <c r="X54" s="25"/>
      <c r="Y54" s="25"/>
      <c r="Z54" s="25"/>
      <c r="AA54" s="25"/>
      <c r="AB54" s="25"/>
      <c r="AC54" s="25"/>
      <c r="AD54" s="25"/>
      <c r="AE54" s="25"/>
      <c r="AF54" s="25"/>
      <c r="AG54" s="25"/>
      <c r="AH54" s="25"/>
      <c r="AI54" s="25"/>
      <c r="AJ54" s="25"/>
      <c r="AK54" s="25"/>
      <c r="AL54" s="197"/>
    </row>
    <row r="55" spans="1:38" ht="12.75" customHeight="1"/>
    <row r="56" spans="1:38" ht="12.75" customHeight="1"/>
    <row r="57" spans="1:38" ht="12.75" customHeight="1"/>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B30:R30"/>
  </mergeCells>
  <hyperlinks>
    <hyperlink ref="B25" location="'EV5.5.8 TSAC attachments'!A1" display="BACK" xr:uid="{00000000-0004-0000-3200-000000000000}"/>
  </hyperlinks>
  <pageMargins left="0.39370078740157483" right="0.39370078740157483" top="0.39370078740157483" bottom="0.39370078740157483" header="0" footer="0"/>
  <pageSetup paperSize="9" orientation="portrait"/>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L1000"/>
  <sheetViews>
    <sheetView showGridLines="0" workbookViewId="0"/>
  </sheetViews>
  <sheetFormatPr baseColWidth="10" defaultColWidth="12.5703125" defaultRowHeight="15" customHeight="1"/>
  <cols>
    <col min="1" max="27" width="5" customWidth="1"/>
    <col min="28" max="28" width="6.140625" customWidth="1"/>
    <col min="29" max="38" width="5" customWidth="1"/>
  </cols>
  <sheetData>
    <row r="1" spans="1:38" ht="12.75" customHeight="1">
      <c r="A1" s="617" t="s">
        <v>1033</v>
      </c>
      <c r="B1" s="598"/>
      <c r="C1" s="598"/>
      <c r="D1" s="598"/>
      <c r="E1" s="598"/>
      <c r="F1" s="598"/>
      <c r="G1" s="598"/>
      <c r="H1" s="598"/>
      <c r="I1" s="598"/>
      <c r="J1" s="598"/>
      <c r="K1" s="598"/>
      <c r="L1" s="598"/>
      <c r="M1" s="598"/>
      <c r="N1" s="598"/>
      <c r="O1" s="598"/>
      <c r="P1" s="598"/>
      <c r="Q1" s="598"/>
      <c r="R1" s="598"/>
      <c r="S1" s="598"/>
      <c r="T1" s="382"/>
      <c r="U1" s="37"/>
      <c r="V1" s="37"/>
      <c r="W1" s="37"/>
      <c r="X1" s="37"/>
      <c r="Y1" s="37"/>
      <c r="Z1" s="37"/>
      <c r="AA1" s="37"/>
      <c r="AB1" s="37"/>
      <c r="AC1" s="37"/>
      <c r="AD1" s="37"/>
      <c r="AE1" s="37"/>
      <c r="AF1" s="37"/>
      <c r="AG1" s="37"/>
      <c r="AH1" s="37"/>
      <c r="AI1" s="37"/>
      <c r="AJ1" s="37"/>
      <c r="AK1" s="37"/>
      <c r="AL1" s="38"/>
    </row>
    <row r="2" spans="1:38" ht="12.75" customHeight="1">
      <c r="A2" s="557"/>
      <c r="B2" s="558"/>
      <c r="C2" s="558"/>
      <c r="D2" s="558"/>
      <c r="E2" s="558"/>
      <c r="F2" s="558"/>
      <c r="G2" s="558"/>
      <c r="H2" s="558"/>
      <c r="I2" s="558"/>
      <c r="J2" s="558"/>
      <c r="K2" s="558"/>
      <c r="L2" s="558"/>
      <c r="M2" s="558"/>
      <c r="N2" s="558"/>
      <c r="O2" s="558"/>
      <c r="P2" s="558"/>
      <c r="Q2" s="558"/>
      <c r="R2" s="558"/>
      <c r="S2" s="559"/>
      <c r="T2" s="80"/>
      <c r="U2" s="155" t="s">
        <v>1034</v>
      </c>
      <c r="AL2" s="141"/>
    </row>
    <row r="3" spans="1:38" ht="12.75" customHeight="1">
      <c r="A3" s="560"/>
      <c r="B3" s="536" t="s">
        <v>1035</v>
      </c>
      <c r="C3" s="536"/>
      <c r="D3" s="536"/>
      <c r="E3" s="536"/>
      <c r="F3" s="536"/>
      <c r="G3" s="536"/>
      <c r="H3" s="536"/>
      <c r="I3" s="536"/>
      <c r="J3" s="536"/>
      <c r="K3" s="536"/>
      <c r="L3" s="536"/>
      <c r="M3" s="536"/>
      <c r="N3" s="536"/>
      <c r="O3" s="536"/>
      <c r="P3" s="536"/>
      <c r="Q3" s="536"/>
      <c r="R3" s="536"/>
      <c r="S3" s="550"/>
      <c r="T3" s="80"/>
      <c r="U3" s="155" t="s">
        <v>1036</v>
      </c>
      <c r="AL3" s="141"/>
    </row>
    <row r="4" spans="1:38" ht="12.75" customHeight="1">
      <c r="A4" s="560"/>
      <c r="B4" s="536" t="s">
        <v>1037</v>
      </c>
      <c r="C4" s="536"/>
      <c r="D4" s="536"/>
      <c r="E4" s="536"/>
      <c r="F4" s="536"/>
      <c r="G4" s="536"/>
      <c r="H4" s="536"/>
      <c r="I4" s="536"/>
      <c r="J4" s="536"/>
      <c r="K4" s="536"/>
      <c r="L4" s="536"/>
      <c r="M4" s="536"/>
      <c r="N4" s="536"/>
      <c r="O4" s="536"/>
      <c r="P4" s="536"/>
      <c r="Q4" s="536"/>
      <c r="R4" s="536"/>
      <c r="S4" s="550"/>
      <c r="T4" s="80"/>
      <c r="AL4" s="141"/>
    </row>
    <row r="5" spans="1:38" ht="12.75" customHeight="1">
      <c r="A5" s="560"/>
      <c r="C5" s="536"/>
      <c r="D5" s="536"/>
      <c r="E5" s="536"/>
      <c r="F5" s="536"/>
      <c r="G5" s="536"/>
      <c r="H5" s="536"/>
      <c r="I5" s="536"/>
      <c r="J5" s="536"/>
      <c r="K5" s="536"/>
      <c r="L5" s="536"/>
      <c r="M5" s="536"/>
      <c r="N5" s="536"/>
      <c r="O5" s="536"/>
      <c r="P5" s="536"/>
      <c r="Q5" s="536"/>
      <c r="R5" s="536"/>
      <c r="S5" s="550"/>
      <c r="T5" s="80"/>
      <c r="U5" s="155" t="s">
        <v>1038</v>
      </c>
      <c r="AL5" s="141"/>
    </row>
    <row r="6" spans="1:38" ht="12.75" customHeight="1">
      <c r="A6" s="560"/>
      <c r="B6" s="536" t="s">
        <v>1039</v>
      </c>
      <c r="C6" s="536"/>
      <c r="D6" s="536"/>
      <c r="E6" s="536"/>
      <c r="F6" s="536"/>
      <c r="G6" s="536"/>
      <c r="H6" s="536"/>
      <c r="I6" s="536"/>
      <c r="J6" s="536"/>
      <c r="K6" s="536"/>
      <c r="L6" s="536"/>
      <c r="M6" s="536"/>
      <c r="N6" s="536"/>
      <c r="O6" s="536"/>
      <c r="P6" s="536"/>
      <c r="Q6" s="536"/>
      <c r="R6" s="536"/>
      <c r="S6" s="550"/>
      <c r="T6" s="80"/>
      <c r="AL6" s="141"/>
    </row>
    <row r="7" spans="1:38" ht="12.75" customHeight="1">
      <c r="A7" s="560"/>
      <c r="B7" s="536" t="s">
        <v>1040</v>
      </c>
      <c r="C7" s="536"/>
      <c r="D7" s="536"/>
      <c r="E7" s="536"/>
      <c r="F7" s="536"/>
      <c r="G7" s="536"/>
      <c r="H7" s="536"/>
      <c r="I7" s="536"/>
      <c r="J7" s="536"/>
      <c r="K7" s="536"/>
      <c r="L7" s="536"/>
      <c r="M7" s="536"/>
      <c r="N7" s="536"/>
      <c r="O7" s="536"/>
      <c r="P7" s="536"/>
      <c r="Q7" s="536"/>
      <c r="R7" s="536"/>
      <c r="S7" s="550"/>
      <c r="T7" s="80"/>
      <c r="AL7" s="141"/>
    </row>
    <row r="8" spans="1:38" ht="12.75" customHeight="1">
      <c r="A8" s="560"/>
      <c r="C8" s="536"/>
      <c r="D8" s="536"/>
      <c r="E8" s="536"/>
      <c r="F8" s="536"/>
      <c r="G8" s="536"/>
      <c r="H8" s="536"/>
      <c r="I8" s="536"/>
      <c r="J8" s="536"/>
      <c r="K8" s="536"/>
      <c r="L8" s="536"/>
      <c r="M8" s="536"/>
      <c r="N8" s="536"/>
      <c r="O8" s="536"/>
      <c r="P8" s="536"/>
      <c r="Q8" s="536"/>
      <c r="R8" s="536"/>
      <c r="S8" s="550"/>
      <c r="T8" s="80"/>
      <c r="AL8" s="141"/>
    </row>
    <row r="9" spans="1:38" ht="12.75" customHeight="1">
      <c r="A9" s="560"/>
      <c r="B9" s="536" t="s">
        <v>1041</v>
      </c>
      <c r="C9" s="536"/>
      <c r="D9" s="536" t="s">
        <v>1042</v>
      </c>
      <c r="E9" s="536"/>
      <c r="F9" s="536"/>
      <c r="G9" s="536"/>
      <c r="H9" s="536"/>
      <c r="I9" s="536"/>
      <c r="J9" s="536"/>
      <c r="K9" s="536"/>
      <c r="L9" s="536"/>
      <c r="M9" s="536"/>
      <c r="N9" s="536"/>
      <c r="O9" s="536"/>
      <c r="P9" s="536"/>
      <c r="Q9" s="536"/>
      <c r="R9" s="536"/>
      <c r="S9" s="550"/>
      <c r="T9" s="80"/>
      <c r="AL9" s="141"/>
    </row>
    <row r="10" spans="1:38" ht="12.75" customHeight="1">
      <c r="A10" s="560"/>
      <c r="B10" s="536" t="s">
        <v>1043</v>
      </c>
      <c r="C10" s="536"/>
      <c r="D10" s="155" t="s">
        <v>1044</v>
      </c>
      <c r="E10" s="536"/>
      <c r="F10" s="536"/>
      <c r="G10" s="536"/>
      <c r="H10" s="536"/>
      <c r="I10" s="536"/>
      <c r="J10" s="536"/>
      <c r="K10" s="536"/>
      <c r="L10" s="536"/>
      <c r="M10" s="536"/>
      <c r="N10" s="536"/>
      <c r="O10" s="536"/>
      <c r="P10" s="536"/>
      <c r="Q10" s="536"/>
      <c r="R10" s="536"/>
      <c r="S10" s="550"/>
      <c r="T10" s="80"/>
      <c r="AL10" s="141"/>
    </row>
    <row r="11" spans="1:38" ht="12.75" customHeight="1">
      <c r="A11" s="560"/>
      <c r="B11" s="536" t="s">
        <v>1045</v>
      </c>
      <c r="C11" s="536"/>
      <c r="D11" s="536" t="s">
        <v>1046</v>
      </c>
      <c r="E11" s="536"/>
      <c r="F11" s="536"/>
      <c r="G11" s="536"/>
      <c r="H11" s="536"/>
      <c r="I11" s="536"/>
      <c r="J11" s="536"/>
      <c r="K11" s="536"/>
      <c r="L11" s="536"/>
      <c r="M11" s="536"/>
      <c r="N11" s="536"/>
      <c r="O11" s="536"/>
      <c r="P11" s="536"/>
      <c r="Q11" s="536"/>
      <c r="R11" s="536"/>
      <c r="S11" s="550"/>
      <c r="T11" s="80"/>
      <c r="AL11" s="141"/>
    </row>
    <row r="12" spans="1:38" ht="12.75" customHeight="1">
      <c r="A12" s="560"/>
      <c r="B12" s="536" t="s">
        <v>1047</v>
      </c>
      <c r="C12" s="536"/>
      <c r="D12" s="536" t="s">
        <v>1048</v>
      </c>
      <c r="E12" s="536"/>
      <c r="F12" s="536"/>
      <c r="G12" s="536"/>
      <c r="H12" s="536"/>
      <c r="I12" s="536"/>
      <c r="J12" s="536"/>
      <c r="K12" s="536"/>
      <c r="L12" s="536"/>
      <c r="M12" s="536"/>
      <c r="N12" s="536"/>
      <c r="O12" s="536"/>
      <c r="P12" s="536"/>
      <c r="Q12" s="536"/>
      <c r="R12" s="536"/>
      <c r="S12" s="550"/>
      <c r="T12" s="80"/>
      <c r="AL12" s="141"/>
    </row>
    <row r="13" spans="1:38" ht="12.75" customHeight="1">
      <c r="A13" s="560"/>
      <c r="B13" s="155" t="s">
        <v>1049</v>
      </c>
      <c r="C13" s="536"/>
      <c r="D13" s="536" t="s">
        <v>1050</v>
      </c>
      <c r="E13" s="536"/>
      <c r="F13" s="536"/>
      <c r="G13" s="536"/>
      <c r="H13" s="536"/>
      <c r="I13" s="536"/>
      <c r="J13" s="536"/>
      <c r="K13" s="536"/>
      <c r="L13" s="536"/>
      <c r="M13" s="536"/>
      <c r="N13" s="536"/>
      <c r="O13" s="536"/>
      <c r="P13" s="536"/>
      <c r="Q13" s="536"/>
      <c r="R13" s="536"/>
      <c r="S13" s="550"/>
      <c r="T13" s="80"/>
      <c r="AL13" s="141"/>
    </row>
    <row r="14" spans="1:38" ht="12.75" customHeight="1">
      <c r="A14" s="560"/>
      <c r="B14" s="539" t="s">
        <v>1051</v>
      </c>
      <c r="C14" s="536"/>
      <c r="D14" s="536" t="s">
        <v>1052</v>
      </c>
      <c r="E14" s="536"/>
      <c r="F14" s="536"/>
      <c r="G14" s="536"/>
      <c r="H14" s="536"/>
      <c r="I14" s="536"/>
      <c r="J14" s="536"/>
      <c r="K14" s="536"/>
      <c r="L14" s="536"/>
      <c r="M14" s="536"/>
      <c r="N14" s="536"/>
      <c r="O14" s="536"/>
      <c r="P14" s="536"/>
      <c r="Q14" s="536"/>
      <c r="R14" s="536"/>
      <c r="S14" s="550"/>
      <c r="T14" s="80"/>
      <c r="AL14" s="141"/>
    </row>
    <row r="15" spans="1:38" ht="12.75" customHeight="1">
      <c r="A15" s="560"/>
      <c r="B15" s="539" t="s">
        <v>1053</v>
      </c>
      <c r="C15" s="536"/>
      <c r="D15" s="536" t="s">
        <v>1054</v>
      </c>
      <c r="E15" s="536"/>
      <c r="F15" s="536"/>
      <c r="G15" s="536"/>
      <c r="H15" s="536"/>
      <c r="I15" s="536"/>
      <c r="J15" s="536"/>
      <c r="K15" s="536"/>
      <c r="L15" s="536"/>
      <c r="M15" s="536"/>
      <c r="N15" s="536"/>
      <c r="O15" s="536"/>
      <c r="P15" s="536"/>
      <c r="Q15" s="536"/>
      <c r="R15" s="536"/>
      <c r="S15" s="550"/>
      <c r="T15" s="80"/>
      <c r="AL15" s="141"/>
    </row>
    <row r="16" spans="1:38" ht="12.75" customHeight="1">
      <c r="A16" s="560"/>
      <c r="B16" s="540" t="s">
        <v>1055</v>
      </c>
      <c r="C16" s="536"/>
      <c r="D16" s="536" t="s">
        <v>1056</v>
      </c>
      <c r="E16" s="536"/>
      <c r="F16" s="536"/>
      <c r="G16" s="536"/>
      <c r="H16" s="536"/>
      <c r="I16" s="536"/>
      <c r="J16" s="536"/>
      <c r="K16" s="536"/>
      <c r="L16" s="536"/>
      <c r="M16" s="536"/>
      <c r="N16" s="536"/>
      <c r="O16" s="536"/>
      <c r="P16" s="536"/>
      <c r="Q16" s="536"/>
      <c r="R16" s="536"/>
      <c r="S16" s="550"/>
      <c r="T16" s="80"/>
      <c r="AL16" s="141"/>
    </row>
    <row r="17" spans="1:38" ht="12.75" customHeight="1">
      <c r="A17" s="560"/>
      <c r="B17" s="155" t="s">
        <v>1057</v>
      </c>
      <c r="C17" s="536"/>
      <c r="D17" s="536" t="s">
        <v>1058</v>
      </c>
      <c r="E17" s="536"/>
      <c r="F17" s="536"/>
      <c r="G17" s="536"/>
      <c r="H17" s="536"/>
      <c r="I17" s="536"/>
      <c r="J17" s="536"/>
      <c r="K17" s="536"/>
      <c r="L17" s="536"/>
      <c r="M17" s="536"/>
      <c r="N17" s="536"/>
      <c r="O17" s="536"/>
      <c r="P17" s="536"/>
      <c r="Q17" s="536"/>
      <c r="R17" s="536"/>
      <c r="S17" s="550"/>
      <c r="T17" s="80"/>
      <c r="AL17" s="141"/>
    </row>
    <row r="18" spans="1:38" ht="12.75" customHeight="1">
      <c r="A18" s="560"/>
      <c r="B18" s="536"/>
      <c r="C18" s="536"/>
      <c r="D18" s="536"/>
      <c r="E18" s="536"/>
      <c r="F18" s="536"/>
      <c r="G18" s="536"/>
      <c r="H18" s="536"/>
      <c r="I18" s="536"/>
      <c r="J18" s="536"/>
      <c r="K18" s="536"/>
      <c r="L18" s="536"/>
      <c r="M18" s="536"/>
      <c r="N18" s="536"/>
      <c r="O18" s="536"/>
      <c r="P18" s="536"/>
      <c r="Q18" s="536"/>
      <c r="R18" s="536"/>
      <c r="S18" s="550"/>
      <c r="T18" s="80"/>
      <c r="AL18" s="141"/>
    </row>
    <row r="19" spans="1:38" ht="12.75" customHeight="1">
      <c r="A19" s="560"/>
      <c r="B19" s="536" t="s">
        <v>1059</v>
      </c>
      <c r="C19" s="536"/>
      <c r="D19" s="536"/>
      <c r="E19" s="536"/>
      <c r="F19" s="536"/>
      <c r="G19" s="536"/>
      <c r="H19" s="536"/>
      <c r="I19" s="536"/>
      <c r="J19" s="536"/>
      <c r="K19" s="536"/>
      <c r="L19" s="536"/>
      <c r="M19" s="536"/>
      <c r="N19" s="536"/>
      <c r="O19" s="536"/>
      <c r="P19" s="536"/>
      <c r="Q19" s="536"/>
      <c r="R19" s="536"/>
      <c r="S19" s="550"/>
      <c r="T19" s="80"/>
      <c r="AL19" s="141"/>
    </row>
    <row r="20" spans="1:38" ht="12.75" customHeight="1">
      <c r="A20" s="560"/>
      <c r="B20" s="155" t="s">
        <v>1060</v>
      </c>
      <c r="C20" s="536"/>
      <c r="D20" s="536"/>
      <c r="E20" s="536"/>
      <c r="F20" s="536"/>
      <c r="G20" s="536"/>
      <c r="H20" s="536"/>
      <c r="I20" s="536"/>
      <c r="J20" s="536"/>
      <c r="K20" s="536"/>
      <c r="L20" s="536"/>
      <c r="M20" s="536"/>
      <c r="N20" s="536"/>
      <c r="O20" s="536"/>
      <c r="P20" s="536"/>
      <c r="Q20" s="536"/>
      <c r="R20" s="536"/>
      <c r="S20" s="550"/>
      <c r="T20" s="80"/>
      <c r="AL20" s="141"/>
    </row>
    <row r="21" spans="1:38" ht="12.75" customHeight="1">
      <c r="A21" s="560"/>
      <c r="B21" s="536"/>
      <c r="C21" s="536"/>
      <c r="D21" s="536"/>
      <c r="E21" s="536"/>
      <c r="F21" s="536"/>
      <c r="G21" s="536"/>
      <c r="H21" s="536"/>
      <c r="I21" s="536"/>
      <c r="J21" s="536"/>
      <c r="K21" s="536"/>
      <c r="L21" s="536"/>
      <c r="M21" s="536"/>
      <c r="N21" s="536"/>
      <c r="O21" s="536"/>
      <c r="P21" s="536"/>
      <c r="Q21" s="536"/>
      <c r="R21" s="536"/>
      <c r="S21" s="550"/>
      <c r="T21" s="80"/>
      <c r="AL21" s="141"/>
    </row>
    <row r="22" spans="1:38" ht="12.75" customHeight="1">
      <c r="A22" s="560"/>
      <c r="B22" s="561" t="s">
        <v>1061</v>
      </c>
      <c r="C22" s="536"/>
      <c r="D22" s="536"/>
      <c r="E22" s="536"/>
      <c r="F22" s="536"/>
      <c r="G22" s="536"/>
      <c r="H22" s="536"/>
      <c r="I22" s="536"/>
      <c r="J22" s="536"/>
      <c r="K22" s="536"/>
      <c r="L22" s="536"/>
      <c r="M22" s="536"/>
      <c r="N22" s="536"/>
      <c r="O22" s="536"/>
      <c r="P22" s="536"/>
      <c r="Q22" s="536"/>
      <c r="R22" s="536"/>
      <c r="S22" s="550"/>
      <c r="T22" s="80"/>
      <c r="AL22" s="141"/>
    </row>
    <row r="23" spans="1:38" ht="12.75" customHeight="1">
      <c r="A23" s="560"/>
      <c r="B23" s="561" t="s">
        <v>1062</v>
      </c>
      <c r="C23" s="536"/>
      <c r="D23" s="536"/>
      <c r="E23" s="536"/>
      <c r="F23" s="536"/>
      <c r="G23" s="536"/>
      <c r="H23" s="536"/>
      <c r="I23" s="536"/>
      <c r="J23" s="536"/>
      <c r="K23" s="536"/>
      <c r="L23" s="536"/>
      <c r="M23" s="536"/>
      <c r="N23" s="536"/>
      <c r="O23" s="536"/>
      <c r="P23" s="536"/>
      <c r="Q23" s="536"/>
      <c r="R23" s="536"/>
      <c r="S23" s="550"/>
      <c r="T23" s="80"/>
      <c r="AL23" s="141"/>
    </row>
    <row r="24" spans="1:38" ht="12.75" customHeight="1">
      <c r="A24" s="560"/>
      <c r="B24" s="561" t="s">
        <v>1063</v>
      </c>
      <c r="C24" s="536"/>
      <c r="D24" s="536"/>
      <c r="E24" s="536"/>
      <c r="F24" s="536"/>
      <c r="G24" s="536"/>
      <c r="H24" s="536"/>
      <c r="I24" s="536"/>
      <c r="J24" s="536"/>
      <c r="K24" s="536"/>
      <c r="L24" s="536"/>
      <c r="M24" s="536"/>
      <c r="N24" s="536"/>
      <c r="O24" s="536"/>
      <c r="P24" s="536"/>
      <c r="Q24" s="536"/>
      <c r="R24" s="536"/>
      <c r="S24" s="550"/>
      <c r="T24" s="80"/>
      <c r="AL24" s="141"/>
    </row>
    <row r="25" spans="1:38" ht="12.75" customHeight="1">
      <c r="A25" s="560"/>
      <c r="B25" s="543" t="s">
        <v>1064</v>
      </c>
      <c r="C25" s="536"/>
      <c r="D25" s="536"/>
      <c r="E25" s="536"/>
      <c r="F25" s="536"/>
      <c r="G25" s="536"/>
      <c r="H25" s="536"/>
      <c r="I25" s="536"/>
      <c r="J25" s="536"/>
      <c r="K25" s="536"/>
      <c r="L25" s="536"/>
      <c r="M25" s="536"/>
      <c r="N25" s="536"/>
      <c r="O25" s="536"/>
      <c r="P25" s="536"/>
      <c r="Q25" s="536"/>
      <c r="R25" s="536"/>
      <c r="S25" s="550"/>
      <c r="T25" s="80"/>
      <c r="AL25" s="141"/>
    </row>
    <row r="26" spans="1:38" ht="12.75" customHeight="1">
      <c r="A26" s="560"/>
      <c r="B26" s="562" t="s">
        <v>1065</v>
      </c>
      <c r="C26" s="536"/>
      <c r="D26" s="536"/>
      <c r="E26" s="536"/>
      <c r="F26" s="536"/>
      <c r="G26" s="536"/>
      <c r="H26" s="536"/>
      <c r="I26" s="536"/>
      <c r="J26" s="536"/>
      <c r="K26" s="536"/>
      <c r="L26" s="536"/>
      <c r="M26" s="536"/>
      <c r="N26" s="536"/>
      <c r="O26" s="536"/>
      <c r="P26" s="536"/>
      <c r="Q26" s="536"/>
      <c r="R26" s="536"/>
      <c r="S26" s="550"/>
      <c r="T26" s="80"/>
      <c r="AL26" s="141"/>
    </row>
    <row r="27" spans="1:38" ht="12.75" customHeight="1">
      <c r="A27" s="560"/>
      <c r="B27" s="536"/>
      <c r="C27" s="536"/>
      <c r="D27" s="536"/>
      <c r="E27" s="536"/>
      <c r="F27" s="536"/>
      <c r="G27" s="536"/>
      <c r="H27" s="536"/>
      <c r="I27" s="536"/>
      <c r="J27" s="536"/>
      <c r="K27" s="536"/>
      <c r="L27" s="536"/>
      <c r="M27" s="536"/>
      <c r="N27" s="536"/>
      <c r="O27" s="536"/>
      <c r="P27" s="536"/>
      <c r="Q27" s="536"/>
      <c r="R27" s="536"/>
      <c r="S27" s="550"/>
      <c r="T27" s="80"/>
      <c r="AL27" s="141"/>
    </row>
    <row r="28" spans="1:38" ht="12.75" customHeight="1">
      <c r="A28" s="560"/>
      <c r="B28" s="155"/>
      <c r="C28" s="536"/>
      <c r="D28" s="536"/>
      <c r="E28" s="536"/>
      <c r="F28" s="536"/>
      <c r="G28" s="536"/>
      <c r="H28" s="536"/>
      <c r="I28" s="536"/>
      <c r="J28" s="536"/>
      <c r="K28" s="536"/>
      <c r="L28" s="536"/>
      <c r="M28" s="536"/>
      <c r="N28" s="536"/>
      <c r="O28" s="536"/>
      <c r="P28" s="536"/>
      <c r="Q28" s="536"/>
      <c r="R28" s="536"/>
      <c r="S28" s="550"/>
      <c r="T28" s="80"/>
      <c r="AL28" s="141"/>
    </row>
    <row r="29" spans="1:38" ht="12.75" customHeight="1">
      <c r="A29" s="560"/>
      <c r="B29" s="155"/>
      <c r="C29" s="536"/>
      <c r="D29" s="536"/>
      <c r="E29" s="536"/>
      <c r="F29" s="536"/>
      <c r="G29" s="536"/>
      <c r="H29" s="536"/>
      <c r="I29" s="536"/>
      <c r="J29" s="536"/>
      <c r="K29" s="536"/>
      <c r="L29" s="536"/>
      <c r="M29" s="536"/>
      <c r="N29" s="536"/>
      <c r="O29" s="536"/>
      <c r="P29" s="536"/>
      <c r="Q29" s="536"/>
      <c r="R29" s="536"/>
      <c r="S29" s="550"/>
      <c r="T29" s="80"/>
      <c r="AL29" s="141"/>
    </row>
    <row r="30" spans="1:38" ht="12.75" customHeight="1">
      <c r="A30" s="560"/>
      <c r="B30" s="155"/>
      <c r="C30" s="536"/>
      <c r="D30" s="536"/>
      <c r="E30" s="536"/>
      <c r="F30" s="536"/>
      <c r="G30" s="536"/>
      <c r="H30" s="536"/>
      <c r="I30" s="536"/>
      <c r="J30" s="536"/>
      <c r="K30" s="536"/>
      <c r="L30" s="536"/>
      <c r="M30" s="536"/>
      <c r="N30" s="536"/>
      <c r="O30" s="536"/>
      <c r="P30" s="536"/>
      <c r="Q30" s="536"/>
      <c r="R30" s="536"/>
      <c r="S30" s="550"/>
      <c r="T30" s="80"/>
      <c r="AB30" s="530" t="s">
        <v>884</v>
      </c>
      <c r="AL30" s="141"/>
    </row>
    <row r="31" spans="1:38" ht="12.75" customHeight="1">
      <c r="A31" s="560"/>
      <c r="B31" s="536"/>
      <c r="C31" s="536"/>
      <c r="D31" s="536"/>
      <c r="E31" s="536"/>
      <c r="F31" s="536"/>
      <c r="G31" s="536"/>
      <c r="H31" s="536"/>
      <c r="I31" s="536"/>
      <c r="J31" s="536"/>
      <c r="K31" s="536"/>
      <c r="L31" s="536"/>
      <c r="M31" s="536"/>
      <c r="N31" s="536"/>
      <c r="O31" s="536"/>
      <c r="P31" s="536"/>
      <c r="Q31" s="536"/>
      <c r="R31" s="536"/>
      <c r="S31" s="550"/>
      <c r="T31" s="80"/>
      <c r="AL31" s="141"/>
    </row>
    <row r="32" spans="1:38" ht="12.75" customHeight="1">
      <c r="A32" s="560"/>
      <c r="B32" s="536"/>
      <c r="C32" s="536"/>
      <c r="D32" s="536"/>
      <c r="E32" s="536"/>
      <c r="F32" s="536"/>
      <c r="G32" s="536"/>
      <c r="H32" s="536"/>
      <c r="I32" s="536"/>
      <c r="J32" s="536"/>
      <c r="K32" s="536"/>
      <c r="L32" s="536"/>
      <c r="M32" s="536"/>
      <c r="N32" s="536"/>
      <c r="O32" s="536"/>
      <c r="P32" s="536"/>
      <c r="Q32" s="536"/>
      <c r="R32" s="536"/>
      <c r="S32" s="550"/>
      <c r="T32" s="80"/>
      <c r="AL32" s="141"/>
    </row>
    <row r="33" spans="1:38" ht="12.75" customHeight="1">
      <c r="A33" s="560"/>
      <c r="B33" s="536"/>
      <c r="C33" s="536"/>
      <c r="D33" s="536"/>
      <c r="E33" s="536"/>
      <c r="F33" s="536"/>
      <c r="G33" s="536"/>
      <c r="H33" s="536"/>
      <c r="I33" s="536"/>
      <c r="J33" s="536"/>
      <c r="K33" s="536"/>
      <c r="L33" s="536"/>
      <c r="M33" s="536"/>
      <c r="N33" s="536"/>
      <c r="O33" s="536"/>
      <c r="P33" s="536"/>
      <c r="Q33" s="536"/>
      <c r="R33" s="536"/>
      <c r="S33" s="550"/>
      <c r="T33" s="80"/>
      <c r="AL33" s="141"/>
    </row>
    <row r="34" spans="1:38" ht="12.75" customHeight="1">
      <c r="A34" s="560"/>
      <c r="B34" s="536"/>
      <c r="C34" s="536"/>
      <c r="D34" s="536"/>
      <c r="E34" s="536"/>
      <c r="F34" s="536"/>
      <c r="G34" s="536"/>
      <c r="H34" s="536"/>
      <c r="I34" s="536"/>
      <c r="J34" s="536"/>
      <c r="K34" s="536"/>
      <c r="L34" s="536"/>
      <c r="M34" s="536"/>
      <c r="N34" s="536"/>
      <c r="O34" s="536"/>
      <c r="P34" s="536"/>
      <c r="Q34" s="536"/>
      <c r="R34" s="536"/>
      <c r="S34" s="550"/>
      <c r="T34" s="80"/>
      <c r="AL34" s="141"/>
    </row>
    <row r="35" spans="1:38" ht="12.75" customHeight="1">
      <c r="A35" s="560"/>
      <c r="B35" s="536"/>
      <c r="C35" s="536"/>
      <c r="D35" s="536"/>
      <c r="E35" s="536"/>
      <c r="F35" s="536"/>
      <c r="G35" s="536"/>
      <c r="H35" s="536"/>
      <c r="I35" s="536"/>
      <c r="J35" s="536"/>
      <c r="K35" s="536"/>
      <c r="L35" s="536"/>
      <c r="M35" s="536"/>
      <c r="N35" s="536"/>
      <c r="O35" s="536"/>
      <c r="P35" s="536"/>
      <c r="Q35" s="536"/>
      <c r="R35" s="536"/>
      <c r="S35" s="550"/>
      <c r="T35" s="80"/>
      <c r="AL35" s="141"/>
    </row>
    <row r="36" spans="1:38" ht="12.75" customHeight="1">
      <c r="A36" s="560"/>
      <c r="B36" s="536"/>
      <c r="C36" s="536"/>
      <c r="D36" s="536"/>
      <c r="E36" s="536"/>
      <c r="F36" s="536"/>
      <c r="G36" s="536"/>
      <c r="H36" s="536"/>
      <c r="I36" s="536"/>
      <c r="J36" s="536"/>
      <c r="K36" s="536"/>
      <c r="L36" s="536"/>
      <c r="M36" s="536"/>
      <c r="N36" s="536"/>
      <c r="O36" s="536"/>
      <c r="P36" s="536"/>
      <c r="Q36" s="536"/>
      <c r="R36" s="536"/>
      <c r="S36" s="550"/>
      <c r="T36" s="80"/>
      <c r="AL36" s="141"/>
    </row>
    <row r="37" spans="1:38" ht="12.75" customHeight="1">
      <c r="A37" s="560"/>
      <c r="B37" s="536"/>
      <c r="C37" s="536"/>
      <c r="D37" s="536"/>
      <c r="E37" s="536"/>
      <c r="F37" s="536"/>
      <c r="G37" s="536"/>
      <c r="H37" s="536"/>
      <c r="I37" s="536"/>
      <c r="J37" s="536"/>
      <c r="K37" s="536"/>
      <c r="L37" s="536"/>
      <c r="M37" s="536"/>
      <c r="N37" s="536"/>
      <c r="O37" s="536"/>
      <c r="P37" s="536"/>
      <c r="Q37" s="536"/>
      <c r="R37" s="536"/>
      <c r="S37" s="550"/>
      <c r="T37" s="80"/>
      <c r="AL37" s="141"/>
    </row>
    <row r="38" spans="1:38" ht="12.75" customHeight="1">
      <c r="A38" s="560"/>
      <c r="B38" s="536"/>
      <c r="C38" s="536"/>
      <c r="D38" s="536"/>
      <c r="E38" s="536"/>
      <c r="F38" s="536"/>
      <c r="G38" s="536"/>
      <c r="H38" s="536"/>
      <c r="I38" s="536"/>
      <c r="J38" s="536"/>
      <c r="K38" s="536"/>
      <c r="L38" s="536"/>
      <c r="M38" s="536"/>
      <c r="N38" s="536"/>
      <c r="O38" s="536"/>
      <c r="P38" s="536"/>
      <c r="Q38" s="536"/>
      <c r="R38" s="536"/>
      <c r="S38" s="550"/>
      <c r="T38" s="80"/>
      <c r="AL38" s="141"/>
    </row>
    <row r="39" spans="1:38" ht="12.75" customHeight="1">
      <c r="A39" s="560"/>
      <c r="B39" s="536"/>
      <c r="C39" s="536"/>
      <c r="D39" s="536"/>
      <c r="E39" s="536"/>
      <c r="F39" s="536"/>
      <c r="G39" s="536"/>
      <c r="H39" s="536"/>
      <c r="I39" s="536"/>
      <c r="J39" s="536"/>
      <c r="K39" s="536"/>
      <c r="L39" s="536"/>
      <c r="M39" s="536"/>
      <c r="N39" s="536"/>
      <c r="O39" s="536"/>
      <c r="P39" s="536"/>
      <c r="Q39" s="536"/>
      <c r="R39" s="536"/>
      <c r="S39" s="550"/>
      <c r="T39" s="80"/>
      <c r="AL39" s="141"/>
    </row>
    <row r="40" spans="1:38" ht="12.75" customHeight="1">
      <c r="A40" s="560"/>
      <c r="B40" s="536"/>
      <c r="C40" s="536"/>
      <c r="D40" s="536"/>
      <c r="E40" s="536"/>
      <c r="F40" s="536"/>
      <c r="G40" s="536"/>
      <c r="H40" s="536"/>
      <c r="I40" s="536"/>
      <c r="J40" s="536"/>
      <c r="K40" s="536"/>
      <c r="L40" s="536"/>
      <c r="M40" s="536"/>
      <c r="N40" s="536"/>
      <c r="O40" s="536"/>
      <c r="P40" s="536"/>
      <c r="Q40" s="536"/>
      <c r="R40" s="536"/>
      <c r="S40" s="550"/>
      <c r="T40" s="80"/>
      <c r="AL40" s="141"/>
    </row>
    <row r="41" spans="1:38" ht="12.75" customHeight="1">
      <c r="A41" s="560"/>
      <c r="B41" s="536"/>
      <c r="C41" s="536"/>
      <c r="D41" s="536"/>
      <c r="E41" s="536"/>
      <c r="F41" s="536"/>
      <c r="G41" s="536"/>
      <c r="H41" s="536"/>
      <c r="I41" s="536"/>
      <c r="J41" s="536"/>
      <c r="K41" s="536"/>
      <c r="L41" s="536"/>
      <c r="M41" s="536"/>
      <c r="N41" s="536"/>
      <c r="O41" s="536"/>
      <c r="P41" s="536"/>
      <c r="Q41" s="536"/>
      <c r="R41" s="536"/>
      <c r="S41" s="550"/>
      <c r="T41" s="80"/>
      <c r="AL41" s="141"/>
    </row>
    <row r="42" spans="1:38" ht="12.75" customHeight="1">
      <c r="A42" s="560"/>
      <c r="B42" s="536"/>
      <c r="C42" s="536"/>
      <c r="D42" s="536"/>
      <c r="E42" s="536"/>
      <c r="F42" s="536"/>
      <c r="G42" s="536"/>
      <c r="H42" s="536"/>
      <c r="I42" s="536"/>
      <c r="J42" s="536"/>
      <c r="K42" s="536"/>
      <c r="L42" s="536"/>
      <c r="M42" s="536"/>
      <c r="N42" s="536"/>
      <c r="O42" s="536"/>
      <c r="P42" s="536"/>
      <c r="Q42" s="536"/>
      <c r="R42" s="536"/>
      <c r="S42" s="550"/>
      <c r="T42" s="80"/>
      <c r="AL42" s="141"/>
    </row>
    <row r="43" spans="1:38" ht="12.75" customHeight="1">
      <c r="A43" s="560"/>
      <c r="B43" s="536"/>
      <c r="C43" s="536"/>
      <c r="D43" s="536"/>
      <c r="E43" s="536"/>
      <c r="F43" s="536"/>
      <c r="G43" s="536"/>
      <c r="H43" s="536"/>
      <c r="I43" s="536"/>
      <c r="J43" s="536"/>
      <c r="K43" s="536"/>
      <c r="L43" s="536"/>
      <c r="M43" s="536"/>
      <c r="N43" s="536"/>
      <c r="O43" s="536"/>
      <c r="P43" s="536"/>
      <c r="Q43" s="536"/>
      <c r="R43" s="536"/>
      <c r="S43" s="550"/>
      <c r="T43" s="80"/>
      <c r="AL43" s="141"/>
    </row>
    <row r="44" spans="1:38" ht="12.75" customHeight="1">
      <c r="A44" s="560"/>
      <c r="B44" s="536"/>
      <c r="C44" s="536"/>
      <c r="D44" s="536"/>
      <c r="E44" s="536"/>
      <c r="F44" s="536"/>
      <c r="G44" s="536"/>
      <c r="H44" s="536"/>
      <c r="I44" s="536"/>
      <c r="J44" s="536"/>
      <c r="K44" s="536"/>
      <c r="L44" s="536"/>
      <c r="M44" s="536"/>
      <c r="N44" s="536"/>
      <c r="O44" s="536"/>
      <c r="P44" s="536"/>
      <c r="Q44" s="536"/>
      <c r="R44" s="536"/>
      <c r="S44" s="550"/>
      <c r="T44" s="80"/>
      <c r="AL44" s="141"/>
    </row>
    <row r="45" spans="1:38" ht="12.75" customHeight="1">
      <c r="A45" s="560"/>
      <c r="B45" s="536"/>
      <c r="C45" s="536"/>
      <c r="D45" s="536"/>
      <c r="E45" s="536"/>
      <c r="F45" s="536"/>
      <c r="G45" s="536"/>
      <c r="H45" s="536"/>
      <c r="I45" s="536"/>
      <c r="J45" s="536"/>
      <c r="K45" s="536"/>
      <c r="L45" s="536"/>
      <c r="M45" s="536"/>
      <c r="N45" s="536"/>
      <c r="O45" s="536"/>
      <c r="P45" s="536"/>
      <c r="Q45" s="536"/>
      <c r="R45" s="536"/>
      <c r="S45" s="550"/>
      <c r="T45" s="80"/>
      <c r="AL45" s="141"/>
    </row>
    <row r="46" spans="1:38" ht="12.75" customHeight="1">
      <c r="A46" s="560"/>
      <c r="B46" s="536"/>
      <c r="C46" s="536"/>
      <c r="D46" s="536"/>
      <c r="E46" s="536"/>
      <c r="F46" s="536"/>
      <c r="G46" s="536"/>
      <c r="H46" s="536"/>
      <c r="I46" s="536"/>
      <c r="J46" s="536"/>
      <c r="K46" s="536"/>
      <c r="L46" s="536"/>
      <c r="M46" s="536"/>
      <c r="N46" s="536"/>
      <c r="O46" s="536"/>
      <c r="P46" s="536"/>
      <c r="Q46" s="536"/>
      <c r="R46" s="536"/>
      <c r="S46" s="550"/>
      <c r="T46" s="80"/>
      <c r="AL46" s="141"/>
    </row>
    <row r="47" spans="1:38" ht="12.75" customHeight="1">
      <c r="A47" s="560"/>
      <c r="B47" s="536"/>
      <c r="C47" s="536"/>
      <c r="D47" s="536"/>
      <c r="E47" s="536"/>
      <c r="F47" s="536"/>
      <c r="G47" s="536"/>
      <c r="H47" s="536"/>
      <c r="I47" s="536"/>
      <c r="J47" s="536"/>
      <c r="K47" s="536"/>
      <c r="L47" s="536"/>
      <c r="M47" s="536"/>
      <c r="N47" s="536"/>
      <c r="O47" s="536"/>
      <c r="P47" s="536"/>
      <c r="Q47" s="536"/>
      <c r="R47" s="536"/>
      <c r="S47" s="550"/>
      <c r="T47" s="80"/>
      <c r="AL47" s="141"/>
    </row>
    <row r="48" spans="1:38" ht="12.75" customHeight="1">
      <c r="A48" s="560"/>
      <c r="B48" s="536"/>
      <c r="C48" s="536"/>
      <c r="D48" s="536"/>
      <c r="E48" s="536"/>
      <c r="F48" s="536"/>
      <c r="G48" s="536"/>
      <c r="H48" s="536"/>
      <c r="I48" s="536"/>
      <c r="J48" s="536"/>
      <c r="K48" s="536"/>
      <c r="L48" s="536"/>
      <c r="M48" s="536"/>
      <c r="N48" s="536"/>
      <c r="O48" s="536"/>
      <c r="P48" s="536"/>
      <c r="Q48" s="536"/>
      <c r="R48" s="536"/>
      <c r="S48" s="550"/>
      <c r="T48" s="80"/>
      <c r="AL48" s="141"/>
    </row>
    <row r="49" spans="1:38" ht="12.75" customHeight="1">
      <c r="A49" s="560"/>
      <c r="B49" s="536"/>
      <c r="C49" s="536"/>
      <c r="D49" s="536"/>
      <c r="E49" s="536"/>
      <c r="F49" s="536"/>
      <c r="G49" s="536"/>
      <c r="H49" s="536"/>
      <c r="I49" s="536"/>
      <c r="J49" s="536"/>
      <c r="K49" s="536"/>
      <c r="L49" s="536"/>
      <c r="M49" s="536"/>
      <c r="N49" s="536"/>
      <c r="O49" s="536"/>
      <c r="P49" s="536"/>
      <c r="Q49" s="536"/>
      <c r="R49" s="536"/>
      <c r="S49" s="550"/>
      <c r="T49" s="80"/>
      <c r="AL49" s="141"/>
    </row>
    <row r="50" spans="1:38" ht="12.75" customHeight="1">
      <c r="A50" s="560"/>
      <c r="B50" s="536"/>
      <c r="C50" s="536"/>
      <c r="D50" s="536"/>
      <c r="E50" s="536"/>
      <c r="F50" s="536"/>
      <c r="G50" s="536"/>
      <c r="H50" s="536"/>
      <c r="I50" s="536"/>
      <c r="J50" s="536"/>
      <c r="K50" s="536"/>
      <c r="L50" s="536"/>
      <c r="M50" s="536"/>
      <c r="N50" s="536"/>
      <c r="O50" s="536"/>
      <c r="P50" s="536"/>
      <c r="Q50" s="536"/>
      <c r="R50" s="536"/>
      <c r="S50" s="550"/>
      <c r="T50" s="80"/>
      <c r="AL50" s="141"/>
    </row>
    <row r="51" spans="1:38" ht="12.75" customHeight="1">
      <c r="A51" s="560"/>
      <c r="B51" s="536"/>
      <c r="C51" s="536"/>
      <c r="D51" s="536"/>
      <c r="E51" s="536"/>
      <c r="F51" s="536"/>
      <c r="G51" s="536"/>
      <c r="H51" s="536"/>
      <c r="I51" s="536"/>
      <c r="J51" s="536"/>
      <c r="K51" s="536"/>
      <c r="L51" s="536"/>
      <c r="M51" s="536"/>
      <c r="N51" s="536"/>
      <c r="O51" s="536"/>
      <c r="P51" s="536"/>
      <c r="Q51" s="536"/>
      <c r="R51" s="536"/>
      <c r="S51" s="550"/>
      <c r="T51" s="80"/>
      <c r="AL51" s="141"/>
    </row>
    <row r="52" spans="1:38" ht="12.75" customHeight="1">
      <c r="A52" s="560"/>
      <c r="B52" s="536"/>
      <c r="C52" s="536"/>
      <c r="D52" s="536"/>
      <c r="E52" s="536"/>
      <c r="F52" s="536"/>
      <c r="G52" s="536"/>
      <c r="H52" s="536"/>
      <c r="I52" s="536"/>
      <c r="J52" s="536"/>
      <c r="K52" s="536"/>
      <c r="L52" s="536"/>
      <c r="M52" s="536"/>
      <c r="N52" s="536"/>
      <c r="O52" s="536"/>
      <c r="P52" s="536"/>
      <c r="Q52" s="536"/>
      <c r="R52" s="536"/>
      <c r="S52" s="550"/>
      <c r="T52" s="80"/>
      <c r="AL52" s="141"/>
    </row>
    <row r="53" spans="1:38" ht="12.75" customHeight="1">
      <c r="A53" s="560"/>
      <c r="B53" s="536"/>
      <c r="C53" s="536"/>
      <c r="D53" s="536"/>
      <c r="E53" s="536"/>
      <c r="F53" s="536"/>
      <c r="G53" s="536"/>
      <c r="H53" s="536"/>
      <c r="I53" s="536"/>
      <c r="J53" s="536"/>
      <c r="K53" s="536"/>
      <c r="L53" s="536"/>
      <c r="M53" s="536"/>
      <c r="N53" s="536"/>
      <c r="O53" s="536"/>
      <c r="P53" s="536"/>
      <c r="Q53" s="536"/>
      <c r="R53" s="536"/>
      <c r="S53" s="550"/>
      <c r="T53" s="80"/>
      <c r="AL53" s="141"/>
    </row>
    <row r="54" spans="1:38" ht="12.75" customHeight="1">
      <c r="A54" s="560"/>
      <c r="B54" s="536"/>
      <c r="C54" s="536"/>
      <c r="D54" s="536"/>
      <c r="E54" s="536"/>
      <c r="F54" s="536"/>
      <c r="G54" s="536"/>
      <c r="H54" s="536"/>
      <c r="I54" s="536"/>
      <c r="J54" s="536"/>
      <c r="K54" s="536"/>
      <c r="L54" s="536"/>
      <c r="M54" s="536"/>
      <c r="N54" s="536"/>
      <c r="O54" s="536"/>
      <c r="P54" s="536"/>
      <c r="Q54" s="536"/>
      <c r="R54" s="536"/>
      <c r="S54" s="550"/>
      <c r="T54" s="80"/>
      <c r="AL54" s="141"/>
    </row>
    <row r="55" spans="1:38" ht="12.75" customHeight="1">
      <c r="A55" s="560"/>
      <c r="B55" s="536"/>
      <c r="C55" s="536"/>
      <c r="D55" s="536"/>
      <c r="E55" s="536"/>
      <c r="F55" s="536"/>
      <c r="G55" s="536"/>
      <c r="H55" s="536"/>
      <c r="I55" s="536"/>
      <c r="J55" s="536"/>
      <c r="K55" s="536"/>
      <c r="L55" s="536"/>
      <c r="M55" s="536"/>
      <c r="N55" s="536"/>
      <c r="O55" s="536"/>
      <c r="P55" s="536"/>
      <c r="Q55" s="536"/>
      <c r="R55" s="536"/>
      <c r="S55" s="550"/>
      <c r="T55" s="80"/>
      <c r="AL55" s="141"/>
    </row>
    <row r="56" spans="1:38" ht="12.75" customHeight="1">
      <c r="A56" s="560"/>
      <c r="B56" s="536"/>
      <c r="C56" s="536"/>
      <c r="D56" s="536"/>
      <c r="E56" s="536"/>
      <c r="F56" s="536"/>
      <c r="G56" s="536"/>
      <c r="H56" s="536"/>
      <c r="I56" s="536"/>
      <c r="J56" s="536"/>
      <c r="K56" s="536"/>
      <c r="L56" s="536"/>
      <c r="M56" s="536"/>
      <c r="N56" s="536"/>
      <c r="O56" s="536"/>
      <c r="P56" s="536"/>
      <c r="Q56" s="536"/>
      <c r="R56" s="536"/>
      <c r="S56" s="550"/>
      <c r="T56" s="80"/>
      <c r="AL56" s="141"/>
    </row>
    <row r="57" spans="1:38" ht="12.75" customHeight="1">
      <c r="A57" s="563"/>
      <c r="B57" s="564"/>
      <c r="C57" s="564"/>
      <c r="D57" s="564"/>
      <c r="E57" s="564"/>
      <c r="F57" s="564"/>
      <c r="G57" s="564"/>
      <c r="H57" s="564"/>
      <c r="I57" s="564"/>
      <c r="J57" s="564"/>
      <c r="K57" s="564"/>
      <c r="L57" s="564"/>
      <c r="M57" s="564"/>
      <c r="N57" s="564"/>
      <c r="O57" s="564"/>
      <c r="P57" s="564"/>
      <c r="Q57" s="564"/>
      <c r="R57" s="564"/>
      <c r="S57" s="565"/>
      <c r="T57" s="251"/>
      <c r="U57" s="25"/>
      <c r="V57" s="25"/>
      <c r="W57" s="25"/>
      <c r="X57" s="25"/>
      <c r="Y57" s="25"/>
      <c r="Z57" s="25"/>
      <c r="AA57" s="25"/>
      <c r="AB57" s="25"/>
      <c r="AC57" s="25"/>
      <c r="AD57" s="25"/>
      <c r="AE57" s="25"/>
      <c r="AF57" s="25"/>
      <c r="AG57" s="25"/>
      <c r="AH57" s="25"/>
      <c r="AI57" s="25"/>
      <c r="AJ57" s="25"/>
      <c r="AK57" s="25"/>
      <c r="AL57" s="197"/>
    </row>
    <row r="58" spans="1:38" ht="12.75" customHeight="1"/>
    <row r="59" spans="1:38" ht="12.75" customHeight="1"/>
    <row r="60" spans="1:38" ht="12.75" customHeight="1"/>
    <row r="61" spans="1:38" ht="12.75" customHeight="1"/>
    <row r="62" spans="1:38" ht="12.75" customHeight="1"/>
    <row r="63" spans="1:38" ht="12.75" customHeight="1"/>
    <row r="64" spans="1:38"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ref="AB30" location="null!A1" display="BACK" xr:uid="{00000000-0004-0000-3300-000000000000}"/>
  </hyperlinks>
  <pageMargins left="0.39370078740157483" right="0.39370078740157483" top="0.39370078740157483" bottom="0.39370078740157483" header="0" footer="0"/>
  <pageSetup paperSize="9" orientation="portrait"/>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1000"/>
  <sheetViews>
    <sheetView showGridLines="0" workbookViewId="0"/>
  </sheetViews>
  <sheetFormatPr baseColWidth="10" defaultColWidth="12.5703125" defaultRowHeight="15" customHeight="1"/>
  <cols>
    <col min="1" max="21" width="5" customWidth="1"/>
    <col min="22" max="26" width="11.42578125" customWidth="1"/>
  </cols>
  <sheetData>
    <row r="1" spans="1:26" ht="12.75" customHeight="1">
      <c r="A1" s="617" t="s">
        <v>1066</v>
      </c>
      <c r="B1" s="598"/>
      <c r="C1" s="598"/>
      <c r="D1" s="598"/>
      <c r="E1" s="598"/>
      <c r="F1" s="598"/>
      <c r="G1" s="598"/>
      <c r="H1" s="598"/>
      <c r="I1" s="598"/>
      <c r="J1" s="598"/>
      <c r="K1" s="598"/>
      <c r="L1" s="598"/>
      <c r="M1" s="598"/>
      <c r="N1" s="598"/>
      <c r="O1" s="598"/>
      <c r="P1" s="598"/>
      <c r="Q1" s="598"/>
      <c r="R1" s="598"/>
      <c r="S1" s="598"/>
      <c r="T1" s="34"/>
      <c r="U1" s="34"/>
      <c r="V1" s="34"/>
      <c r="W1" s="34"/>
      <c r="X1" s="34"/>
      <c r="Y1" s="34"/>
      <c r="Z1" s="34"/>
    </row>
    <row r="2" spans="1:26" ht="12.75" customHeight="1">
      <c r="A2" s="566"/>
      <c r="B2" s="567"/>
      <c r="C2" s="567"/>
      <c r="D2" s="567"/>
      <c r="E2" s="567"/>
      <c r="F2" s="567"/>
      <c r="G2" s="567"/>
      <c r="H2" s="567"/>
      <c r="I2" s="567"/>
      <c r="J2" s="567"/>
      <c r="K2" s="567"/>
      <c r="L2" s="567"/>
      <c r="M2" s="567"/>
      <c r="N2" s="567"/>
      <c r="O2" s="567"/>
      <c r="P2" s="567"/>
      <c r="Q2" s="567"/>
      <c r="R2" s="567"/>
      <c r="S2" s="567"/>
      <c r="T2" s="34"/>
      <c r="U2" s="155"/>
      <c r="V2" s="34"/>
      <c r="W2" s="34"/>
      <c r="X2" s="34"/>
      <c r="Y2" s="34"/>
      <c r="Z2" s="34"/>
    </row>
    <row r="3" spans="1:26" ht="12.75" customHeight="1">
      <c r="A3" s="568"/>
      <c r="B3" s="569" t="s">
        <v>1067</v>
      </c>
      <c r="C3" s="569"/>
      <c r="D3" s="569"/>
      <c r="E3" s="569"/>
      <c r="F3" s="569"/>
      <c r="G3" s="569"/>
      <c r="H3" s="569"/>
      <c r="I3" s="569"/>
      <c r="J3" s="569"/>
      <c r="K3" s="569"/>
      <c r="L3" s="569"/>
      <c r="M3" s="569"/>
      <c r="N3" s="569"/>
      <c r="O3" s="569"/>
      <c r="P3" s="569"/>
      <c r="Q3" s="569"/>
      <c r="R3" s="569"/>
      <c r="S3" s="569"/>
      <c r="T3" s="34"/>
      <c r="U3" s="155"/>
      <c r="V3" s="34"/>
      <c r="W3" s="34"/>
      <c r="X3" s="34"/>
      <c r="Y3" s="34"/>
      <c r="Z3" s="34"/>
    </row>
    <row r="4" spans="1:26" ht="12.75" customHeight="1">
      <c r="A4" s="568"/>
      <c r="B4" s="569"/>
      <c r="C4" s="569"/>
      <c r="D4" s="569"/>
      <c r="E4" s="569"/>
      <c r="F4" s="569"/>
      <c r="G4" s="569"/>
      <c r="H4" s="569"/>
      <c r="I4" s="569"/>
      <c r="J4" s="569"/>
      <c r="K4" s="569"/>
      <c r="L4" s="569"/>
      <c r="M4" s="569"/>
      <c r="N4" s="569"/>
      <c r="O4" s="569"/>
      <c r="P4" s="569"/>
      <c r="Q4" s="569"/>
      <c r="R4" s="569"/>
      <c r="S4" s="569"/>
      <c r="T4" s="34"/>
      <c r="U4" s="34"/>
      <c r="V4" s="34"/>
      <c r="W4" s="34"/>
      <c r="X4" s="34"/>
      <c r="Y4" s="34"/>
      <c r="Z4" s="34"/>
    </row>
    <row r="5" spans="1:26" ht="12.75" customHeight="1">
      <c r="A5" s="568"/>
      <c r="B5" s="570" t="s">
        <v>1068</v>
      </c>
      <c r="C5" s="569"/>
      <c r="D5" s="569"/>
      <c r="E5" s="569"/>
      <c r="F5" s="569"/>
      <c r="G5" s="569"/>
      <c r="H5" s="569"/>
      <c r="I5" s="569"/>
      <c r="J5" s="569"/>
      <c r="K5" s="569"/>
      <c r="L5" s="569"/>
      <c r="M5" s="569"/>
      <c r="N5" s="569"/>
      <c r="O5" s="569"/>
      <c r="P5" s="569"/>
      <c r="Q5" s="569"/>
      <c r="R5" s="569"/>
      <c r="S5" s="569"/>
      <c r="T5" s="34"/>
      <c r="U5" s="155"/>
      <c r="V5" s="34"/>
      <c r="W5" s="34"/>
      <c r="X5" s="34"/>
      <c r="Y5" s="34"/>
      <c r="Z5" s="34"/>
    </row>
    <row r="6" spans="1:26" ht="12.75" customHeight="1">
      <c r="A6" s="568"/>
      <c r="B6" s="569"/>
      <c r="C6" s="569"/>
      <c r="D6" s="569"/>
      <c r="E6" s="569"/>
      <c r="F6" s="569"/>
      <c r="G6" s="569"/>
      <c r="H6" s="569"/>
      <c r="I6" s="569"/>
      <c r="J6" s="569"/>
      <c r="K6" s="569"/>
      <c r="L6" s="569"/>
      <c r="M6" s="569"/>
      <c r="N6" s="569"/>
      <c r="O6" s="569"/>
      <c r="P6" s="569"/>
      <c r="Q6" s="569"/>
      <c r="R6" s="569"/>
      <c r="S6" s="569"/>
      <c r="T6" s="34"/>
      <c r="U6" s="34"/>
      <c r="V6" s="34"/>
      <c r="W6" s="34"/>
      <c r="X6" s="34"/>
      <c r="Y6" s="34"/>
      <c r="Z6" s="34"/>
    </row>
    <row r="7" spans="1:26" ht="12.75" customHeight="1">
      <c r="A7" s="568"/>
      <c r="B7" s="569" t="s">
        <v>1069</v>
      </c>
      <c r="C7" s="569"/>
      <c r="D7" s="569"/>
      <c r="E7" s="569"/>
      <c r="F7" s="569"/>
      <c r="G7" s="569"/>
      <c r="H7" s="569"/>
      <c r="I7" s="569"/>
      <c r="J7" s="569"/>
      <c r="K7" s="569"/>
      <c r="L7" s="569"/>
      <c r="M7" s="569"/>
      <c r="N7" s="569"/>
      <c r="O7" s="569"/>
      <c r="P7" s="569"/>
      <c r="Q7" s="569"/>
      <c r="R7" s="569"/>
      <c r="S7" s="569"/>
      <c r="T7" s="34"/>
      <c r="U7" s="34"/>
      <c r="V7" s="34"/>
      <c r="W7" s="34"/>
      <c r="X7" s="34"/>
      <c r="Y7" s="34"/>
      <c r="Z7" s="34"/>
    </row>
    <row r="8" spans="1:26" ht="12.75" customHeight="1">
      <c r="A8" s="568"/>
      <c r="B8" s="569" t="s">
        <v>1070</v>
      </c>
      <c r="C8" s="569"/>
      <c r="D8" s="569"/>
      <c r="E8" s="569"/>
      <c r="F8" s="569"/>
      <c r="G8" s="569"/>
      <c r="H8" s="569"/>
      <c r="I8" s="569"/>
      <c r="J8" s="569"/>
      <c r="K8" s="569"/>
      <c r="L8" s="569"/>
      <c r="M8" s="569"/>
      <c r="N8" s="569"/>
      <c r="O8" s="569"/>
      <c r="P8" s="569"/>
      <c r="Q8" s="569"/>
      <c r="R8" s="569"/>
      <c r="S8" s="569"/>
      <c r="T8" s="34"/>
      <c r="U8" s="34"/>
      <c r="V8" s="34"/>
      <c r="W8" s="34"/>
      <c r="X8" s="34"/>
      <c r="Y8" s="34"/>
      <c r="Z8" s="34"/>
    </row>
    <row r="9" spans="1:26" ht="12.75" customHeight="1">
      <c r="A9" s="568"/>
      <c r="B9" s="569" t="s">
        <v>1071</v>
      </c>
      <c r="C9" s="569"/>
      <c r="D9" s="569"/>
      <c r="E9" s="569"/>
      <c r="F9" s="569"/>
      <c r="G9" s="569"/>
      <c r="H9" s="569"/>
      <c r="I9" s="569"/>
      <c r="J9" s="569"/>
      <c r="K9" s="569"/>
      <c r="L9" s="569"/>
      <c r="M9" s="569"/>
      <c r="N9" s="569"/>
      <c r="O9" s="569"/>
      <c r="P9" s="569"/>
      <c r="Q9" s="569"/>
      <c r="R9" s="569"/>
      <c r="S9" s="569"/>
      <c r="T9" s="34"/>
      <c r="U9" s="34"/>
      <c r="V9" s="34"/>
      <c r="W9" s="34"/>
      <c r="X9" s="34"/>
      <c r="Y9" s="34"/>
      <c r="Z9" s="34"/>
    </row>
    <row r="10" spans="1:26" ht="12.75" customHeight="1">
      <c r="A10" s="568"/>
      <c r="B10" s="569"/>
      <c r="C10" s="569"/>
      <c r="D10" s="570"/>
      <c r="E10" s="569"/>
      <c r="F10" s="569"/>
      <c r="G10" s="569"/>
      <c r="H10" s="569"/>
      <c r="I10" s="569"/>
      <c r="J10" s="569"/>
      <c r="K10" s="569"/>
      <c r="L10" s="569"/>
      <c r="M10" s="569"/>
      <c r="N10" s="569"/>
      <c r="O10" s="569"/>
      <c r="P10" s="569"/>
      <c r="Q10" s="569"/>
      <c r="R10" s="569"/>
      <c r="S10" s="569"/>
      <c r="T10" s="34"/>
      <c r="U10" s="34"/>
      <c r="V10" s="34"/>
      <c r="W10" s="34"/>
      <c r="X10" s="34"/>
      <c r="Y10" s="34"/>
      <c r="Z10" s="34"/>
    </row>
    <row r="11" spans="1:26" ht="12.75" customHeight="1">
      <c r="A11" s="568"/>
      <c r="B11" s="766" t="s">
        <v>1072</v>
      </c>
      <c r="C11" s="767"/>
      <c r="D11" s="767"/>
      <c r="E11" s="767"/>
      <c r="F11" s="767"/>
      <c r="G11" s="767"/>
      <c r="H11" s="767"/>
      <c r="I11" s="767"/>
      <c r="J11" s="767"/>
      <c r="K11" s="767"/>
      <c r="L11" s="767"/>
      <c r="M11" s="767"/>
      <c r="N11" s="767"/>
      <c r="O11" s="767"/>
      <c r="P11" s="767"/>
      <c r="Q11" s="767"/>
      <c r="R11" s="767"/>
      <c r="S11" s="768"/>
      <c r="T11" s="34"/>
      <c r="U11" s="34"/>
      <c r="V11" s="34"/>
      <c r="W11" s="34"/>
      <c r="X11" s="34"/>
      <c r="Y11" s="34"/>
      <c r="Z11" s="34"/>
    </row>
    <row r="12" spans="1:26" ht="12.75" customHeight="1">
      <c r="A12" s="568"/>
      <c r="B12" s="769"/>
      <c r="C12" s="760"/>
      <c r="D12" s="760"/>
      <c r="E12" s="760"/>
      <c r="F12" s="760"/>
      <c r="G12" s="760"/>
      <c r="H12" s="760"/>
      <c r="I12" s="760"/>
      <c r="J12" s="760"/>
      <c r="K12" s="760"/>
      <c r="L12" s="760"/>
      <c r="M12" s="760"/>
      <c r="N12" s="760"/>
      <c r="O12" s="760"/>
      <c r="P12" s="760"/>
      <c r="Q12" s="760"/>
      <c r="R12" s="760"/>
      <c r="S12" s="761"/>
      <c r="T12" s="34"/>
      <c r="U12" s="34"/>
      <c r="V12" s="34"/>
      <c r="W12" s="34"/>
      <c r="X12" s="34"/>
      <c r="Y12" s="34"/>
      <c r="Z12" s="34"/>
    </row>
    <row r="13" spans="1:26" ht="12.75" customHeight="1">
      <c r="A13" s="568"/>
      <c r="B13" s="570"/>
      <c r="C13" s="569"/>
      <c r="D13" s="569"/>
      <c r="E13" s="569"/>
      <c r="F13" s="569"/>
      <c r="G13" s="569"/>
      <c r="H13" s="569"/>
      <c r="I13" s="569"/>
      <c r="J13" s="569"/>
      <c r="K13" s="569"/>
      <c r="L13" s="569"/>
      <c r="M13" s="569"/>
      <c r="N13" s="569"/>
      <c r="O13" s="569"/>
      <c r="P13" s="569"/>
      <c r="Q13" s="569"/>
      <c r="R13" s="569"/>
      <c r="S13" s="569"/>
      <c r="T13" s="34"/>
      <c r="U13" s="34"/>
      <c r="V13" s="34"/>
      <c r="W13" s="34"/>
      <c r="X13" s="34"/>
      <c r="Y13" s="34"/>
      <c r="Z13" s="34"/>
    </row>
    <row r="14" spans="1:26" ht="12.75" customHeight="1">
      <c r="A14" s="568"/>
      <c r="B14" s="571" t="s">
        <v>1073</v>
      </c>
      <c r="C14" s="569"/>
      <c r="D14" s="569"/>
      <c r="E14" s="569"/>
      <c r="F14" s="569"/>
      <c r="G14" s="569"/>
      <c r="H14" s="569"/>
      <c r="I14" s="569"/>
      <c r="J14" s="569"/>
      <c r="K14" s="569"/>
      <c r="L14" s="569"/>
      <c r="M14" s="569"/>
      <c r="N14" s="569"/>
      <c r="O14" s="569"/>
      <c r="P14" s="569"/>
      <c r="Q14" s="569"/>
      <c r="R14" s="569"/>
      <c r="S14" s="569"/>
      <c r="T14" s="34"/>
      <c r="U14" s="34"/>
      <c r="V14" s="34"/>
      <c r="W14" s="34"/>
      <c r="X14" s="34"/>
      <c r="Y14" s="34"/>
      <c r="Z14" s="34"/>
    </row>
    <row r="15" spans="1:26" ht="12.75" customHeight="1">
      <c r="A15" s="568"/>
      <c r="B15" s="571" t="s">
        <v>1074</v>
      </c>
      <c r="C15" s="569"/>
      <c r="D15" s="569"/>
      <c r="E15" s="569"/>
      <c r="F15" s="569"/>
      <c r="G15" s="569"/>
      <c r="H15" s="569"/>
      <c r="I15" s="569"/>
      <c r="J15" s="569"/>
      <c r="K15" s="569"/>
      <c r="L15" s="569"/>
      <c r="M15" s="569"/>
      <c r="N15" s="569"/>
      <c r="O15" s="569"/>
      <c r="P15" s="569"/>
      <c r="Q15" s="569"/>
      <c r="R15" s="569"/>
      <c r="S15" s="569"/>
      <c r="T15" s="34"/>
      <c r="U15" s="34"/>
      <c r="V15" s="34"/>
      <c r="W15" s="34"/>
      <c r="X15" s="34"/>
      <c r="Y15" s="34"/>
      <c r="Z15" s="34"/>
    </row>
    <row r="16" spans="1:26" ht="12.75" customHeight="1">
      <c r="A16" s="568"/>
      <c r="B16" s="570"/>
      <c r="C16" s="569"/>
      <c r="D16" s="569"/>
      <c r="E16" s="569"/>
      <c r="F16" s="569"/>
      <c r="G16" s="569"/>
      <c r="H16" s="569"/>
      <c r="I16" s="569"/>
      <c r="J16" s="569"/>
      <c r="K16" s="569"/>
      <c r="L16" s="569"/>
      <c r="M16" s="569"/>
      <c r="N16" s="569"/>
      <c r="O16" s="569"/>
      <c r="P16" s="569"/>
      <c r="Q16" s="569"/>
      <c r="R16" s="569"/>
      <c r="S16" s="569"/>
      <c r="T16" s="34"/>
      <c r="U16" s="34"/>
      <c r="V16" s="34"/>
      <c r="W16" s="34"/>
      <c r="X16" s="34"/>
      <c r="Y16" s="34"/>
      <c r="Z16" s="34"/>
    </row>
    <row r="17" spans="1:26" ht="12.75" customHeight="1">
      <c r="A17" s="568"/>
      <c r="B17" s="770" t="s">
        <v>1075</v>
      </c>
      <c r="C17" s="767"/>
      <c r="D17" s="767"/>
      <c r="E17" s="767"/>
      <c r="F17" s="767"/>
      <c r="G17" s="767"/>
      <c r="H17" s="767"/>
      <c r="I17" s="767"/>
      <c r="J17" s="767"/>
      <c r="K17" s="767"/>
      <c r="L17" s="767"/>
      <c r="M17" s="767"/>
      <c r="N17" s="767"/>
      <c r="O17" s="767"/>
      <c r="P17" s="767"/>
      <c r="Q17" s="767"/>
      <c r="R17" s="767"/>
      <c r="S17" s="768"/>
      <c r="T17" s="34"/>
      <c r="U17" s="34"/>
      <c r="V17" s="34"/>
      <c r="W17" s="34"/>
      <c r="X17" s="34"/>
      <c r="Y17" s="34"/>
      <c r="Z17" s="34"/>
    </row>
    <row r="18" spans="1:26" ht="12.75" customHeight="1">
      <c r="A18" s="568"/>
      <c r="B18" s="769"/>
      <c r="C18" s="760"/>
      <c r="D18" s="760"/>
      <c r="E18" s="760"/>
      <c r="F18" s="760"/>
      <c r="G18" s="760"/>
      <c r="H18" s="760"/>
      <c r="I18" s="760"/>
      <c r="J18" s="760"/>
      <c r="K18" s="760"/>
      <c r="L18" s="760"/>
      <c r="M18" s="760"/>
      <c r="N18" s="760"/>
      <c r="O18" s="760"/>
      <c r="P18" s="760"/>
      <c r="Q18" s="760"/>
      <c r="R18" s="760"/>
      <c r="S18" s="761"/>
      <c r="T18" s="34"/>
      <c r="U18" s="34"/>
      <c r="V18" s="34"/>
      <c r="W18" s="34"/>
      <c r="X18" s="34"/>
      <c r="Y18" s="34"/>
      <c r="Z18" s="34"/>
    </row>
    <row r="19" spans="1:26" ht="12.75" customHeight="1">
      <c r="A19" s="568"/>
      <c r="B19" s="570"/>
      <c r="C19" s="569"/>
      <c r="D19" s="569"/>
      <c r="E19" s="569"/>
      <c r="F19" s="569"/>
      <c r="G19" s="569"/>
      <c r="H19" s="569"/>
      <c r="I19" s="569"/>
      <c r="J19" s="569"/>
      <c r="K19" s="569"/>
      <c r="L19" s="569"/>
      <c r="M19" s="569"/>
      <c r="N19" s="569"/>
      <c r="O19" s="569"/>
      <c r="P19" s="569"/>
      <c r="Q19" s="569"/>
      <c r="R19" s="569"/>
      <c r="S19" s="569"/>
      <c r="T19" s="34"/>
      <c r="U19" s="34"/>
      <c r="V19" s="34"/>
      <c r="W19" s="34"/>
      <c r="X19" s="34"/>
      <c r="Y19" s="34"/>
      <c r="Z19" s="34"/>
    </row>
    <row r="20" spans="1:26" ht="12.75" customHeight="1">
      <c r="A20" s="568"/>
      <c r="B20" s="570" t="s">
        <v>1076</v>
      </c>
      <c r="C20" s="570"/>
      <c r="D20" s="569"/>
      <c r="E20" s="569"/>
      <c r="F20" s="569"/>
      <c r="G20" s="569"/>
      <c r="H20" s="569"/>
      <c r="I20" s="569"/>
      <c r="J20" s="569"/>
      <c r="K20" s="569"/>
      <c r="L20" s="569"/>
      <c r="M20" s="569"/>
      <c r="N20" s="569"/>
      <c r="O20" s="569"/>
      <c r="P20" s="569"/>
      <c r="Q20" s="569"/>
      <c r="R20" s="569"/>
      <c r="S20" s="569"/>
      <c r="T20" s="34"/>
      <c r="U20" s="34"/>
      <c r="V20" s="34"/>
      <c r="W20" s="34"/>
      <c r="X20" s="34"/>
      <c r="Y20" s="34"/>
      <c r="Z20" s="34"/>
    </row>
    <row r="21" spans="1:26" ht="12.75" customHeight="1">
      <c r="A21" s="568"/>
      <c r="B21" s="570" t="s">
        <v>1077</v>
      </c>
      <c r="C21" s="569"/>
      <c r="D21" s="569"/>
      <c r="E21" s="569"/>
      <c r="F21" s="569"/>
      <c r="G21" s="569"/>
      <c r="H21" s="569"/>
      <c r="I21" s="569"/>
      <c r="J21" s="569"/>
      <c r="K21" s="569"/>
      <c r="L21" s="569"/>
      <c r="M21" s="569"/>
      <c r="N21" s="569"/>
      <c r="O21" s="569"/>
      <c r="P21" s="569"/>
      <c r="Q21" s="569"/>
      <c r="R21" s="569"/>
      <c r="S21" s="569"/>
      <c r="T21" s="34"/>
      <c r="U21" s="34"/>
      <c r="V21" s="34"/>
      <c r="W21" s="34"/>
      <c r="X21" s="34"/>
      <c r="Y21" s="34"/>
      <c r="Z21" s="34"/>
    </row>
    <row r="22" spans="1:26" ht="12.75" customHeight="1">
      <c r="A22" s="568"/>
      <c r="B22" s="572"/>
      <c r="C22" s="569"/>
      <c r="D22" s="569"/>
      <c r="E22" s="569"/>
      <c r="F22" s="569"/>
      <c r="G22" s="569"/>
      <c r="H22" s="569"/>
      <c r="I22" s="569"/>
      <c r="J22" s="569"/>
      <c r="K22" s="569"/>
      <c r="L22" s="569"/>
      <c r="M22" s="569"/>
      <c r="N22" s="569"/>
      <c r="O22" s="569"/>
      <c r="P22" s="569"/>
      <c r="Q22" s="569"/>
      <c r="R22" s="569"/>
      <c r="S22" s="569"/>
      <c r="T22" s="34"/>
      <c r="U22" s="34"/>
      <c r="V22" s="34"/>
      <c r="W22" s="34"/>
      <c r="X22" s="34"/>
      <c r="Y22" s="34"/>
      <c r="Z22" s="34"/>
    </row>
    <row r="23" spans="1:26" ht="12.75" customHeight="1">
      <c r="A23" s="568"/>
      <c r="B23" s="572"/>
      <c r="C23" s="569"/>
      <c r="D23" s="569"/>
      <c r="E23" s="569"/>
      <c r="F23" s="569"/>
      <c r="G23" s="569"/>
      <c r="H23" s="569"/>
      <c r="I23" s="569"/>
      <c r="J23" s="569"/>
      <c r="K23" s="569"/>
      <c r="L23" s="569"/>
      <c r="M23" s="569"/>
      <c r="N23" s="569"/>
      <c r="O23" s="569"/>
      <c r="P23" s="569"/>
      <c r="Q23" s="569"/>
      <c r="R23" s="569"/>
      <c r="S23" s="569"/>
      <c r="T23" s="34"/>
      <c r="U23" s="34"/>
      <c r="V23" s="34"/>
      <c r="W23" s="34"/>
      <c r="X23" s="34"/>
      <c r="Y23" s="34"/>
      <c r="Z23" s="34"/>
    </row>
    <row r="24" spans="1:26" ht="12.75" customHeight="1">
      <c r="A24" s="568"/>
      <c r="B24" s="573" t="s">
        <v>1078</v>
      </c>
      <c r="C24" s="569"/>
      <c r="D24" s="569"/>
      <c r="E24" s="569"/>
      <c r="F24" s="569"/>
      <c r="G24" s="569"/>
      <c r="H24" s="569"/>
      <c r="I24" s="569"/>
      <c r="J24" s="569"/>
      <c r="K24" s="569"/>
      <c r="L24" s="569"/>
      <c r="M24" s="569"/>
      <c r="N24" s="569"/>
      <c r="O24" s="569"/>
      <c r="P24" s="569"/>
      <c r="Q24" s="569"/>
      <c r="R24" s="569"/>
      <c r="S24" s="569"/>
      <c r="T24" s="34"/>
      <c r="U24" s="34"/>
      <c r="V24" s="34"/>
      <c r="W24" s="34"/>
      <c r="X24" s="34"/>
      <c r="Y24" s="34"/>
      <c r="Z24" s="34"/>
    </row>
    <row r="25" spans="1:26" ht="12.75" customHeight="1">
      <c r="A25" s="568"/>
      <c r="B25" s="34"/>
      <c r="C25" s="569"/>
      <c r="D25" s="569"/>
      <c r="E25" s="569"/>
      <c r="F25" s="569"/>
      <c r="G25" s="569"/>
      <c r="H25" s="569"/>
      <c r="I25" s="569"/>
      <c r="J25" s="569"/>
      <c r="K25" s="569"/>
      <c r="L25" s="569"/>
      <c r="M25" s="569"/>
      <c r="N25" s="569"/>
      <c r="O25" s="569"/>
      <c r="P25" s="569"/>
      <c r="Q25" s="569"/>
      <c r="R25" s="569"/>
      <c r="S25" s="569"/>
      <c r="T25" s="34"/>
      <c r="U25" s="34"/>
      <c r="V25" s="34"/>
      <c r="W25" s="34"/>
      <c r="X25" s="34"/>
      <c r="Y25" s="34"/>
      <c r="Z25" s="34"/>
    </row>
    <row r="26" spans="1:26" ht="12.75" customHeight="1">
      <c r="A26" s="568"/>
      <c r="B26" s="447" t="s">
        <v>884</v>
      </c>
      <c r="C26" s="569"/>
      <c r="D26" s="569"/>
      <c r="E26" s="569"/>
      <c r="F26" s="569"/>
      <c r="G26" s="569"/>
      <c r="H26" s="569"/>
      <c r="I26" s="569"/>
      <c r="J26" s="569"/>
      <c r="K26" s="569"/>
      <c r="L26" s="569"/>
      <c r="M26" s="569"/>
      <c r="N26" s="569"/>
      <c r="O26" s="569"/>
      <c r="P26" s="569"/>
      <c r="Q26" s="569"/>
      <c r="R26" s="569"/>
      <c r="S26" s="569"/>
      <c r="T26" s="34"/>
      <c r="U26" s="34"/>
      <c r="V26" s="34"/>
      <c r="W26" s="34"/>
      <c r="X26" s="34"/>
      <c r="Y26" s="34"/>
      <c r="Z26" s="34"/>
    </row>
    <row r="27" spans="1:26" ht="12.75" customHeight="1">
      <c r="A27" s="568"/>
      <c r="B27" s="569"/>
      <c r="C27" s="569"/>
      <c r="D27" s="569"/>
      <c r="E27" s="569"/>
      <c r="F27" s="569"/>
      <c r="G27" s="569"/>
      <c r="H27" s="569"/>
      <c r="I27" s="569"/>
      <c r="J27" s="569"/>
      <c r="K27" s="569"/>
      <c r="L27" s="569"/>
      <c r="M27" s="569"/>
      <c r="N27" s="569"/>
      <c r="O27" s="569"/>
      <c r="P27" s="569"/>
      <c r="Q27" s="569"/>
      <c r="R27" s="569"/>
      <c r="S27" s="569"/>
      <c r="T27" s="34"/>
      <c r="U27" s="34"/>
      <c r="V27" s="34"/>
      <c r="W27" s="34"/>
      <c r="X27" s="34"/>
      <c r="Y27" s="34"/>
      <c r="Z27" s="34"/>
    </row>
    <row r="28" spans="1:26" ht="12.75" customHeight="1">
      <c r="A28" s="568"/>
      <c r="B28" s="570"/>
      <c r="C28" s="569"/>
      <c r="D28" s="569"/>
      <c r="E28" s="569"/>
      <c r="F28" s="569"/>
      <c r="G28" s="569"/>
      <c r="H28" s="569"/>
      <c r="I28" s="569"/>
      <c r="J28" s="569"/>
      <c r="K28" s="569"/>
      <c r="L28" s="569"/>
      <c r="M28" s="569"/>
      <c r="N28" s="569"/>
      <c r="O28" s="569"/>
      <c r="P28" s="569"/>
      <c r="Q28" s="569"/>
      <c r="R28" s="569"/>
      <c r="S28" s="569"/>
      <c r="T28" s="34"/>
      <c r="U28" s="34"/>
      <c r="V28" s="34"/>
      <c r="W28" s="34"/>
      <c r="X28" s="34"/>
      <c r="Y28" s="34"/>
      <c r="Z28" s="34"/>
    </row>
    <row r="29" spans="1:26" ht="12.75" customHeight="1">
      <c r="A29" s="568"/>
      <c r="B29" s="570"/>
      <c r="C29" s="569"/>
      <c r="D29" s="569"/>
      <c r="E29" s="569"/>
      <c r="F29" s="569"/>
      <c r="G29" s="569"/>
      <c r="H29" s="569"/>
      <c r="I29" s="569"/>
      <c r="J29" s="569"/>
      <c r="K29" s="569"/>
      <c r="L29" s="569"/>
      <c r="M29" s="569"/>
      <c r="N29" s="569"/>
      <c r="O29" s="569"/>
      <c r="P29" s="569"/>
      <c r="Q29" s="569"/>
      <c r="R29" s="569"/>
      <c r="S29" s="569"/>
      <c r="T29" s="34"/>
      <c r="U29" s="34"/>
      <c r="V29" s="34"/>
      <c r="W29" s="34"/>
      <c r="X29" s="34"/>
      <c r="Y29" s="34"/>
      <c r="Z29" s="34"/>
    </row>
    <row r="30" spans="1:26" ht="12.75" customHeight="1">
      <c r="A30" s="568"/>
      <c r="B30" s="570"/>
      <c r="C30" s="569"/>
      <c r="D30" s="569"/>
      <c r="E30" s="569"/>
      <c r="F30" s="569"/>
      <c r="G30" s="569"/>
      <c r="H30" s="569"/>
      <c r="I30" s="569"/>
      <c r="J30" s="569"/>
      <c r="K30" s="569"/>
      <c r="L30" s="569"/>
      <c r="M30" s="569"/>
      <c r="N30" s="569"/>
      <c r="O30" s="569"/>
      <c r="P30" s="569"/>
      <c r="Q30" s="569"/>
      <c r="R30" s="569"/>
      <c r="S30" s="569"/>
      <c r="T30" s="34"/>
      <c r="U30" s="34"/>
      <c r="V30" s="34"/>
      <c r="W30" s="34"/>
      <c r="X30" s="34"/>
      <c r="Y30" s="34"/>
      <c r="Z30" s="34"/>
    </row>
    <row r="31" spans="1:26" ht="12.75" customHeight="1">
      <c r="A31" s="568"/>
      <c r="B31" s="569"/>
      <c r="C31" s="569"/>
      <c r="D31" s="569"/>
      <c r="E31" s="569"/>
      <c r="F31" s="569"/>
      <c r="G31" s="569"/>
      <c r="H31" s="569"/>
      <c r="I31" s="569"/>
      <c r="J31" s="569"/>
      <c r="K31" s="569"/>
      <c r="L31" s="569"/>
      <c r="M31" s="569"/>
      <c r="N31" s="569"/>
      <c r="O31" s="569"/>
      <c r="P31" s="569"/>
      <c r="Q31" s="569"/>
      <c r="R31" s="569"/>
      <c r="S31" s="569"/>
      <c r="T31" s="34"/>
      <c r="U31" s="34"/>
      <c r="V31" s="34"/>
      <c r="W31" s="34"/>
      <c r="X31" s="34"/>
      <c r="Y31" s="34"/>
      <c r="Z31" s="34"/>
    </row>
    <row r="32" spans="1:26" ht="12.75" customHeight="1">
      <c r="A32" s="568"/>
      <c r="B32" s="569"/>
      <c r="C32" s="569"/>
      <c r="D32" s="569"/>
      <c r="E32" s="569"/>
      <c r="F32" s="569"/>
      <c r="G32" s="569"/>
      <c r="H32" s="569"/>
      <c r="I32" s="569"/>
      <c r="J32" s="569"/>
      <c r="K32" s="569"/>
      <c r="L32" s="569"/>
      <c r="M32" s="569"/>
      <c r="N32" s="569"/>
      <c r="O32" s="569"/>
      <c r="P32" s="569"/>
      <c r="Q32" s="569"/>
      <c r="R32" s="569"/>
      <c r="S32" s="569"/>
      <c r="T32" s="34"/>
      <c r="U32" s="34"/>
      <c r="V32" s="34"/>
      <c r="W32" s="34"/>
      <c r="X32" s="34"/>
      <c r="Y32" s="34"/>
      <c r="Z32" s="34"/>
    </row>
    <row r="33" spans="1:26" ht="12.75" customHeight="1">
      <c r="A33" s="568"/>
      <c r="B33" s="569"/>
      <c r="C33" s="569"/>
      <c r="D33" s="569"/>
      <c r="E33" s="569"/>
      <c r="F33" s="569"/>
      <c r="G33" s="569"/>
      <c r="H33" s="569"/>
      <c r="I33" s="569"/>
      <c r="J33" s="569"/>
      <c r="K33" s="569"/>
      <c r="L33" s="569"/>
      <c r="M33" s="569"/>
      <c r="N33" s="569"/>
      <c r="O33" s="569"/>
      <c r="P33" s="569"/>
      <c r="Q33" s="569"/>
      <c r="R33" s="569"/>
      <c r="S33" s="569"/>
      <c r="T33" s="34"/>
      <c r="U33" s="34"/>
      <c r="V33" s="34"/>
      <c r="W33" s="34"/>
      <c r="X33" s="34"/>
      <c r="Y33" s="34"/>
      <c r="Z33" s="34"/>
    </row>
    <row r="34" spans="1:26" ht="12.75" customHeight="1">
      <c r="A34" s="568"/>
      <c r="B34" s="569"/>
      <c r="C34" s="569"/>
      <c r="D34" s="569"/>
      <c r="E34" s="569"/>
      <c r="F34" s="569"/>
      <c r="G34" s="569"/>
      <c r="H34" s="569"/>
      <c r="I34" s="569"/>
      <c r="J34" s="569"/>
      <c r="K34" s="569"/>
      <c r="L34" s="569"/>
      <c r="M34" s="569"/>
      <c r="N34" s="569"/>
      <c r="O34" s="569"/>
      <c r="P34" s="569"/>
      <c r="Q34" s="569"/>
      <c r="R34" s="569"/>
      <c r="S34" s="569"/>
      <c r="T34" s="34"/>
      <c r="U34" s="34"/>
      <c r="V34" s="34"/>
      <c r="W34" s="34"/>
      <c r="X34" s="34"/>
      <c r="Y34" s="34"/>
      <c r="Z34" s="34"/>
    </row>
    <row r="35" spans="1:26" ht="12.75" customHeight="1">
      <c r="A35" s="568"/>
      <c r="B35" s="569"/>
      <c r="C35" s="569"/>
      <c r="D35" s="569"/>
      <c r="E35" s="569"/>
      <c r="F35" s="569"/>
      <c r="G35" s="569"/>
      <c r="H35" s="569"/>
      <c r="I35" s="569"/>
      <c r="J35" s="569"/>
      <c r="K35" s="569"/>
      <c r="L35" s="569"/>
      <c r="M35" s="569"/>
      <c r="N35" s="569"/>
      <c r="O35" s="569"/>
      <c r="P35" s="569"/>
      <c r="Q35" s="569"/>
      <c r="R35" s="569"/>
      <c r="S35" s="569"/>
      <c r="T35" s="34"/>
      <c r="U35" s="34"/>
      <c r="V35" s="34"/>
      <c r="W35" s="34"/>
      <c r="X35" s="34"/>
      <c r="Y35" s="34"/>
      <c r="Z35" s="34"/>
    </row>
    <row r="36" spans="1:26" ht="12.75" customHeight="1">
      <c r="A36" s="568"/>
      <c r="B36" s="569"/>
      <c r="C36" s="569"/>
      <c r="D36" s="569"/>
      <c r="E36" s="569"/>
      <c r="F36" s="569"/>
      <c r="G36" s="569"/>
      <c r="H36" s="569"/>
      <c r="I36" s="569"/>
      <c r="J36" s="569"/>
      <c r="K36" s="569"/>
      <c r="L36" s="569"/>
      <c r="M36" s="569"/>
      <c r="N36" s="569"/>
      <c r="O36" s="569"/>
      <c r="P36" s="569"/>
      <c r="Q36" s="569"/>
      <c r="R36" s="569"/>
      <c r="S36" s="569"/>
      <c r="T36" s="34"/>
      <c r="U36" s="34"/>
      <c r="V36" s="34"/>
      <c r="W36" s="34"/>
      <c r="X36" s="34"/>
      <c r="Y36" s="34"/>
      <c r="Z36" s="34"/>
    </row>
    <row r="37" spans="1:26" ht="12.75" customHeight="1">
      <c r="A37" s="568"/>
      <c r="B37" s="569"/>
      <c r="C37" s="569"/>
      <c r="D37" s="569"/>
      <c r="E37" s="569"/>
      <c r="F37" s="569"/>
      <c r="G37" s="569"/>
      <c r="H37" s="569"/>
      <c r="I37" s="569"/>
      <c r="J37" s="569"/>
      <c r="K37" s="569"/>
      <c r="L37" s="569"/>
      <c r="M37" s="569"/>
      <c r="N37" s="569"/>
      <c r="O37" s="569"/>
      <c r="P37" s="569"/>
      <c r="Q37" s="569"/>
      <c r="R37" s="569"/>
      <c r="S37" s="569"/>
      <c r="T37" s="34"/>
      <c r="U37" s="34"/>
      <c r="V37" s="34"/>
      <c r="W37" s="34"/>
      <c r="X37" s="34"/>
      <c r="Y37" s="34"/>
      <c r="Z37" s="34"/>
    </row>
    <row r="38" spans="1:26" ht="12.75" customHeight="1">
      <c r="A38" s="568"/>
      <c r="B38" s="569"/>
      <c r="C38" s="569"/>
      <c r="D38" s="569"/>
      <c r="E38" s="569"/>
      <c r="F38" s="569"/>
      <c r="G38" s="569"/>
      <c r="H38" s="569"/>
      <c r="I38" s="569"/>
      <c r="J38" s="569"/>
      <c r="K38" s="569"/>
      <c r="L38" s="569"/>
      <c r="M38" s="569"/>
      <c r="N38" s="569"/>
      <c r="O38" s="569"/>
      <c r="P38" s="569"/>
      <c r="Q38" s="569"/>
      <c r="R38" s="569"/>
      <c r="S38" s="569"/>
      <c r="T38" s="34"/>
      <c r="U38" s="34"/>
      <c r="V38" s="34"/>
      <c r="W38" s="34"/>
      <c r="X38" s="34"/>
      <c r="Y38" s="34"/>
      <c r="Z38" s="34"/>
    </row>
    <row r="39" spans="1:26" ht="12.75" customHeight="1">
      <c r="A39" s="568"/>
      <c r="B39" s="569"/>
      <c r="C39" s="569"/>
      <c r="D39" s="569"/>
      <c r="E39" s="569"/>
      <c r="F39" s="569"/>
      <c r="G39" s="569"/>
      <c r="H39" s="569"/>
      <c r="I39" s="569"/>
      <c r="J39" s="569"/>
      <c r="K39" s="569"/>
      <c r="L39" s="569"/>
      <c r="M39" s="569"/>
      <c r="N39" s="569"/>
      <c r="O39" s="569"/>
      <c r="P39" s="569"/>
      <c r="Q39" s="569"/>
      <c r="R39" s="569"/>
      <c r="S39" s="569"/>
      <c r="T39" s="34"/>
      <c r="U39" s="34"/>
      <c r="V39" s="34"/>
      <c r="W39" s="34"/>
      <c r="X39" s="34"/>
      <c r="Y39" s="34"/>
      <c r="Z39" s="34"/>
    </row>
    <row r="40" spans="1:26" ht="12.75" customHeight="1">
      <c r="A40" s="568"/>
      <c r="B40" s="569"/>
      <c r="C40" s="569"/>
      <c r="D40" s="569"/>
      <c r="E40" s="569"/>
      <c r="F40" s="569"/>
      <c r="G40" s="569"/>
      <c r="H40" s="569"/>
      <c r="I40" s="569"/>
      <c r="J40" s="569"/>
      <c r="K40" s="569"/>
      <c r="L40" s="569"/>
      <c r="M40" s="569"/>
      <c r="N40" s="569"/>
      <c r="O40" s="569"/>
      <c r="P40" s="569"/>
      <c r="Q40" s="569"/>
      <c r="R40" s="569"/>
      <c r="S40" s="569"/>
      <c r="T40" s="34"/>
      <c r="U40" s="34"/>
      <c r="V40" s="34"/>
      <c r="W40" s="34"/>
      <c r="X40" s="34"/>
      <c r="Y40" s="34"/>
      <c r="Z40" s="34"/>
    </row>
    <row r="41" spans="1:26" ht="12.75" customHeight="1">
      <c r="A41" s="568"/>
      <c r="B41" s="569"/>
      <c r="C41" s="569"/>
      <c r="D41" s="569"/>
      <c r="E41" s="569"/>
      <c r="F41" s="569"/>
      <c r="G41" s="569"/>
      <c r="H41" s="569"/>
      <c r="I41" s="569"/>
      <c r="J41" s="569"/>
      <c r="K41" s="569"/>
      <c r="L41" s="569"/>
      <c r="M41" s="569"/>
      <c r="N41" s="569"/>
      <c r="O41" s="569"/>
      <c r="P41" s="569"/>
      <c r="Q41" s="569"/>
      <c r="R41" s="569"/>
      <c r="S41" s="569"/>
      <c r="T41" s="34"/>
      <c r="U41" s="34"/>
      <c r="V41" s="34"/>
      <c r="W41" s="34"/>
      <c r="X41" s="34"/>
      <c r="Y41" s="34"/>
      <c r="Z41" s="34"/>
    </row>
    <row r="42" spans="1:26" ht="12.75" customHeight="1">
      <c r="A42" s="568"/>
      <c r="B42" s="569"/>
      <c r="C42" s="569"/>
      <c r="D42" s="569"/>
      <c r="E42" s="569"/>
      <c r="F42" s="569"/>
      <c r="G42" s="569"/>
      <c r="H42" s="569"/>
      <c r="I42" s="569"/>
      <c r="J42" s="569"/>
      <c r="K42" s="569"/>
      <c r="L42" s="569"/>
      <c r="M42" s="569"/>
      <c r="N42" s="569"/>
      <c r="O42" s="569"/>
      <c r="P42" s="569"/>
      <c r="Q42" s="569"/>
      <c r="R42" s="569"/>
      <c r="S42" s="569"/>
      <c r="T42" s="34"/>
      <c r="U42" s="34"/>
      <c r="V42" s="34"/>
      <c r="W42" s="34"/>
      <c r="X42" s="34"/>
      <c r="Y42" s="34"/>
      <c r="Z42" s="34"/>
    </row>
    <row r="43" spans="1:26" ht="12.75" customHeight="1">
      <c r="A43" s="568"/>
      <c r="B43" s="569"/>
      <c r="C43" s="569"/>
      <c r="D43" s="569"/>
      <c r="E43" s="569"/>
      <c r="F43" s="569"/>
      <c r="G43" s="569"/>
      <c r="H43" s="569"/>
      <c r="I43" s="569"/>
      <c r="J43" s="569"/>
      <c r="K43" s="569"/>
      <c r="L43" s="569"/>
      <c r="M43" s="569"/>
      <c r="N43" s="569"/>
      <c r="O43" s="569"/>
      <c r="P43" s="569"/>
      <c r="Q43" s="569"/>
      <c r="R43" s="569"/>
      <c r="S43" s="569"/>
      <c r="T43" s="34"/>
      <c r="U43" s="34"/>
      <c r="V43" s="34"/>
      <c r="W43" s="34"/>
      <c r="X43" s="34"/>
      <c r="Y43" s="34"/>
      <c r="Z43" s="34"/>
    </row>
    <row r="44" spans="1:26" ht="12.75" customHeight="1">
      <c r="A44" s="568"/>
      <c r="B44" s="569"/>
      <c r="C44" s="569"/>
      <c r="D44" s="569"/>
      <c r="E44" s="569"/>
      <c r="F44" s="569"/>
      <c r="G44" s="569"/>
      <c r="H44" s="569"/>
      <c r="I44" s="569"/>
      <c r="J44" s="569"/>
      <c r="K44" s="569"/>
      <c r="L44" s="569"/>
      <c r="M44" s="569"/>
      <c r="N44" s="569"/>
      <c r="O44" s="569"/>
      <c r="P44" s="569"/>
      <c r="Q44" s="569"/>
      <c r="R44" s="569"/>
      <c r="S44" s="569"/>
      <c r="T44" s="34"/>
      <c r="U44" s="34"/>
      <c r="V44" s="34"/>
      <c r="W44" s="34"/>
      <c r="X44" s="34"/>
      <c r="Y44" s="34"/>
      <c r="Z44" s="34"/>
    </row>
    <row r="45" spans="1:26" ht="12.75" customHeight="1">
      <c r="A45" s="568"/>
      <c r="B45" s="569"/>
      <c r="C45" s="569"/>
      <c r="D45" s="569"/>
      <c r="E45" s="569"/>
      <c r="F45" s="569"/>
      <c r="G45" s="569"/>
      <c r="H45" s="569"/>
      <c r="I45" s="569"/>
      <c r="J45" s="569"/>
      <c r="K45" s="569"/>
      <c r="L45" s="569"/>
      <c r="M45" s="569"/>
      <c r="N45" s="569"/>
      <c r="O45" s="569"/>
      <c r="P45" s="569"/>
      <c r="Q45" s="569"/>
      <c r="R45" s="569"/>
      <c r="S45" s="569"/>
      <c r="T45" s="34"/>
      <c r="U45" s="34"/>
      <c r="V45" s="34"/>
      <c r="W45" s="34"/>
      <c r="X45" s="34"/>
      <c r="Y45" s="34"/>
      <c r="Z45" s="34"/>
    </row>
    <row r="46" spans="1:26" ht="12.75" customHeight="1">
      <c r="A46" s="568"/>
      <c r="B46" s="569"/>
      <c r="C46" s="569"/>
      <c r="D46" s="569"/>
      <c r="E46" s="569"/>
      <c r="F46" s="569"/>
      <c r="G46" s="569"/>
      <c r="H46" s="569"/>
      <c r="I46" s="569"/>
      <c r="J46" s="569"/>
      <c r="K46" s="569"/>
      <c r="L46" s="569"/>
      <c r="M46" s="569"/>
      <c r="N46" s="569"/>
      <c r="O46" s="569"/>
      <c r="P46" s="569"/>
      <c r="Q46" s="569"/>
      <c r="R46" s="569"/>
      <c r="S46" s="569"/>
      <c r="T46" s="34"/>
      <c r="U46" s="34"/>
      <c r="V46" s="34"/>
      <c r="W46" s="34"/>
      <c r="X46" s="34"/>
      <c r="Y46" s="34"/>
      <c r="Z46" s="34"/>
    </row>
    <row r="47" spans="1:26" ht="12.75" customHeight="1">
      <c r="A47" s="568"/>
      <c r="B47" s="569"/>
      <c r="C47" s="569"/>
      <c r="D47" s="569"/>
      <c r="E47" s="569"/>
      <c r="F47" s="569"/>
      <c r="G47" s="569"/>
      <c r="H47" s="569"/>
      <c r="I47" s="569"/>
      <c r="J47" s="569"/>
      <c r="K47" s="569"/>
      <c r="L47" s="569"/>
      <c r="M47" s="569"/>
      <c r="N47" s="569"/>
      <c r="O47" s="569"/>
      <c r="P47" s="569"/>
      <c r="Q47" s="569"/>
      <c r="R47" s="569"/>
      <c r="S47" s="569"/>
      <c r="T47" s="34"/>
      <c r="U47" s="34"/>
      <c r="V47" s="34"/>
      <c r="W47" s="34"/>
      <c r="X47" s="34"/>
      <c r="Y47" s="34"/>
      <c r="Z47" s="34"/>
    </row>
    <row r="48" spans="1:26" ht="12.75" customHeight="1">
      <c r="A48" s="568"/>
      <c r="B48" s="569"/>
      <c r="C48" s="569"/>
      <c r="D48" s="569"/>
      <c r="E48" s="569"/>
      <c r="F48" s="569"/>
      <c r="G48" s="569"/>
      <c r="H48" s="569"/>
      <c r="I48" s="569"/>
      <c r="J48" s="569"/>
      <c r="K48" s="569"/>
      <c r="L48" s="569"/>
      <c r="M48" s="569"/>
      <c r="N48" s="569"/>
      <c r="O48" s="569"/>
      <c r="P48" s="569"/>
      <c r="Q48" s="569"/>
      <c r="R48" s="569"/>
      <c r="S48" s="569"/>
      <c r="T48" s="34"/>
      <c r="U48" s="34"/>
      <c r="V48" s="34"/>
      <c r="W48" s="34"/>
      <c r="X48" s="34"/>
      <c r="Y48" s="34"/>
      <c r="Z48" s="34"/>
    </row>
    <row r="49" spans="1:26" ht="12.75" customHeight="1">
      <c r="A49" s="568"/>
      <c r="B49" s="569"/>
      <c r="C49" s="569"/>
      <c r="D49" s="569"/>
      <c r="E49" s="569"/>
      <c r="F49" s="569"/>
      <c r="G49" s="569"/>
      <c r="H49" s="569"/>
      <c r="I49" s="569"/>
      <c r="J49" s="569"/>
      <c r="K49" s="569"/>
      <c r="L49" s="569"/>
      <c r="M49" s="569"/>
      <c r="N49" s="569"/>
      <c r="O49" s="569"/>
      <c r="P49" s="569"/>
      <c r="Q49" s="569"/>
      <c r="R49" s="569"/>
      <c r="S49" s="569"/>
      <c r="T49" s="34"/>
      <c r="U49" s="34"/>
      <c r="V49" s="34"/>
      <c r="W49" s="34"/>
      <c r="X49" s="34"/>
      <c r="Y49" s="34"/>
      <c r="Z49" s="34"/>
    </row>
    <row r="50" spans="1:26" ht="12.75" customHeight="1">
      <c r="A50" s="568"/>
      <c r="B50" s="569"/>
      <c r="C50" s="569"/>
      <c r="D50" s="569"/>
      <c r="E50" s="569"/>
      <c r="F50" s="569"/>
      <c r="G50" s="569"/>
      <c r="H50" s="569"/>
      <c r="I50" s="569"/>
      <c r="J50" s="569"/>
      <c r="K50" s="569"/>
      <c r="L50" s="569"/>
      <c r="M50" s="569"/>
      <c r="N50" s="569"/>
      <c r="O50" s="569"/>
      <c r="P50" s="569"/>
      <c r="Q50" s="569"/>
      <c r="R50" s="569"/>
      <c r="S50" s="569"/>
      <c r="T50" s="34"/>
      <c r="U50" s="34"/>
      <c r="V50" s="34"/>
      <c r="W50" s="34"/>
      <c r="X50" s="34"/>
      <c r="Y50" s="34"/>
      <c r="Z50" s="34"/>
    </row>
    <row r="51" spans="1:26" ht="12.75" customHeight="1">
      <c r="A51" s="568"/>
      <c r="B51" s="569"/>
      <c r="C51" s="569"/>
      <c r="D51" s="569"/>
      <c r="E51" s="569"/>
      <c r="F51" s="569"/>
      <c r="G51" s="569"/>
      <c r="H51" s="569"/>
      <c r="I51" s="569"/>
      <c r="J51" s="569"/>
      <c r="K51" s="569"/>
      <c r="L51" s="569"/>
      <c r="M51" s="569"/>
      <c r="N51" s="569"/>
      <c r="O51" s="569"/>
      <c r="P51" s="569"/>
      <c r="Q51" s="569"/>
      <c r="R51" s="569"/>
      <c r="S51" s="569"/>
      <c r="T51" s="34"/>
      <c r="U51" s="34"/>
      <c r="V51" s="34"/>
      <c r="W51" s="34"/>
      <c r="X51" s="34"/>
      <c r="Y51" s="34"/>
      <c r="Z51" s="34"/>
    </row>
    <row r="52" spans="1:26" ht="12.75" customHeight="1">
      <c r="A52" s="568"/>
      <c r="B52" s="569"/>
      <c r="C52" s="569"/>
      <c r="D52" s="569"/>
      <c r="E52" s="569"/>
      <c r="F52" s="569"/>
      <c r="G52" s="569"/>
      <c r="H52" s="569"/>
      <c r="I52" s="569"/>
      <c r="J52" s="569"/>
      <c r="K52" s="569"/>
      <c r="L52" s="569"/>
      <c r="M52" s="569"/>
      <c r="N52" s="569"/>
      <c r="O52" s="569"/>
      <c r="P52" s="569"/>
      <c r="Q52" s="569"/>
      <c r="R52" s="569"/>
      <c r="S52" s="569"/>
      <c r="T52" s="34"/>
      <c r="U52" s="34"/>
      <c r="V52" s="34"/>
      <c r="W52" s="34"/>
      <c r="X52" s="34"/>
      <c r="Y52" s="34"/>
      <c r="Z52" s="34"/>
    </row>
    <row r="53" spans="1:26" ht="12.75" customHeight="1">
      <c r="A53" s="568"/>
      <c r="B53" s="569"/>
      <c r="C53" s="569"/>
      <c r="D53" s="569"/>
      <c r="E53" s="569"/>
      <c r="F53" s="569"/>
      <c r="G53" s="569"/>
      <c r="H53" s="569"/>
      <c r="I53" s="569"/>
      <c r="J53" s="569"/>
      <c r="K53" s="569"/>
      <c r="L53" s="569"/>
      <c r="M53" s="569"/>
      <c r="N53" s="569"/>
      <c r="O53" s="569"/>
      <c r="P53" s="569"/>
      <c r="Q53" s="569"/>
      <c r="R53" s="569"/>
      <c r="S53" s="569"/>
      <c r="T53" s="34"/>
      <c r="U53" s="34"/>
      <c r="V53" s="34"/>
      <c r="W53" s="34"/>
      <c r="X53" s="34"/>
      <c r="Y53" s="34"/>
      <c r="Z53" s="34"/>
    </row>
    <row r="54" spans="1:26" ht="12.75" customHeight="1">
      <c r="A54" s="568"/>
      <c r="B54" s="569"/>
      <c r="C54" s="569"/>
      <c r="D54" s="569"/>
      <c r="E54" s="569"/>
      <c r="F54" s="569"/>
      <c r="G54" s="569"/>
      <c r="H54" s="569"/>
      <c r="I54" s="569"/>
      <c r="J54" s="569"/>
      <c r="K54" s="569"/>
      <c r="L54" s="569"/>
      <c r="M54" s="569"/>
      <c r="N54" s="569"/>
      <c r="O54" s="569"/>
      <c r="P54" s="569"/>
      <c r="Q54" s="569"/>
      <c r="R54" s="569"/>
      <c r="S54" s="569"/>
      <c r="T54" s="34"/>
      <c r="U54" s="34"/>
      <c r="V54" s="34"/>
      <c r="W54" s="34"/>
      <c r="X54" s="34"/>
      <c r="Y54" s="34"/>
      <c r="Z54" s="34"/>
    </row>
    <row r="55" spans="1:26" ht="12.75" customHeight="1">
      <c r="A55" s="568"/>
      <c r="B55" s="569"/>
      <c r="C55" s="569"/>
      <c r="D55" s="569"/>
      <c r="E55" s="569"/>
      <c r="F55" s="569"/>
      <c r="G55" s="569"/>
      <c r="H55" s="569"/>
      <c r="I55" s="569"/>
      <c r="J55" s="569"/>
      <c r="K55" s="569"/>
      <c r="L55" s="569"/>
      <c r="M55" s="569"/>
      <c r="N55" s="569"/>
      <c r="O55" s="569"/>
      <c r="P55" s="569"/>
      <c r="Q55" s="569"/>
      <c r="R55" s="569"/>
      <c r="S55" s="569"/>
      <c r="T55" s="34"/>
      <c r="U55" s="34"/>
      <c r="V55" s="34"/>
      <c r="W55" s="34"/>
      <c r="X55" s="34"/>
      <c r="Y55" s="34"/>
      <c r="Z55" s="34"/>
    </row>
    <row r="56" spans="1:26" ht="12.75" customHeight="1">
      <c r="A56" s="568"/>
      <c r="B56" s="569"/>
      <c r="C56" s="569"/>
      <c r="D56" s="569"/>
      <c r="E56" s="569"/>
      <c r="F56" s="569"/>
      <c r="G56" s="569"/>
      <c r="H56" s="569"/>
      <c r="I56" s="569"/>
      <c r="J56" s="569"/>
      <c r="K56" s="569"/>
      <c r="L56" s="569"/>
      <c r="M56" s="569"/>
      <c r="N56" s="569"/>
      <c r="O56" s="569"/>
      <c r="P56" s="569"/>
      <c r="Q56" s="569"/>
      <c r="R56" s="569"/>
      <c r="S56" s="569"/>
      <c r="T56" s="34"/>
      <c r="U56" s="34"/>
      <c r="V56" s="34"/>
      <c r="W56" s="34"/>
      <c r="X56" s="34"/>
      <c r="Y56" s="34"/>
      <c r="Z56" s="34"/>
    </row>
    <row r="57" spans="1:26" ht="12.75" customHeight="1">
      <c r="A57" s="574"/>
      <c r="B57" s="575"/>
      <c r="C57" s="575"/>
      <c r="D57" s="575"/>
      <c r="E57" s="575"/>
      <c r="F57" s="575"/>
      <c r="G57" s="575"/>
      <c r="H57" s="575"/>
      <c r="I57" s="575"/>
      <c r="J57" s="575"/>
      <c r="K57" s="575"/>
      <c r="L57" s="575"/>
      <c r="M57" s="575"/>
      <c r="N57" s="575"/>
      <c r="O57" s="575"/>
      <c r="P57" s="575"/>
      <c r="Q57" s="575"/>
      <c r="R57" s="575"/>
      <c r="S57" s="575"/>
      <c r="T57" s="34"/>
      <c r="U57" s="34"/>
      <c r="V57" s="34"/>
      <c r="W57" s="34"/>
      <c r="X57" s="34"/>
      <c r="Y57" s="34"/>
      <c r="Z57" s="34"/>
    </row>
    <row r="58" spans="1:26" ht="12.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2.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2.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2.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2.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2.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2.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2.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2.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2.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2.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2.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2.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2.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2.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2.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2.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2.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2.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2.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2.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2.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2.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2.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2.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2.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2.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2.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2.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2.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2.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2.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2.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2.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2.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2.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2.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2.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2.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2.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2.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2.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2.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3">
    <mergeCell ref="A1:S1"/>
    <mergeCell ref="B11:S12"/>
    <mergeCell ref="B17:S18"/>
  </mergeCells>
  <hyperlinks>
    <hyperlink ref="B24" location="Google_Sheet_Link_1843597192" display="T3.11 T3.5 Guidance Notes" xr:uid="{00000000-0004-0000-3400-000000000000}"/>
    <hyperlink ref="B26" location="null!A1" display="BACK" xr:uid="{00000000-0004-0000-3400-000001000000}"/>
  </hyperlinks>
  <pageMargins left="0.39370078740157483" right="0.39370078740157483" top="0.39370078740157483" bottom="0.39370078740157483"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53</vt:i4>
      </vt:variant>
      <vt:variant>
        <vt:lpstr>Plages nommées</vt:lpstr>
      </vt:variant>
      <vt:variant>
        <vt:i4>42</vt:i4>
      </vt:variant>
    </vt:vector>
  </HeadingPairs>
  <TitlesOfParts>
    <vt:vector size="95" baseType="lpstr">
      <vt:lpstr>Read_Me</vt:lpstr>
      <vt:lpstr>Version History</vt:lpstr>
      <vt:lpstr>Rules Clarifications</vt:lpstr>
      <vt:lpstr>Cover Sheet</vt:lpstr>
      <vt:lpstr>Chassis Pics</vt:lpstr>
      <vt:lpstr>A2.2 First year vehicle</vt:lpstr>
      <vt:lpstr>MaterialData</vt:lpstr>
      <vt:lpstr>T3.5 Laminate Test</vt:lpstr>
      <vt:lpstr>T3.5 FBHS</vt:lpstr>
      <vt:lpstr>T3.5 FBH</vt:lpstr>
      <vt:lpstr>T3.5 Different Layups</vt:lpstr>
      <vt:lpstr>T3.5.9 Shear Tests</vt:lpstr>
      <vt:lpstr>Other 1 Matt´l Shear</vt:lpstr>
      <vt:lpstr>T3.8 Main Hoop Tubing</vt:lpstr>
      <vt:lpstr>T3.10 Main Hoop Bracing</vt:lpstr>
      <vt:lpstr>T3.9 Front Hoop Tubing</vt:lpstr>
      <vt:lpstr>T3.10.5 T3.5 MHoop Brace Spt</vt:lpstr>
      <vt:lpstr>T3.11 T3.5 FHoop Bracing</vt:lpstr>
      <vt:lpstr>T3.13 T3.5 FBH Spt Structure</vt:lpstr>
      <vt:lpstr>T3.12 T3.5 Ft Bulkhead</vt:lpstr>
      <vt:lpstr>T3.16.3 IA AI Plate</vt:lpstr>
      <vt:lpstr>T3.14 T3.5 SIS</vt:lpstr>
      <vt:lpstr>T5.5 Shoulder Harness Bar</vt:lpstr>
      <vt:lpstr>EV5.5.1&amp;2 EV4.4 ACPS TSPS Side</vt:lpstr>
      <vt:lpstr>EV5.5.1&amp;2 EV4.4 ACPS TSPS Rear</vt:lpstr>
      <vt:lpstr>EV5.5.1&amp;2 EV4.4 ACPS TSPS sidex</vt:lpstr>
      <vt:lpstr>EV5.5.1&amp;2 EV4.4 ACPS TSPS rearx</vt:lpstr>
      <vt:lpstr>T4.5 Harness Attachments</vt:lpstr>
      <vt:lpstr>T3.15 MH &amp; MH Bing Attachments</vt:lpstr>
      <vt:lpstr>T3.15 FH &amp; FH Bing Attachments</vt:lpstr>
      <vt:lpstr>T3.15.6&amp;3.16.5 Prim.Struc.Att.</vt:lpstr>
      <vt:lpstr>T3.15.7 Prim.Struct.Att. Blind</vt:lpstr>
      <vt:lpstr>EV5.5.8 TSAC attachments</vt:lpstr>
      <vt:lpstr>T1.2.1 T4.6 T4.8 Firewall</vt:lpstr>
      <vt:lpstr>Monocoque Lap Joints</vt:lpstr>
      <vt:lpstr>Welded Tube Inserts</vt:lpstr>
      <vt:lpstr>Steering Rack Collars</vt:lpstr>
      <vt:lpstr>Additional Info</vt:lpstr>
      <vt:lpstr>T3.3.3 Additional Info</vt:lpstr>
      <vt:lpstr>T3.3.3 Additional Info (2)</vt:lpstr>
      <vt:lpstr>T1.1 Guidance Notes</vt:lpstr>
      <vt:lpstr>T3.5 Guidance Notes</vt:lpstr>
      <vt:lpstr>T3.10.5 T3.5 Guidance Notes</vt:lpstr>
      <vt:lpstr>T3.11 T3.5 Guidance Notes</vt:lpstr>
      <vt:lpstr>T3.13 T3.5 Guidance Notes</vt:lpstr>
      <vt:lpstr>T3.16.3 Guidance Notes</vt:lpstr>
      <vt:lpstr>T3.14 T3.5 Guidance Notes</vt:lpstr>
      <vt:lpstr>T3.5.9 Guidance Notes</vt:lpstr>
      <vt:lpstr>T4.5 Guidance Notes</vt:lpstr>
      <vt:lpstr>EV4.4 Guidance Notes</vt:lpstr>
      <vt:lpstr>EV5.5 TSAC Attachment Guidance</vt:lpstr>
      <vt:lpstr>Monocoque Attachments Guidance</vt:lpstr>
      <vt:lpstr>Front Hoop Attachment Guidance</vt:lpstr>
      <vt:lpstr>'T3.12 T3.5 Ft Bulkhead'!AIP</vt:lpstr>
      <vt:lpstr>AIP</vt:lpstr>
      <vt:lpstr>'T3.12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'Front Hoop Attachment Guidance'!Innertable</vt:lpstr>
      <vt:lpstr>'Other 1 Matt´l Shear'!Innertable</vt:lpstr>
      <vt:lpstr>'T1.2.1 T4.6 T4.8 Firewall'!Innertable</vt:lpstr>
      <vt:lpstr>'T3.12 T3.5 Ft Bulkhead'!Innertable</vt:lpstr>
      <vt:lpstr>Innertable</vt:lpstr>
      <vt:lpstr>Lijst</vt:lpstr>
      <vt:lpstr>Link_to_guidance_notes__Front_Hoop__FH__attachments</vt:lpstr>
      <vt:lpstr>Link_to_guidance_notes_TSAC_attachment</vt:lpstr>
      <vt:lpstr>'Front Hoop Attachment Guidance'!Material</vt:lpstr>
      <vt:lpstr>'T1.2.1 T4.6 T4.8 Firewall'!Material</vt:lpstr>
      <vt:lpstr>'T3.12 T3.5 Ft Bulkhead'!Material</vt:lpstr>
      <vt:lpstr>Material</vt:lpstr>
      <vt:lpstr>Materialname</vt:lpstr>
      <vt:lpstr>'Front Hoop Attachment Guidance'!Materials</vt:lpstr>
      <vt:lpstr>'Other 1 Matt´l Shear'!Materials</vt:lpstr>
      <vt:lpstr>'T1.2.1 T4.6 T4.8 Firewall'!Materials</vt:lpstr>
      <vt:lpstr>'T3.12 T3.5 Ft Bulkhead'!Materials</vt:lpstr>
      <vt:lpstr>Materials</vt:lpstr>
      <vt:lpstr>'Front Hoop Attachment Guidance'!Metallic_Mats</vt:lpstr>
      <vt:lpstr>'Other 1 Matt´l Shear'!Metallic_Mats</vt:lpstr>
      <vt:lpstr>'T1.2.1 T4.6 T4.8 Firewall'!Metallic_Mats</vt:lpstr>
      <vt:lpstr>'T3.12 T3.5 Ft Bulkhead'!Metallic_Mats</vt:lpstr>
      <vt:lpstr>Metallic_Mats</vt:lpstr>
      <vt:lpstr>Table</vt:lpstr>
      <vt:lpstr>'T3.12 T3.5 Ft Bulkhead'!Tube_Type</vt:lpstr>
      <vt:lpstr>Tube_Type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Tuitert</dc:creator>
  <cp:lastModifiedBy>Elias Belouettar</cp:lastModifiedBy>
  <dcterms:created xsi:type="dcterms:W3CDTF">2011-03-12T12:50:23Z</dcterms:created>
  <dcterms:modified xsi:type="dcterms:W3CDTF">2025-04-19T23:52:52Z</dcterms:modified>
</cp:coreProperties>
</file>