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LOBAL" sheetId="1" r:id="rId3"/>
    <sheet state="visible" name="LASMECA" sheetId="2" r:id="rId4"/>
    <sheet state="visible" name="Freinage" sheetId="3" r:id="rId5"/>
    <sheet state="visible" name="Suspension" sheetId="4" r:id="rId6"/>
    <sheet state="visible" name="BAR" sheetId="5" r:id="rId7"/>
    <sheet state="visible" name="Roue équipée" sheetId="6" r:id="rId8"/>
    <sheet state="visible" name="Triangles" sheetId="7" r:id="rId9"/>
    <sheet state="visible" name="Direction" sheetId="8" r:id="rId10"/>
    <sheet state="visible" name="CHASSIS EQUIPE ET AERO" sheetId="9" r:id="rId11"/>
    <sheet state="visible" name="Chassis" sheetId="10" r:id="rId12"/>
    <sheet state="visible" name="Equipement" sheetId="11" r:id="rId13"/>
    <sheet state="visible" name="Carrosserie" sheetId="12" r:id="rId14"/>
    <sheet state="visible" name="MOTORISATION INSTRUMENTEE" sheetId="13" r:id="rId15"/>
    <sheet state="visible" name="Transmission secondaire" sheetId="14" r:id="rId16"/>
    <sheet state="visible" name="Admission" sheetId="15" r:id="rId17"/>
    <sheet state="visible" name="Refroidissement" sheetId="16" r:id="rId18"/>
    <sheet state="visible" name="Echappement" sheetId="17" r:id="rId19"/>
    <sheet state="visible" name="Circuit carburant" sheetId="18" r:id="rId20"/>
    <sheet state="visible" name="SEISM" sheetId="19" r:id="rId21"/>
  </sheets>
  <definedNames/>
  <calcPr/>
</workbook>
</file>

<file path=xl/sharedStrings.xml><?xml version="1.0" encoding="utf-8"?>
<sst xmlns="http://schemas.openxmlformats.org/spreadsheetml/2006/main" count="479" uniqueCount="299">
  <si>
    <t xml:space="preserve">Pièce </t>
  </si>
  <si>
    <t>Dynamix (en g)</t>
  </si>
  <si>
    <t>Kynétix (en g)</t>
  </si>
  <si>
    <t>Olympix (en g)</t>
  </si>
  <si>
    <t>Atomix (en g)</t>
  </si>
  <si>
    <t>Vulcanix (en g)</t>
  </si>
  <si>
    <t>Optimus (en g)</t>
  </si>
  <si>
    <t>différence</t>
  </si>
  <si>
    <t>Commentaires</t>
  </si>
  <si>
    <t>Disque av--&gt; dans roue équipée</t>
  </si>
  <si>
    <t>Disque ar</t>
  </si>
  <si>
    <t>Total disques</t>
  </si>
  <si>
    <t>cables</t>
  </si>
  <si>
    <t xml:space="preserve">
</t>
  </si>
  <si>
    <t>durites</t>
  </si>
  <si>
    <t>Pedalier (avec maîtres-cylindres)</t>
  </si>
  <si>
    <t>La masse pour vulcanix a été estimé sous Catia</t>
  </si>
  <si>
    <t xml:space="preserve">Total </t>
  </si>
  <si>
    <t xml:space="preserve">Gain </t>
  </si>
  <si>
    <t>Certain</t>
  </si>
  <si>
    <t>Estimé</t>
  </si>
  <si>
    <t>BUDGET MASSIQUE S1: LASMECA</t>
  </si>
  <si>
    <t xml:space="preserve">Système </t>
  </si>
  <si>
    <t>Vulcanix</t>
  </si>
  <si>
    <t>Prévisionnelle</t>
  </si>
  <si>
    <t>Estimée</t>
  </si>
  <si>
    <t>Suspension</t>
  </si>
  <si>
    <t>BUDGET MASSIQUE GLOBAL</t>
  </si>
  <si>
    <t>Barre anti roulis</t>
  </si>
  <si>
    <t>Systèmes</t>
  </si>
  <si>
    <t>Prévisionnel (TOP Projet)</t>
  </si>
  <si>
    <t>Estimé (TOP Copeau)</t>
  </si>
  <si>
    <t>S1 LASMECA</t>
  </si>
  <si>
    <t>S2 MOTORISATION INSTRUMENTEE</t>
  </si>
  <si>
    <t>Triangles</t>
  </si>
  <si>
    <t>S3 CHASSIS EQUIPEE ET PACK AERO</t>
  </si>
  <si>
    <t>Système de freinage</t>
  </si>
  <si>
    <t>S4 SEISM</t>
  </si>
  <si>
    <t>Roue équipée</t>
  </si>
  <si>
    <t>A completer</t>
  </si>
  <si>
    <t>Direction</t>
  </si>
  <si>
    <t>Pneumatique</t>
  </si>
  <si>
    <t>MASSE TOTALE (kg)</t>
  </si>
  <si>
    <t>Masse réelle de Vulcanix : 237 kg</t>
  </si>
  <si>
    <t>Poids vulcanix</t>
  </si>
  <si>
    <t>kg</t>
  </si>
  <si>
    <t>Gain LAS</t>
  </si>
  <si>
    <t xml:space="preserve">Gain Chassis </t>
  </si>
  <si>
    <t xml:space="preserve">Gain carrosserie </t>
  </si>
  <si>
    <t>Gain motorisation</t>
  </si>
  <si>
    <t xml:space="preserve">Ajout BAR </t>
  </si>
  <si>
    <t>Masse Optimus</t>
  </si>
  <si>
    <t>poids soudure</t>
  </si>
  <si>
    <t>Front chapes tube carrée/Ohlins</t>
  </si>
  <si>
    <t>Changement du concept de la chape</t>
  </si>
  <si>
    <t>g/mm</t>
  </si>
  <si>
    <t>Front chapes Pivot/Rocker</t>
  </si>
  <si>
    <t>Passage à une épaisseur de 3 mm (Vulcanix : 5 mm)</t>
  </si>
  <si>
    <t>Basculeurs Avants (sans visserie)</t>
  </si>
  <si>
    <t>Basculeurs Arrières (sans visserie)</t>
  </si>
  <si>
    <t>Basculeurs assez grand &amp; branche pour BAR</t>
  </si>
  <si>
    <t xml:space="preserve">Rear chapes Pivot/Rocker </t>
  </si>
  <si>
    <t>Rear chapes Olhins/Frame</t>
  </si>
  <si>
    <t>Olhins</t>
  </si>
  <si>
    <t>Spring</t>
  </si>
  <si>
    <t>Visserie</t>
  </si>
  <si>
    <t>Valeur estimée pour Vulcanix</t>
  </si>
  <si>
    <t>Barre avant</t>
  </si>
  <si>
    <t>Barre arrière</t>
  </si>
  <si>
    <t>Couteaux avants</t>
  </si>
  <si>
    <t>Couteaux arrières</t>
  </si>
  <si>
    <t>Couteaux arrières très longs</t>
  </si>
  <si>
    <t>Pivots</t>
  </si>
  <si>
    <t>Pivots non symétriques, plus compacts</t>
  </si>
  <si>
    <t>Cousinnets</t>
  </si>
  <si>
    <t xml:space="preserve">Rotule </t>
  </si>
  <si>
    <t>Chape avants</t>
  </si>
  <si>
    <t>4 mm</t>
  </si>
  <si>
    <t>Chapes arrières</t>
  </si>
  <si>
    <t>Chape avec rail très lourdes</t>
  </si>
  <si>
    <t>Biellettes avants</t>
  </si>
  <si>
    <t>inconnue</t>
  </si>
  <si>
    <t>Biellettes arrières</t>
  </si>
  <si>
    <t xml:space="preserve">inconnue </t>
  </si>
  <si>
    <t>Estimation de la visserie pour Atomix</t>
  </si>
  <si>
    <t>Une roue avant</t>
  </si>
  <si>
    <t xml:space="preserve">Roulements </t>
  </si>
  <si>
    <t>Passage roulement classique (30euros) à roulements de super précision (300 euros)</t>
  </si>
  <si>
    <t>Ecrou encoche</t>
  </si>
  <si>
    <t>Ecrou encoche plus gros car diamètre intérieur roulement plus gros</t>
  </si>
  <si>
    <t>Disque Capteur vitesse</t>
  </si>
  <si>
    <t>changement disque à trou par système de roue dentée cachée au milieu du PM</t>
  </si>
  <si>
    <t>Chape capteur vitesse</t>
  </si>
  <si>
    <t>plus besoin de chape, taraudage M10 direct dans le PM</t>
  </si>
  <si>
    <t>Entretoise capteur vitesse</t>
  </si>
  <si>
    <t>entretoise découpés laser alu pour centrer la roue dentée au milieu des roulements lors du montage à la presse</t>
  </si>
  <si>
    <t>Porte moyeu</t>
  </si>
  <si>
    <t>Gain sur frette de frein évidée et épaisseur totale passe de 45 à 40 mm</t>
  </si>
  <si>
    <t>Moyeu</t>
  </si>
  <si>
    <t>Plus lourd car plus long (mais pas d'élargisseur de voie) et partie de maintient de la frette et diamètre plus important</t>
  </si>
  <si>
    <t>Chape rapporté triangle supérieur</t>
  </si>
  <si>
    <t>Passage en aluminium et 2 points de fixation au lieu de 3</t>
  </si>
  <si>
    <t>Calle de carrossage théorique</t>
  </si>
  <si>
    <t>Passage de 2 points de fixation au lieu de 3</t>
  </si>
  <si>
    <t xml:space="preserve">Visserie chape sup </t>
  </si>
  <si>
    <t>une vis m6 en moins</t>
  </si>
  <si>
    <t>Frette de frein</t>
  </si>
  <si>
    <t>Passage frette alu (comprend la visserie)</t>
  </si>
  <si>
    <t>Disque de frein</t>
  </si>
  <si>
    <t>Changement diamètre pas possible comme à l'arrière car coût important comparé au gain. Possible l'an prochain car cette année recyclage du système de freinage d'Olympix</t>
  </si>
  <si>
    <t>Goujons</t>
  </si>
  <si>
    <t>Jante</t>
  </si>
  <si>
    <t>Passage magnésium</t>
  </si>
  <si>
    <t>Entretoise frein</t>
  </si>
  <si>
    <t>Plus nécéssaire avec nouveau positionnement sur le moyeu</t>
  </si>
  <si>
    <t>Entretoise roulement</t>
  </si>
  <si>
    <t xml:space="preserve">Diamètre intérieur plus gros et plus longue </t>
  </si>
  <si>
    <t>Elargisseur de voie</t>
  </si>
  <si>
    <t>Une roue arrière</t>
  </si>
  <si>
    <t>Même pièces que pour l'avant</t>
  </si>
  <si>
    <t>Plus lourd car plus long (mais pas d'élargisseur de voie) et partie de maintient de la frette</t>
  </si>
  <si>
    <t>Les valeurs des moyeux ne sont pas exact, car la partie canelure est modélisé pour l'envoi à l'entreprise qui les fait au fil (trou juste pour passer le fil)</t>
  </si>
  <si>
    <t xml:space="preserve">Passage alu </t>
  </si>
  <si>
    <t>Passage disque plus petit à l'arrière pour avoir moins de soucis packaging avec l'étrier arrière</t>
  </si>
  <si>
    <t>Entretoise tripod housing</t>
  </si>
  <si>
    <t>Tripod housing</t>
  </si>
  <si>
    <t>écrou moins lourd que les autres tripod car diamètre plus petit, non compté ici</t>
  </si>
  <si>
    <t>ecrou chateau 5/8 - 18 = 38gr</t>
  </si>
  <si>
    <t>ecrou chateau m20 = 77gr</t>
  </si>
  <si>
    <t>ecrou tripod (chateau pour comparaison)</t>
  </si>
  <si>
    <t>Etrier frein</t>
  </si>
  <si>
    <t>Passage possible à un étrier plus petit</t>
  </si>
  <si>
    <t>Gain 4 roues</t>
  </si>
  <si>
    <t>Inserts chassis</t>
  </si>
  <si>
    <t>Inserts taraudés</t>
  </si>
  <si>
    <t>Inserts PM sans susp. avant</t>
  </si>
  <si>
    <t>Inserts PM sans susp. arriere</t>
  </si>
  <si>
    <t>Inserts PM avec susp. avant</t>
  </si>
  <si>
    <t>Inserts PM avec susp. arriere</t>
  </si>
  <si>
    <t>Boulons</t>
  </si>
  <si>
    <t>Entretoises</t>
  </si>
  <si>
    <t>Rotules</t>
  </si>
  <si>
    <t>Porte-rotules</t>
  </si>
  <si>
    <t>Tubes carbones</t>
  </si>
  <si>
    <t>Masse volumique triangles carbones : 1570 kg/m3</t>
  </si>
  <si>
    <t>Assemblage</t>
  </si>
  <si>
    <t>Dynamix</t>
  </si>
  <si>
    <t>Kinétix (en g)</t>
  </si>
  <si>
    <t>Steering Rack Assy</t>
  </si>
  <si>
    <t>ST_0100_001 (Steering Rack)</t>
  </si>
  <si>
    <t>ST_0100_002 (Steering Rack Brackets)</t>
  </si>
  <si>
    <t>ST_0100_003 (Half moon)</t>
  </si>
  <si>
    <t>M6*50</t>
  </si>
  <si>
    <t>M6 Nut</t>
  </si>
  <si>
    <t>M6 Washer</t>
  </si>
  <si>
    <t>Steering Column Assy</t>
  </si>
  <si>
    <t>Steering U-Joint</t>
  </si>
  <si>
    <t>Spline Coupler</t>
  </si>
  <si>
    <t>Steering Column</t>
  </si>
  <si>
    <t>Quick release Assy</t>
  </si>
  <si>
    <t>Quick Release</t>
  </si>
  <si>
    <t>Steering Wheel Assy</t>
  </si>
  <si>
    <t>ST_0400_001 (Steering Wheel)</t>
  </si>
  <si>
    <t>ST_0400_002 (Spacer)</t>
  </si>
  <si>
    <t>ST_0400_003 (Shifter)</t>
  </si>
  <si>
    <t>Steering Rods Assy</t>
  </si>
  <si>
    <t>ST_0500_001 (tapped insert)</t>
  </si>
  <si>
    <t>ST_0500_002 (Carbon fiber tube)</t>
  </si>
  <si>
    <t>ST_0500_003 (Spacer)</t>
  </si>
  <si>
    <t>M6 Rod End</t>
  </si>
  <si>
    <t>M6*40</t>
  </si>
  <si>
    <t>M6 nut (left-hand thread)</t>
  </si>
  <si>
    <t>M6 nut (Right-hand thread)</t>
  </si>
  <si>
    <t>Steering pivot Assembly</t>
  </si>
  <si>
    <t>ST_0600_001 (Steering Upper Shaft)</t>
  </si>
  <si>
    <t>ST_0600_002 (Steering Bore)</t>
  </si>
  <si>
    <t>ST_0600_003 (Quick release Shaft)</t>
  </si>
  <si>
    <t>ST_0600_004 (Lateral tubes)</t>
  </si>
  <si>
    <t>Retaining Ring</t>
  </si>
  <si>
    <t>Bearing</t>
  </si>
  <si>
    <t>Steering rack Protection</t>
  </si>
  <si>
    <t>ST_0700_001 (Steering Rack Protection)</t>
  </si>
  <si>
    <t>M4*16</t>
  </si>
  <si>
    <t>M4 Nut</t>
  </si>
  <si>
    <t>M4 Washer</t>
  </si>
  <si>
    <t>Gain</t>
  </si>
  <si>
    <t>BUDGET MASSIQUE S3: CHASSIS EQUIPE ET PACK AERO</t>
  </si>
  <si>
    <t>Châssis tubulaire (soudé et peint)</t>
  </si>
  <si>
    <t>Equipements</t>
  </si>
  <si>
    <t>Plaque anti intrusion</t>
  </si>
  <si>
    <t>Carrosserie</t>
  </si>
  <si>
    <t>Apendices aéro</t>
  </si>
  <si>
    <t>Commande d'embrayage</t>
  </si>
  <si>
    <t>A verifier</t>
  </si>
  <si>
    <t>Vulcanix (en kg)</t>
  </si>
  <si>
    <t>Optimus (en kg)</t>
  </si>
  <si>
    <t>Tubulaire</t>
  </si>
  <si>
    <t>Siège baquet</t>
  </si>
  <si>
    <t>Harnais</t>
  </si>
  <si>
    <t>AIP</t>
  </si>
  <si>
    <t>Appui tête</t>
  </si>
  <si>
    <t>Roll bar padding</t>
  </si>
  <si>
    <t>Chapes (total)</t>
  </si>
  <si>
    <t>Nez</t>
  </si>
  <si>
    <t>si fibre de carbone</t>
  </si>
  <si>
    <t>Ouies</t>
  </si>
  <si>
    <t>Plaques</t>
  </si>
  <si>
    <t>Chapes Nez</t>
  </si>
  <si>
    <t>Chapes Ouies</t>
  </si>
  <si>
    <t>Fond plat</t>
  </si>
  <si>
    <t>Pare-feu</t>
  </si>
  <si>
    <t>BUDGET MASSIQUE S2: MOTORISATION INSTRUMENTEE</t>
  </si>
  <si>
    <t>Admission</t>
  </si>
  <si>
    <t>Echappement</t>
  </si>
  <si>
    <t>Circuit de carburant</t>
  </si>
  <si>
    <t>Refroidissement</t>
  </si>
  <si>
    <t>Transmission secondaire</t>
  </si>
  <si>
    <t>Moteur</t>
  </si>
  <si>
    <t xml:space="preserve">Couronne </t>
  </si>
  <si>
    <t xml:space="preserve">Porte couronne </t>
  </si>
  <si>
    <t>indicateur pour changement chaine et couronne</t>
  </si>
  <si>
    <t>Visserie couronne</t>
  </si>
  <si>
    <t>Porte excentrique droit</t>
  </si>
  <si>
    <t>masse (g)</t>
  </si>
  <si>
    <t>Prix</t>
  </si>
  <si>
    <t>Indicateur</t>
  </si>
  <si>
    <t>Porte excentrique gauche</t>
  </si>
  <si>
    <t>euros/gramme gagné</t>
  </si>
  <si>
    <t>Jacking bar</t>
  </si>
  <si>
    <t>On la perce</t>
  </si>
  <si>
    <t xml:space="preserve">gain </t>
  </si>
  <si>
    <t>Chapes jacking bar</t>
  </si>
  <si>
    <t>On passe en M4 et on évide</t>
  </si>
  <si>
    <t>Chaine</t>
  </si>
  <si>
    <t>Chain Shield</t>
  </si>
  <si>
    <t>Chapes chain shield</t>
  </si>
  <si>
    <t>Drive shaft left</t>
  </si>
  <si>
    <t>Drive shaft right</t>
  </si>
  <si>
    <t>a verifier</t>
  </si>
  <si>
    <t>Bride papillon</t>
  </si>
  <si>
    <t>Plenum</t>
  </si>
  <si>
    <t>Tubulures</t>
  </si>
  <si>
    <t>Fix moteur</t>
  </si>
  <si>
    <t>Fix chassis</t>
  </si>
  <si>
    <t>Manchons</t>
  </si>
  <si>
    <t>Chapes</t>
  </si>
  <si>
    <t>Visserie (environ)</t>
  </si>
  <si>
    <t>Radiateur</t>
  </si>
  <si>
    <t>Ventilateur</t>
  </si>
  <si>
    <t>Silent-Blocs</t>
  </si>
  <si>
    <t>Durites (eau comprise)</t>
  </si>
  <si>
    <t>Barre de maintien</t>
  </si>
  <si>
    <t>Collecteur</t>
  </si>
  <si>
    <t>Silencieux</t>
  </si>
  <si>
    <t>Réservoir</t>
  </si>
  <si>
    <t>Pompe</t>
  </si>
  <si>
    <t>Régulateur</t>
  </si>
  <si>
    <t>Rail Injection</t>
  </si>
  <si>
    <t>BUDGET MASSIQUE S4: SEISM</t>
  </si>
  <si>
    <t>Système</t>
  </si>
  <si>
    <t>Faisceau électrique</t>
  </si>
  <si>
    <t>Batterie</t>
  </si>
  <si>
    <t>Tableau de bord</t>
  </si>
  <si>
    <t>Commande BV</t>
  </si>
  <si>
    <t>Télémétrie</t>
  </si>
  <si>
    <t>Pièce</t>
  </si>
  <si>
    <t>Poids (kg)</t>
  </si>
  <si>
    <t>quantité</t>
  </si>
  <si>
    <t>Capteurs débattement suspension</t>
  </si>
  <si>
    <t>Capteurs Pression frein et essence</t>
  </si>
  <si>
    <t>boitier d'acquisition</t>
  </si>
  <si>
    <t>TOTAL</t>
  </si>
  <si>
    <t>Faisceau</t>
  </si>
  <si>
    <t>DTA</t>
  </si>
  <si>
    <t>Brake light</t>
  </si>
  <si>
    <t xml:space="preserve">Redresseur </t>
  </si>
  <si>
    <t>Relais démarrage</t>
  </si>
  <si>
    <t>Sonde lambda</t>
  </si>
  <si>
    <t>boitier lambda</t>
  </si>
  <si>
    <t>Boite à fusible</t>
  </si>
  <si>
    <t>BSPD</t>
  </si>
  <si>
    <t>Master switch</t>
  </si>
  <si>
    <t>Interrupteur d'urgence</t>
  </si>
  <si>
    <t>Crash sensor</t>
  </si>
  <si>
    <t>Connecteurs souriau</t>
  </si>
  <si>
    <t>Câbles 22AWG</t>
  </si>
  <si>
    <t>poids au m et longueur</t>
  </si>
  <si>
    <t>Câbles 18 AWG</t>
  </si>
  <si>
    <t>Gros câbles</t>
  </si>
  <si>
    <t xml:space="preserve">TOTAL </t>
  </si>
  <si>
    <t>bouton poussoir</t>
  </si>
  <si>
    <t>bistable</t>
  </si>
  <si>
    <t>tristable</t>
  </si>
  <si>
    <t>afficheur rapport</t>
  </si>
  <si>
    <t>afficheur Temp</t>
  </si>
  <si>
    <t>strip LED</t>
  </si>
  <si>
    <t>Controleur</t>
  </si>
  <si>
    <t>Arrêt d'urgence</t>
  </si>
  <si>
    <t>Support carbon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</si>
</sst>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name val="Century Gothic"/>
    </font>
    <font>
      <b/>
      <name val="Century Gothic"/>
    </font>
    <font>
      <b/>
      <i/>
      <name val="Century Gothic"/>
    </font>
    <font/>
    <font>
      <name val="Arial"/>
    </font>
    <font>
      <b/>
      <sz val="14.0"/>
      <name val="Century Gothic"/>
    </font>
    <font>
      <sz val="11.0"/>
      <color rgb="FF000000"/>
      <name val="Century Gothic"/>
    </font>
    <font>
      <sz val="11.0"/>
      <color rgb="FF000000"/>
      <name val="Calibri"/>
    </font>
    <font>
      <sz val="11.0"/>
      <name val="Century Gothic"/>
    </font>
    <font>
      <sz val="13.0"/>
      <name val="Century Gothic"/>
    </font>
    <font>
      <b/>
      <color rgb="FFFF0000"/>
      <name val="Century Gothic"/>
    </font>
    <font>
      <b/>
      <sz val="12.0"/>
    </font>
  </fonts>
  <fills count="1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79646"/>
        <bgColor rgb="FFF79646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FF0000"/>
      </left>
      <right style="thick">
        <color rgb="FFFF0000"/>
      </right>
      <top style="thick">
        <color rgb="FFFF0000"/>
      </top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2" fillId="2" fontId="2" numFmtId="0" xfId="0" applyAlignment="1" applyBorder="1" applyFill="1" applyFont="1">
      <alignment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right" readingOrder="0" shrinkToFit="0" vertical="bottom" wrapText="1"/>
    </xf>
    <xf borderId="3" fillId="3" fontId="1" numFmtId="0" xfId="0" applyAlignment="1" applyBorder="1" applyFill="1" applyFont="1">
      <alignment horizontal="right" readingOrder="0" shrinkToFit="0" vertical="bottom" wrapText="1"/>
    </xf>
    <xf borderId="4" fillId="0" fontId="1" numFmtId="10" xfId="0" applyAlignment="1" applyBorder="1" applyFont="1" applyNumberFormat="1">
      <alignment horizontal="right" shrinkToFit="0" vertical="bottom" wrapText="1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3" fillId="4" fontId="1" numFmtId="0" xfId="0" applyAlignment="1" applyBorder="1" applyFill="1" applyFont="1">
      <alignment readingOrder="0" vertical="bottom"/>
    </xf>
    <xf borderId="4" fillId="0" fontId="1" numFmtId="10" xfId="0" applyAlignment="1" applyBorder="1" applyFont="1" applyNumberFormat="1">
      <alignment horizontal="center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2" fillId="2" fontId="2" numFmtId="0" xfId="0" applyAlignment="1" applyBorder="1" applyFont="1">
      <alignment horizontal="right" shrinkToFit="0" vertical="bottom" wrapText="1"/>
    </xf>
    <xf borderId="3" fillId="0" fontId="1" numFmtId="0" xfId="0" applyAlignment="1" applyBorder="1" applyFont="1">
      <alignment horizontal="right" shrinkToFit="0" vertical="bottom" wrapText="1"/>
    </xf>
    <xf borderId="2" fillId="2" fontId="1" numFmtId="0" xfId="0" applyAlignment="1" applyBorder="1" applyFont="1">
      <alignment horizontal="right" shrinkToFit="0" vertical="bottom" wrapText="1"/>
    </xf>
    <xf borderId="3" fillId="3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3" fillId="4" fontId="1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4" fillId="5" fontId="1" numFmtId="0" xfId="0" applyAlignment="1" applyBorder="1" applyFill="1" applyFont="1">
      <alignment readingOrder="0"/>
    </xf>
    <xf borderId="4" fillId="5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 readingOrder="0"/>
    </xf>
    <xf borderId="4" fillId="0" fontId="1" numFmtId="2" xfId="0" applyAlignment="1" applyBorder="1" applyFont="1" applyNumberFormat="1">
      <alignment horizontal="center" readingOrder="0"/>
    </xf>
    <xf borderId="4" fillId="0" fontId="1" numFmtId="2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 readingOrder="0"/>
    </xf>
    <xf borderId="4" fillId="0" fontId="1" numFmtId="4" xfId="0" applyAlignment="1" applyBorder="1" applyFont="1" applyNumberForma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0" fillId="6" fontId="1" numFmtId="0" xfId="0" applyFont="1"/>
    <xf borderId="0" fillId="0" fontId="1" numFmtId="0" xfId="0" applyAlignment="1" applyFont="1">
      <alignment readingOrder="0"/>
    </xf>
    <xf borderId="5" fillId="7" fontId="1" numFmtId="0" xfId="0" applyBorder="1" applyFill="1" applyFont="1"/>
    <xf borderId="4" fillId="7" fontId="1" numFmtId="0" xfId="0" applyBorder="1" applyFont="1"/>
    <xf borderId="6" fillId="7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3" fillId="4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3" fillId="0" fontId="5" numFmtId="0" xfId="0" applyAlignment="1" applyBorder="1" applyFont="1">
      <alignment readingOrder="0" shrinkToFit="0" vertical="bottom" wrapText="1"/>
    </xf>
    <xf borderId="0" fillId="0" fontId="1" numFmtId="10" xfId="0" applyAlignment="1" applyFont="1" applyNumberFormat="1">
      <alignment horizontal="right" shrinkToFit="0" vertical="bottom" wrapText="1"/>
    </xf>
    <xf borderId="0" fillId="2" fontId="2" numFmtId="0" xfId="0" applyAlignment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6" numFmtId="0" xfId="0" applyAlignment="1" applyFont="1">
      <alignment horizontal="center" readingOrder="0" shrinkToFit="0" textRotation="45" vertical="center" wrapText="1"/>
    </xf>
    <xf borderId="0" fillId="0" fontId="1" numFmtId="10" xfId="0" applyAlignment="1" applyFont="1" applyNumberForma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1"/>
    </xf>
    <xf borderId="3" fillId="3" fontId="1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horizontal="right" shrinkToFit="0" vertical="bottom" wrapText="1"/>
    </xf>
    <xf borderId="5" fillId="2" fontId="2" numFmtId="0" xfId="0" applyAlignment="1" applyBorder="1" applyFont="1">
      <alignment horizontal="right" readingOrder="0" shrinkToFit="0" vertical="bottom" wrapText="1"/>
    </xf>
    <xf borderId="4" fillId="2" fontId="2" numFmtId="0" xfId="0" applyAlignment="1" applyBorder="1" applyFont="1">
      <alignment horizontal="right" readingOrder="0" shrinkToFit="0" vertical="bottom" wrapText="1"/>
    </xf>
    <xf borderId="4" fillId="0" fontId="1" numFmtId="0" xfId="0" applyAlignment="1" applyBorder="1" applyFont="1">
      <alignment horizontal="right" shrinkToFit="0" vertical="bottom" wrapText="1"/>
    </xf>
    <xf borderId="0" fillId="2" fontId="1" numFmtId="0" xfId="0" applyAlignment="1" applyFont="1">
      <alignment horizontal="right" shrinkToFit="0" vertical="bottom" wrapText="1"/>
    </xf>
    <xf borderId="4" fillId="2" fontId="1" numFmtId="0" xfId="0" applyAlignment="1" applyBorder="1" applyFont="1">
      <alignment horizontal="right" shrinkToFit="0" vertical="bottom" wrapText="1"/>
    </xf>
    <xf borderId="4" fillId="3" fontId="1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vertical="bottom"/>
    </xf>
    <xf borderId="3" fillId="3" fontId="1" numFmtId="1" xfId="0" applyAlignment="1" applyBorder="1" applyFont="1" applyNumberFormat="1">
      <alignment vertical="bottom"/>
    </xf>
    <xf borderId="0" fillId="0" fontId="1" numFmtId="0" xfId="0" applyAlignment="1" applyFont="1">
      <alignment readingOrder="0" shrinkToFit="0" wrapText="1"/>
    </xf>
    <xf borderId="3" fillId="0" fontId="1" numFmtId="1" xfId="0" applyAlignment="1" applyBorder="1" applyFont="1" applyNumberFormat="1">
      <alignment horizontal="right" shrinkToFit="0" vertical="bottom" wrapText="1"/>
    </xf>
    <xf borderId="8" fillId="2" fontId="2" numFmtId="0" xfId="0" applyAlignment="1" applyBorder="1" applyFont="1">
      <alignment readingOrder="0" shrinkToFit="0" vertical="bottom" wrapText="1"/>
    </xf>
    <xf borderId="4" fillId="2" fontId="2" numFmtId="0" xfId="0" applyAlignment="1" applyBorder="1" applyFont="1">
      <alignment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8" fillId="0" fontId="8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readingOrder="0"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9" fillId="0" fontId="4" numFmtId="0" xfId="0" applyBorder="1" applyFont="1"/>
    <xf borderId="8" fillId="0" fontId="8" numFmtId="0" xfId="0" applyAlignment="1" applyBorder="1" applyFont="1">
      <alignment horizontal="center" readingOrder="0" shrinkToFit="0" vertical="center" wrapText="0"/>
    </xf>
    <xf borderId="4" fillId="8" fontId="8" numFmtId="0" xfId="0" applyAlignment="1" applyBorder="1" applyFill="1" applyFont="1">
      <alignment horizontal="right" readingOrder="0" shrinkToFit="0" vertical="bottom" wrapText="0"/>
    </xf>
    <xf borderId="10" fillId="0" fontId="4" numFmtId="0" xfId="0" applyBorder="1" applyFont="1"/>
    <xf borderId="11" fillId="0" fontId="8" numFmtId="0" xfId="0" applyAlignment="1" applyBorder="1" applyFont="1">
      <alignment horizontal="center" readingOrder="0" shrinkToFit="0" vertical="center" wrapText="0"/>
    </xf>
    <xf borderId="12" fillId="0" fontId="8" numFmtId="0" xfId="0" applyAlignment="1" applyBorder="1" applyFont="1">
      <alignment horizontal="center" readingOrder="0" shrinkToFit="0" vertical="center" wrapText="0"/>
    </xf>
    <xf borderId="11" fillId="0" fontId="4" numFmtId="0" xfId="0" applyBorder="1" applyFont="1"/>
    <xf borderId="2" fillId="0" fontId="4" numFmtId="0" xfId="0" applyBorder="1" applyFont="1"/>
    <xf borderId="11" fillId="0" fontId="8" numFmtId="0" xfId="0" applyAlignment="1" applyBorder="1" applyFont="1">
      <alignment horizontal="center" readingOrder="0" vertical="center"/>
    </xf>
    <xf borderId="12" fillId="0" fontId="8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right" shrinkToFit="0" vertical="bottom" wrapText="1"/>
    </xf>
    <xf borderId="0" fillId="2" fontId="2" numFmtId="0" xfId="0" applyAlignment="1" applyFont="1">
      <alignment horizontal="right" readingOrder="0" shrinkToFit="0" vertical="bottom" wrapText="1"/>
    </xf>
    <xf borderId="8" fillId="0" fontId="3" numFmtId="0" xfId="0" applyAlignment="1" applyBorder="1" applyFont="1">
      <alignment horizontal="center" readingOrder="0"/>
    </xf>
    <xf borderId="13" fillId="0" fontId="4" numFmtId="0" xfId="0" applyBorder="1" applyFont="1"/>
    <xf borderId="14" fillId="0" fontId="4" numFmtId="0" xfId="0" applyBorder="1" applyFont="1"/>
    <xf borderId="4" fillId="9" fontId="1" numFmtId="0" xfId="0" applyAlignment="1" applyBorder="1" applyFill="1" applyFont="1">
      <alignment readingOrder="0"/>
    </xf>
    <xf borderId="4" fillId="9" fontId="1" numFmtId="0" xfId="0" applyAlignment="1" applyBorder="1" applyFont="1">
      <alignment horizontal="center" readingOrder="0" shrinkToFit="0" wrapText="1"/>
    </xf>
    <xf borderId="4" fillId="0" fontId="1" numFmtId="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0" fillId="6" fontId="1" numFmtId="0" xfId="0" applyAlignment="1" applyFont="1">
      <alignment readingOrder="0"/>
    </xf>
    <xf borderId="4" fillId="10" fontId="1" numFmtId="0" xfId="0" applyAlignment="1" applyBorder="1" applyFill="1" applyFont="1">
      <alignment readingOrder="0"/>
    </xf>
    <xf borderId="4" fillId="10" fontId="1" numFmtId="0" xfId="0" applyAlignment="1" applyBorder="1" applyFont="1">
      <alignment horizontal="center" readingOrder="0" shrinkToFit="0" wrapText="1"/>
    </xf>
    <xf borderId="5" fillId="10" fontId="1" numFmtId="0" xfId="0" applyAlignment="1" applyBorder="1" applyFont="1">
      <alignment readingOrder="0"/>
    </xf>
    <xf borderId="9" fillId="0" fontId="1" numFmtId="0" xfId="0" applyAlignment="1" applyBorder="1" applyFont="1">
      <alignment horizontal="center" readingOrder="0"/>
    </xf>
    <xf borderId="0" fillId="11" fontId="9" numFmtId="0" xfId="0" applyAlignment="1" applyFill="1" applyFont="1">
      <alignment horizontal="center" readingOrder="0"/>
    </xf>
    <xf borderId="9" fillId="0" fontId="1" numFmtId="0" xfId="0" applyBorder="1" applyFont="1"/>
    <xf borderId="2" fillId="0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horizontal="right" readingOrder="0" shrinkToFit="0" vertical="bottom" wrapText="1"/>
    </xf>
    <xf borderId="4" fillId="0" fontId="10" numFmtId="4" xfId="0" applyAlignment="1" applyBorder="1" applyFont="1" applyNumberFormat="1">
      <alignment readingOrder="0"/>
    </xf>
    <xf borderId="4" fillId="0" fontId="11" numFmtId="0" xfId="0" applyBorder="1" applyFont="1"/>
    <xf borderId="3" fillId="6" fontId="1" numFmtId="0" xfId="0" applyAlignment="1" applyBorder="1" applyFont="1">
      <alignment horizontal="right" readingOrder="0" shrinkToFit="0" vertical="bottom" wrapText="1"/>
    </xf>
    <xf borderId="0" fillId="6" fontId="1" numFmtId="0" xfId="0" applyAlignment="1" applyFont="1">
      <alignment vertical="bottom"/>
    </xf>
    <xf borderId="4" fillId="4" fontId="1" numFmtId="0" xfId="0" applyAlignment="1" applyBorder="1" applyFont="1">
      <alignment horizontal="right" readingOrder="0" shrinkToFit="0" vertical="bottom" wrapText="1"/>
    </xf>
    <xf borderId="4" fillId="4" fontId="1" numFmtId="0" xfId="0" applyAlignment="1" applyBorder="1" applyFont="1">
      <alignment readingOrder="0" vertical="bottom"/>
    </xf>
    <xf borderId="0" fillId="0" fontId="1" numFmtId="0" xfId="0" applyAlignment="1" applyFont="1">
      <alignment shrinkToFit="0" vertical="bottom" wrapText="1"/>
    </xf>
    <xf borderId="4" fillId="12" fontId="1" numFmtId="0" xfId="0" applyAlignment="1" applyBorder="1" applyFill="1" applyFont="1">
      <alignment readingOrder="0"/>
    </xf>
    <xf borderId="4" fillId="12" fontId="1" numFmtId="0" xfId="0" applyAlignment="1" applyBorder="1" applyFont="1">
      <alignment horizontal="center" readingOrder="0" shrinkToFit="0" wrapText="1"/>
    </xf>
    <xf borderId="5" fillId="12" fontId="1" numFmtId="0" xfId="0" applyAlignment="1" applyBorder="1" applyFont="1">
      <alignment readingOrder="0"/>
    </xf>
    <xf borderId="9" fillId="5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3" fillId="0" fontId="1" numFmtId="0" xfId="0" applyBorder="1" applyFont="1"/>
    <xf borderId="13" fillId="0" fontId="1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15" fillId="0" fontId="1" numFmtId="0" xfId="0" applyBorder="1" applyFont="1"/>
    <xf borderId="0" fillId="1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13" fontId="4" numFmtId="0" xfId="0" applyAlignment="1" applyFont="1">
      <alignment readingOrder="0"/>
    </xf>
    <xf borderId="1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GLOBAL!$C$2</c:f>
            </c:strRef>
          </c:tx>
          <c:spPr>
            <a:solidFill>
              <a:srgbClr val="3366CC"/>
            </a:solidFill>
          </c:spPr>
          <c:cat>
            <c:strRef>
              <c:f>GLOBAL!$A$3:$A$6</c:f>
            </c:strRef>
          </c:cat>
          <c:val>
            <c:numRef>
              <c:f>GLOBAL!$C$3:$C$6</c:f>
            </c:numRef>
          </c:val>
        </c:ser>
        <c:ser>
          <c:idx val="1"/>
          <c:order val="1"/>
          <c:tx>
            <c:strRef>
              <c:f>GLOBAL!$D$2</c:f>
            </c:strRef>
          </c:tx>
          <c:spPr>
            <a:solidFill>
              <a:srgbClr val="DC3912"/>
            </a:solidFill>
          </c:spPr>
          <c:cat>
            <c:strRef>
              <c:f>GLOBAL!$A$3:$A$6</c:f>
            </c:strRef>
          </c:cat>
          <c:val>
            <c:numRef>
              <c:f>GLOBAL!$D$3:$D$6</c:f>
            </c:numRef>
          </c:val>
        </c:ser>
        <c:ser>
          <c:idx val="2"/>
          <c:order val="2"/>
          <c:tx>
            <c:strRef>
              <c:f>GLOBAL!$B$2</c:f>
            </c:strRef>
          </c:tx>
          <c:spPr>
            <a:solidFill>
              <a:srgbClr val="FF9900"/>
            </a:solidFill>
          </c:spPr>
          <c:cat>
            <c:strRef>
              <c:f>GLOBAL!$A$3:$A$6</c:f>
            </c:strRef>
          </c:cat>
          <c:val>
            <c:numRef>
              <c:f>GLOBAL!$B$3:$B$6</c:f>
            </c:numRef>
          </c:val>
        </c:ser>
        <c:axId val="1365697133"/>
        <c:axId val="253685219"/>
      </c:barChart>
      <c:catAx>
        <c:axId val="136569713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53685219"/>
      </c:catAx>
      <c:valAx>
        <c:axId val="253685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65697133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Bilan Massique S1 : LAS MECA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LASMECA!$B$1:$B$2</c:f>
            </c:strRef>
          </c:tx>
          <c:spPr>
            <a:solidFill>
              <a:srgbClr val="3366CC"/>
            </a:solidFill>
          </c:spPr>
          <c:cat>
            <c:strRef>
              <c:f>LASMECA!$A$3:$A$9</c:f>
            </c:strRef>
          </c:cat>
          <c:val>
            <c:numRef>
              <c:f>LASMECA!$B$3:$B$9</c:f>
            </c:numRef>
          </c:val>
        </c:ser>
        <c:ser>
          <c:idx val="1"/>
          <c:order val="1"/>
          <c:tx>
            <c:strRef>
              <c:f>LASMECA!$C$1:$C$2</c:f>
            </c:strRef>
          </c:tx>
          <c:spPr>
            <a:solidFill>
              <a:srgbClr val="DC3912"/>
            </a:solidFill>
          </c:spPr>
          <c:cat>
            <c:strRef>
              <c:f>LASMECA!$A$3:$A$9</c:f>
            </c:strRef>
          </c:cat>
          <c:val>
            <c:numRef>
              <c:f>LASMECA!$C$3:$C$9</c:f>
            </c:numRef>
          </c:val>
        </c:ser>
        <c:ser>
          <c:idx val="2"/>
          <c:order val="2"/>
          <c:tx>
            <c:strRef>
              <c:f>LASMECA!$D$1:$D$2</c:f>
            </c:strRef>
          </c:tx>
          <c:spPr>
            <a:solidFill>
              <a:srgbClr val="FF9900"/>
            </a:solidFill>
          </c:spPr>
          <c:cat>
            <c:strRef>
              <c:f>LASMECA!$A$3:$A$9</c:f>
            </c:strRef>
          </c:cat>
          <c:val>
            <c:numRef>
              <c:f>LASMECA!$D$3:$D$9</c:f>
            </c:numRef>
          </c:val>
        </c:ser>
        <c:axId val="743329643"/>
        <c:axId val="1462100945"/>
      </c:barChart>
      <c:catAx>
        <c:axId val="743329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Système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62100945"/>
      </c:catAx>
      <c:valAx>
        <c:axId val="1462100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43329643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Vulcanix, Prévisionnelle et Estimée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'CHASSIS EQUIPE ET AERO'!$B$1:$B$2</c:f>
            </c:strRef>
          </c:tx>
          <c:spPr>
            <a:solidFill>
              <a:srgbClr val="3366CC"/>
            </a:solidFill>
          </c:spPr>
          <c:cat>
            <c:strRef>
              <c:f>'CHASSIS EQUIPE ET AERO'!$A$3:$A$8</c:f>
            </c:strRef>
          </c:cat>
          <c:val>
            <c:numRef>
              <c:f>'CHASSIS EQUIPE ET AERO'!$B$3:$B$8</c:f>
            </c:numRef>
          </c:val>
        </c:ser>
        <c:ser>
          <c:idx val="1"/>
          <c:order val="1"/>
          <c:tx>
            <c:strRef>
              <c:f>'CHASSIS EQUIPE ET AERO'!$C$1:$C$2</c:f>
            </c:strRef>
          </c:tx>
          <c:spPr>
            <a:solidFill>
              <a:srgbClr val="DC3912"/>
            </a:solidFill>
          </c:spPr>
          <c:cat>
            <c:strRef>
              <c:f>'CHASSIS EQUIPE ET AERO'!$A$3:$A$8</c:f>
            </c:strRef>
          </c:cat>
          <c:val>
            <c:numRef>
              <c:f>'CHASSIS EQUIPE ET AERO'!$C$3:$C$8</c:f>
            </c:numRef>
          </c:val>
        </c:ser>
        <c:ser>
          <c:idx val="2"/>
          <c:order val="2"/>
          <c:tx>
            <c:strRef>
              <c:f>'CHASSIS EQUIPE ET AERO'!$D$1:$D$2</c:f>
            </c:strRef>
          </c:tx>
          <c:spPr>
            <a:solidFill>
              <a:srgbClr val="FF9900"/>
            </a:solidFill>
          </c:spPr>
          <c:cat>
            <c:strRef>
              <c:f>'CHASSIS EQUIPE ET AERO'!$A$3:$A$8</c:f>
            </c:strRef>
          </c:cat>
          <c:val>
            <c:numRef>
              <c:f>'CHASSIS EQUIPE ET AERO'!$D$3:$D$8</c:f>
            </c:numRef>
          </c:val>
        </c:ser>
        <c:axId val="526671054"/>
        <c:axId val="845436932"/>
      </c:barChart>
      <c:catAx>
        <c:axId val="526671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Systèmes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45436932"/>
      </c:catAx>
      <c:valAx>
        <c:axId val="845436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26671054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Vulcanix, Prévisionnelle et Estimée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'MOTORISATION INSTRUMENTEE'!$B$1:$B$2</c:f>
            </c:strRef>
          </c:tx>
          <c:spPr>
            <a:solidFill>
              <a:srgbClr val="3366CC"/>
            </a:solidFill>
          </c:spPr>
          <c:cat>
            <c:strRef>
              <c:f>'MOTORISATION INSTRUMENTEE'!$A$3:$A$7</c:f>
            </c:strRef>
          </c:cat>
          <c:val>
            <c:numRef>
              <c:f>'MOTORISATION INSTRUMENTEE'!$B$3:$B$7</c:f>
            </c:numRef>
          </c:val>
        </c:ser>
        <c:ser>
          <c:idx val="1"/>
          <c:order val="1"/>
          <c:tx>
            <c:strRef>
              <c:f>'MOTORISATION INSTRUMENTEE'!$C$1:$C$2</c:f>
            </c:strRef>
          </c:tx>
          <c:spPr>
            <a:solidFill>
              <a:srgbClr val="DC3912"/>
            </a:solidFill>
          </c:spPr>
          <c:cat>
            <c:strRef>
              <c:f>'MOTORISATION INSTRUMENTEE'!$A$3:$A$7</c:f>
            </c:strRef>
          </c:cat>
          <c:val>
            <c:numRef>
              <c:f>'MOTORISATION INSTRUMENTEE'!$C$3:$C$7</c:f>
            </c:numRef>
          </c:val>
        </c:ser>
        <c:ser>
          <c:idx val="2"/>
          <c:order val="2"/>
          <c:tx>
            <c:strRef>
              <c:f>'MOTORISATION INSTRUMENTEE'!$D$1:$D$2</c:f>
            </c:strRef>
          </c:tx>
          <c:spPr>
            <a:solidFill>
              <a:srgbClr val="FF9900"/>
            </a:solidFill>
          </c:spPr>
          <c:cat>
            <c:strRef>
              <c:f>'MOTORISATION INSTRUMENTEE'!$A$3:$A$7</c:f>
            </c:strRef>
          </c:cat>
          <c:val>
            <c:numRef>
              <c:f>'MOTORISATION INSTRUMENTEE'!$D$3:$D$7</c:f>
            </c:numRef>
          </c:val>
        </c:ser>
        <c:axId val="263751874"/>
        <c:axId val="1852612478"/>
      </c:barChart>
      <c:catAx>
        <c:axId val="2637518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Système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52612478"/>
      </c:catAx>
      <c:valAx>
        <c:axId val="18526124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6375187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276225</xdr:colOff>
      <xdr:row>10</xdr:row>
      <xdr:rowOff>76200</xdr:rowOff>
    </xdr:from>
    <xdr:ext cx="5715000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133350</xdr:colOff>
      <xdr:row>0</xdr:row>
      <xdr:rowOff>85725</xdr:rowOff>
    </xdr:from>
    <xdr:ext cx="5715000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123825</xdr:colOff>
      <xdr:row>0</xdr:row>
      <xdr:rowOff>76200</xdr:rowOff>
    </xdr:from>
    <xdr:ext cx="5715000" cy="3533775"/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142875</xdr:colOff>
      <xdr:row>0</xdr:row>
      <xdr:rowOff>47625</xdr:rowOff>
    </xdr:from>
    <xdr:ext cx="5715000" cy="3533775"/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6.0"/>
    <col customWidth="1" min="3" max="3" width="22.14"/>
    <col customWidth="1" min="4" max="4" width="19.43"/>
    <col customWidth="1" min="8" max="8" width="5.43"/>
  </cols>
  <sheetData>
    <row r="1">
      <c r="A1" s="25" t="s">
        <v>27</v>
      </c>
      <c r="B1" s="26"/>
      <c r="C1" s="27"/>
      <c r="D1" s="3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0" t="s">
        <v>29</v>
      </c>
      <c r="B2" s="31" t="s">
        <v>23</v>
      </c>
      <c r="C2" s="31" t="s">
        <v>30</v>
      </c>
      <c r="D2" s="31" t="s">
        <v>31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30" t="s">
        <v>32</v>
      </c>
      <c r="B3" s="31">
        <f>LASMECA!B11</f>
        <v>71.2892</v>
      </c>
      <c r="C3" s="31">
        <f>LASMECA!C11</f>
        <v>62.7</v>
      </c>
      <c r="D3" s="34">
        <f>LASMECA!D11</f>
        <v>59.68037802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0" t="s">
        <v>33</v>
      </c>
      <c r="B4" s="31">
        <f>'MOTORISATION INSTRUMENTEE'!B10</f>
        <v>86.749</v>
      </c>
      <c r="C4" s="31">
        <f>'MOTORISATION INSTRUMENTEE'!C10</f>
        <v>82.4</v>
      </c>
      <c r="D4" s="35">
        <f>'MOTORISATION INSTRUMENTEE'!D10</f>
        <v>83.808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0" t="s">
        <v>35</v>
      </c>
      <c r="B5" s="31">
        <f>'CHASSIS EQUIPE ET AERO'!B10</f>
        <v>63.1154</v>
      </c>
      <c r="C5" s="31">
        <v>50.0</v>
      </c>
      <c r="D5" s="37">
        <f>'CHASSIS EQUIPE ET AERO'!D10</f>
        <v>46.4994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0" t="s">
        <v>37</v>
      </c>
      <c r="B6" s="38">
        <f>SEISM!B9</f>
        <v>10.3</v>
      </c>
      <c r="C6" s="31">
        <v>10.0</v>
      </c>
      <c r="D6" s="31">
        <v>9.981</v>
      </c>
      <c r="E6" s="3"/>
      <c r="F6" s="39"/>
      <c r="G6" s="40" t="s">
        <v>39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1"/>
      <c r="B7" s="26"/>
      <c r="C7" s="27"/>
      <c r="D7" s="4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0" t="s">
        <v>42</v>
      </c>
      <c r="B8" s="44">
        <f t="shared" ref="B8:D8" si="1">SUM(B3:B6)</f>
        <v>231.4536</v>
      </c>
      <c r="C8" s="44">
        <f t="shared" si="1"/>
        <v>205.1</v>
      </c>
      <c r="D8" s="35">
        <f t="shared" si="1"/>
        <v>199.968778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4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0" t="s">
        <v>43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4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0" t="s">
        <v>44</v>
      </c>
      <c r="G15" s="30">
        <v>237.0</v>
      </c>
      <c r="H15" s="30" t="s">
        <v>45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0" t="s">
        <v>46</v>
      </c>
      <c r="G16" s="45">
        <f>(463+8541+1839+977)*0.001</f>
        <v>11.82</v>
      </c>
      <c r="H16" s="30" t="s">
        <v>45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0" t="s">
        <v>47</v>
      </c>
      <c r="G17" s="30">
        <v>6.0</v>
      </c>
      <c r="H17" s="30" t="s">
        <v>45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0"/>
      <c r="B18" s="40"/>
      <c r="C18" s="40"/>
      <c r="D18" s="40"/>
      <c r="E18" s="3"/>
      <c r="F18" s="30" t="s">
        <v>48</v>
      </c>
      <c r="G18" s="30">
        <v>9.2</v>
      </c>
      <c r="H18" s="30" t="s">
        <v>45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0"/>
      <c r="B19" s="40"/>
      <c r="C19" s="40"/>
      <c r="D19" s="40"/>
      <c r="E19" s="3"/>
      <c r="F19" s="30" t="s">
        <v>49</v>
      </c>
      <c r="G19" s="45">
        <f>(1535+304)*0.001</f>
        <v>1.839</v>
      </c>
      <c r="H19" s="30" t="s">
        <v>45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0" t="s">
        <v>50</v>
      </c>
      <c r="G20" s="30">
        <v>1.918</v>
      </c>
      <c r="H20" s="30" t="s">
        <v>45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0" t="s">
        <v>51</v>
      </c>
      <c r="G21" s="45">
        <f>G15-G16-G17-G18-G19+G20</f>
        <v>210.059</v>
      </c>
      <c r="H21" s="30" t="s">
        <v>45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4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</sheetData>
  <mergeCells count="2">
    <mergeCell ref="A1:C1"/>
    <mergeCell ref="A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3.14"/>
    <col customWidth="1" min="2" max="3" width="17.57"/>
  </cols>
  <sheetData>
    <row r="1">
      <c r="A1" s="25" t="s">
        <v>21</v>
      </c>
      <c r="B1" s="26"/>
      <c r="C1" s="26"/>
      <c r="D1" s="2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28" t="s">
        <v>22</v>
      </c>
      <c r="B2" s="29" t="s">
        <v>23</v>
      </c>
      <c r="C2" s="29" t="s">
        <v>24</v>
      </c>
      <c r="D2" s="28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0" t="s">
        <v>26</v>
      </c>
      <c r="B3" s="31">
        <f>Suspension!B12*0.001</f>
        <v>4.1602</v>
      </c>
      <c r="C3" s="31">
        <f>4*0.7</f>
        <v>2.8</v>
      </c>
      <c r="D3" s="32">
        <f>Suspension!C12*0.001</f>
        <v>3.7632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0" t="s">
        <v>28</v>
      </c>
      <c r="B4" s="31">
        <v>0.0</v>
      </c>
      <c r="C4" s="31">
        <v>2.5</v>
      </c>
      <c r="D4" s="32">
        <f>BAR!C14*0.001</f>
        <v>1.946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0" t="s">
        <v>34</v>
      </c>
      <c r="B5" s="36">
        <f>Triangles!B15*0.001</f>
        <v>4.414</v>
      </c>
      <c r="C5" s="31">
        <v>3.0</v>
      </c>
      <c r="D5" s="32">
        <f>Triangles!C15*0.001</f>
        <v>2.575358025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0" t="s">
        <v>36</v>
      </c>
      <c r="B6" s="31">
        <f>Freinage!F9/1000</f>
        <v>7.156</v>
      </c>
      <c r="C6" s="31">
        <v>4.0</v>
      </c>
      <c r="D6" s="32">
        <f>Freinage!G9/1000</f>
        <v>5.202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0" t="s">
        <v>38</v>
      </c>
      <c r="B7" s="36">
        <f>'Roue équipée'!E41*2*0.001</f>
        <v>31.83</v>
      </c>
      <c r="C7" s="31">
        <v>28.0</v>
      </c>
      <c r="D7" s="32">
        <f>'Roue équipée'!F41*2*0.001</f>
        <v>23.44182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0" t="s">
        <v>40</v>
      </c>
      <c r="B8" s="31">
        <f>Direction!G38*0.001</f>
        <v>4.329</v>
      </c>
      <c r="C8" s="31">
        <f>0.5+0.5+1.5+0.5</f>
        <v>3</v>
      </c>
      <c r="D8" s="32">
        <f>Direction!H38*0.001</f>
        <v>3.352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0" t="s">
        <v>41</v>
      </c>
      <c r="B9" s="31">
        <f t="shared" ref="B9:D9" si="1">4.85*4</f>
        <v>19.4</v>
      </c>
      <c r="C9" s="31">
        <f t="shared" si="1"/>
        <v>19.4</v>
      </c>
      <c r="D9" s="31">
        <f t="shared" si="1"/>
        <v>19.4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1"/>
      <c r="B10" s="43"/>
      <c r="C10" s="43"/>
      <c r="D10" s="4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0" t="s">
        <v>42</v>
      </c>
      <c r="B11" s="44">
        <f t="shared" ref="B11:D11" si="2">SUM(B3:B9)</f>
        <v>71.2892</v>
      </c>
      <c r="C11" s="44">
        <f t="shared" si="2"/>
        <v>62.7</v>
      </c>
      <c r="D11" s="32">
        <f t="shared" si="2"/>
        <v>59.68037802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4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29"/>
    <col customWidth="1" min="6" max="6" width="16.14"/>
    <col customWidth="1" min="9" max="9" width="52.86"/>
  </cols>
  <sheetData>
    <row r="1">
      <c r="A1" s="1"/>
      <c r="B1" s="1"/>
      <c r="C1" s="1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6" t="s">
        <v>6</v>
      </c>
      <c r="H2" s="7" t="s">
        <v>7</v>
      </c>
      <c r="I2" s="7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8" t="s">
        <v>9</v>
      </c>
      <c r="B3" s="9">
        <v>495.0</v>
      </c>
      <c r="C3" s="9">
        <v>550.0</v>
      </c>
      <c r="D3" s="9">
        <v>601.0</v>
      </c>
      <c r="E3" s="9">
        <v>601.0</v>
      </c>
      <c r="F3" s="9">
        <v>601.0</v>
      </c>
      <c r="G3" s="10">
        <v>495.0</v>
      </c>
      <c r="H3" s="11">
        <f>(G3-F3)/F3</f>
        <v>-0.1763727121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8" t="s">
        <v>10</v>
      </c>
      <c r="B4" s="9">
        <v>495.0</v>
      </c>
      <c r="C4" s="9">
        <v>550.0</v>
      </c>
      <c r="D4" s="9">
        <v>601.0</v>
      </c>
      <c r="E4" s="9">
        <v>601.0</v>
      </c>
      <c r="F4" s="9">
        <v>601.0</v>
      </c>
      <c r="G4" s="10">
        <v>601.0</v>
      </c>
      <c r="H4" s="11">
        <f>(F4-G4)/F4</f>
        <v>0</v>
      </c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8" t="s">
        <v>11</v>
      </c>
      <c r="B5" s="9">
        <f t="shared" ref="B5:G5" si="1">2*B3+2*B4</f>
        <v>1980</v>
      </c>
      <c r="C5" s="9">
        <f t="shared" si="1"/>
        <v>2200</v>
      </c>
      <c r="D5" s="9">
        <f t="shared" si="1"/>
        <v>2404</v>
      </c>
      <c r="E5" s="9">
        <f t="shared" si="1"/>
        <v>2404</v>
      </c>
      <c r="F5" s="9">
        <f t="shared" si="1"/>
        <v>2404</v>
      </c>
      <c r="G5" s="10">
        <f t="shared" si="1"/>
        <v>2192</v>
      </c>
      <c r="H5" s="11">
        <f t="shared" ref="H5:H9" si="2">(G5-F5)/F5</f>
        <v>-0.08818635607</v>
      </c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8" t="s">
        <v>12</v>
      </c>
      <c r="B6" s="13"/>
      <c r="C6" s="13"/>
      <c r="D6" s="13"/>
      <c r="E6" s="13"/>
      <c r="F6" s="13"/>
      <c r="G6" s="14" t="s">
        <v>13</v>
      </c>
      <c r="H6" s="15" t="str">
        <f t="shared" si="2"/>
        <v>#VALUE!</v>
      </c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8" t="s">
        <v>14</v>
      </c>
      <c r="B7" s="13"/>
      <c r="C7" s="13"/>
      <c r="D7" s="13"/>
      <c r="E7" s="13"/>
      <c r="F7" s="16">
        <v>1000.0</v>
      </c>
      <c r="G7" s="16">
        <v>1000.0</v>
      </c>
      <c r="H7" s="15">
        <f t="shared" si="2"/>
        <v>0</v>
      </c>
      <c r="I7" s="1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8" t="s">
        <v>15</v>
      </c>
      <c r="B8" s="13"/>
      <c r="C8" s="13"/>
      <c r="D8" s="13"/>
      <c r="E8" s="13"/>
      <c r="F8" s="16">
        <v>2550.0</v>
      </c>
      <c r="G8" s="16">
        <v>2010.0</v>
      </c>
      <c r="H8" s="15">
        <f t="shared" si="2"/>
        <v>-0.2117647059</v>
      </c>
      <c r="I8" s="1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19" t="s">
        <v>17</v>
      </c>
      <c r="B9" s="20"/>
      <c r="C9" s="20"/>
      <c r="D9" s="20"/>
      <c r="E9" s="20"/>
      <c r="F9" s="20">
        <f>SUM(F3:F8)</f>
        <v>7156</v>
      </c>
      <c r="G9" s="20">
        <f>SUM(G5:G8)</f>
        <v>5202</v>
      </c>
      <c r="H9" s="11">
        <f t="shared" si="2"/>
        <v>-0.2730575741</v>
      </c>
      <c r="I9" s="1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1"/>
      <c r="B10" s="1"/>
      <c r="C10" s="1"/>
      <c r="D10" s="1"/>
      <c r="E10" s="1"/>
      <c r="F10" s="1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19" t="s">
        <v>18</v>
      </c>
      <c r="B11" s="20"/>
      <c r="C11" s="20"/>
      <c r="D11" s="20"/>
      <c r="E11" s="20"/>
      <c r="F11" s="20">
        <f>F9-G9</f>
        <v>1954</v>
      </c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1"/>
      <c r="B12" s="1"/>
      <c r="C12" s="1"/>
      <c r="D12" s="1"/>
      <c r="E12" s="1"/>
      <c r="F12" s="1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21" t="s">
        <v>19</v>
      </c>
      <c r="B13" s="22"/>
      <c r="C13" s="22"/>
      <c r="D13" s="22"/>
      <c r="E13" s="22"/>
      <c r="F13" s="22"/>
      <c r="G13" s="23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21" t="s">
        <v>20</v>
      </c>
      <c r="B14" s="24"/>
      <c r="C14" s="24"/>
      <c r="D14" s="24"/>
      <c r="E14" s="24"/>
      <c r="F14" s="24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1.14"/>
    <col customWidth="1" min="2" max="2" width="16.0"/>
    <col customWidth="1" min="5" max="5" width="49.71"/>
    <col customWidth="1" min="7" max="7" width="13.57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7" t="s">
        <v>7</v>
      </c>
      <c r="E2" s="7" t="s">
        <v>8</v>
      </c>
      <c r="F2" s="3"/>
      <c r="G2" s="40" t="s">
        <v>52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53</v>
      </c>
      <c r="B3" s="9">
        <v>277.0</v>
      </c>
      <c r="C3" s="10">
        <v>126.0</v>
      </c>
      <c r="D3" s="11">
        <f t="shared" ref="D3:D12" si="1">(C3-B3)/B3</f>
        <v>-0.5451263538</v>
      </c>
      <c r="E3" s="46" t="s">
        <v>54</v>
      </c>
      <c r="F3" s="3"/>
      <c r="G3" s="40">
        <v>0.01</v>
      </c>
      <c r="H3" s="40" t="s">
        <v>55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56</v>
      </c>
      <c r="B4" s="16">
        <v>152.0</v>
      </c>
      <c r="C4" s="47">
        <v>44.0</v>
      </c>
      <c r="D4" s="11">
        <f t="shared" si="1"/>
        <v>-0.7105263158</v>
      </c>
      <c r="E4" s="46" t="s">
        <v>57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58</v>
      </c>
      <c r="B5" s="16">
        <v>204.0</v>
      </c>
      <c r="C5" s="47">
        <v>152.0</v>
      </c>
      <c r="D5" s="11">
        <f t="shared" si="1"/>
        <v>-0.2549019608</v>
      </c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59</v>
      </c>
      <c r="B6" s="16">
        <v>164.0</v>
      </c>
      <c r="C6" s="14">
        <v>212.0</v>
      </c>
      <c r="D6" s="11">
        <f t="shared" si="1"/>
        <v>0.2926829268</v>
      </c>
      <c r="E6" s="46" t="s">
        <v>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61</v>
      </c>
      <c r="B7" s="16">
        <v>226.0</v>
      </c>
      <c r="C7" s="47">
        <v>186.0</v>
      </c>
      <c r="D7" s="11">
        <f t="shared" si="1"/>
        <v>-0.1769911504</v>
      </c>
      <c r="E7" s="1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62</v>
      </c>
      <c r="B8" s="16">
        <v>90.0</v>
      </c>
      <c r="C8" s="48">
        <v>112.0</v>
      </c>
      <c r="D8" s="11">
        <f t="shared" si="1"/>
        <v>0.2444444444</v>
      </c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63</v>
      </c>
      <c r="B9" s="16">
        <v>1576.0</v>
      </c>
      <c r="C9" s="16">
        <v>1576.0</v>
      </c>
      <c r="D9" s="11">
        <f t="shared" si="1"/>
        <v>0</v>
      </c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64</v>
      </c>
      <c r="B10" s="49">
        <v>800.0</v>
      </c>
      <c r="C10" s="49">
        <v>800.0</v>
      </c>
      <c r="D10" s="11">
        <f t="shared" si="1"/>
        <v>0</v>
      </c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65</v>
      </c>
      <c r="B11" s="49">
        <v>671.2</v>
      </c>
      <c r="C11" s="47">
        <v>555.2</v>
      </c>
      <c r="D11" s="11">
        <f t="shared" si="1"/>
        <v>-0.1728247914</v>
      </c>
      <c r="E11" s="46" t="s">
        <v>66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 t="s">
        <v>17</v>
      </c>
      <c r="B12" s="20">
        <f t="shared" ref="B12:C12" si="2">SUM(B3:B11)</f>
        <v>4160.2</v>
      </c>
      <c r="C12" s="20">
        <f t="shared" si="2"/>
        <v>3763.2</v>
      </c>
      <c r="D12" s="11">
        <f t="shared" si="1"/>
        <v>-0.09542810442</v>
      </c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 t="s">
        <v>18</v>
      </c>
      <c r="B14" s="20">
        <f>B12-C12</f>
        <v>397</v>
      </c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19</v>
      </c>
      <c r="B16" s="2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20</v>
      </c>
      <c r="B17" s="24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1">
    <mergeCell ref="G2:H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29"/>
    <col customWidth="1" min="5" max="5" width="39.43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4</v>
      </c>
      <c r="C2" s="6" t="s">
        <v>6</v>
      </c>
      <c r="D2" s="7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67</v>
      </c>
      <c r="B3" s="9">
        <v>271.0</v>
      </c>
      <c r="C3" s="10">
        <v>195.0</v>
      </c>
      <c r="D3" s="11">
        <f t="shared" ref="D3:D10" si="1">(C3-B3)/C3</f>
        <v>-0.3897435897</v>
      </c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68</v>
      </c>
      <c r="B4" s="9">
        <v>264.0</v>
      </c>
      <c r="C4" s="10">
        <v>195.0</v>
      </c>
      <c r="D4" s="11">
        <f t="shared" si="1"/>
        <v>-0.3538461538</v>
      </c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69</v>
      </c>
      <c r="B5" s="16">
        <v>166.0</v>
      </c>
      <c r="C5" s="14">
        <v>176.0</v>
      </c>
      <c r="D5" s="11">
        <f t="shared" si="1"/>
        <v>0.05681818182</v>
      </c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70</v>
      </c>
      <c r="B6" s="16">
        <v>144.0</v>
      </c>
      <c r="C6" s="14">
        <v>284.0</v>
      </c>
      <c r="D6" s="11">
        <f t="shared" si="1"/>
        <v>0.4929577465</v>
      </c>
      <c r="E6" s="46" t="s">
        <v>71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72</v>
      </c>
      <c r="B7" s="16">
        <v>216.0</v>
      </c>
      <c r="C7" s="47">
        <v>148.0</v>
      </c>
      <c r="D7" s="11">
        <f t="shared" si="1"/>
        <v>-0.4594594595</v>
      </c>
      <c r="E7" s="46" t="s">
        <v>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74</v>
      </c>
      <c r="B8" s="16">
        <v>100.0</v>
      </c>
      <c r="C8" s="47">
        <v>68.0</v>
      </c>
      <c r="D8" s="11">
        <f t="shared" si="1"/>
        <v>-0.4705882353</v>
      </c>
      <c r="E8" s="46" t="s">
        <v>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76</v>
      </c>
      <c r="B9" s="16">
        <v>54.0</v>
      </c>
      <c r="C9" s="14">
        <v>302.0</v>
      </c>
      <c r="D9" s="11">
        <f t="shared" si="1"/>
        <v>0.821192053</v>
      </c>
      <c r="E9" s="46" t="s">
        <v>77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78</v>
      </c>
      <c r="B10" s="16">
        <v>46.0</v>
      </c>
      <c r="C10" s="14">
        <v>172.0</v>
      </c>
      <c r="D10" s="11">
        <f t="shared" si="1"/>
        <v>0.7325581395</v>
      </c>
      <c r="E10" s="46" t="s">
        <v>79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80</v>
      </c>
      <c r="B11" s="50" t="s">
        <v>81</v>
      </c>
      <c r="C11" s="14">
        <v>98.0</v>
      </c>
      <c r="D11" s="11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82</v>
      </c>
      <c r="B12" s="51" t="s">
        <v>83</v>
      </c>
      <c r="C12" s="14">
        <v>84.0</v>
      </c>
      <c r="D12" s="11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65</v>
      </c>
      <c r="B13" s="16">
        <v>464.0</v>
      </c>
      <c r="C13" s="47">
        <v>224.0</v>
      </c>
      <c r="D13" s="11">
        <f>(C13-B13)/C13</f>
        <v>-1.071428571</v>
      </c>
      <c r="E13" s="46" t="s">
        <v>84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9" t="s">
        <v>17</v>
      </c>
      <c r="B14" s="20">
        <f t="shared" ref="B14:C14" si="2">SUM(B3:B13)</f>
        <v>1725</v>
      </c>
      <c r="C14" s="20">
        <f t="shared" si="2"/>
        <v>1946</v>
      </c>
      <c r="D14" s="5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9" t="s">
        <v>18</v>
      </c>
      <c r="B16" s="20">
        <f>B14-C14</f>
        <v>-221</v>
      </c>
      <c r="C16" s="2"/>
      <c r="D16" s="2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19</v>
      </c>
      <c r="B18" s="2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20</v>
      </c>
      <c r="B19" s="24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8.14"/>
    <col customWidth="1" min="3" max="3" width="16.14"/>
    <col customWidth="1" min="4" max="5" width="16.29"/>
    <col customWidth="1" min="6" max="6" width="16.14"/>
    <col customWidth="1" min="8" max="8" width="73.0"/>
  </cols>
  <sheetData>
    <row r="1">
      <c r="A1" s="2"/>
      <c r="B1" s="1"/>
      <c r="C1" s="1"/>
      <c r="D1" s="1"/>
      <c r="E1" s="1"/>
      <c r="F1" s="1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3"/>
      <c r="B2" s="4" t="s">
        <v>0</v>
      </c>
      <c r="C2" s="5" t="s">
        <v>1</v>
      </c>
      <c r="D2" s="5" t="s">
        <v>3</v>
      </c>
      <c r="E2" s="6" t="s">
        <v>5</v>
      </c>
      <c r="F2" s="6" t="s">
        <v>6</v>
      </c>
      <c r="G2" s="54" t="s">
        <v>7</v>
      </c>
      <c r="H2" s="5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5" t="s">
        <v>85</v>
      </c>
      <c r="B3" s="8" t="s">
        <v>86</v>
      </c>
      <c r="C3" s="9">
        <f>180*2</f>
        <v>360</v>
      </c>
      <c r="D3" s="9">
        <f>190*2</f>
        <v>380</v>
      </c>
      <c r="E3" s="9">
        <v>700.0</v>
      </c>
      <c r="F3" s="10">
        <v>280.0</v>
      </c>
      <c r="G3" s="52">
        <f t="shared" ref="G3:G20" si="1">(F3-E3)/E3</f>
        <v>-0.6</v>
      </c>
      <c r="H3" s="23" t="s">
        <v>87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B4" s="8" t="s">
        <v>88</v>
      </c>
      <c r="C4" s="16">
        <f>160+24</f>
        <v>184</v>
      </c>
      <c r="D4" s="16">
        <f>22+150</f>
        <v>172</v>
      </c>
      <c r="E4" s="16">
        <v>70.0</v>
      </c>
      <c r="F4" s="47">
        <v>156.0</v>
      </c>
      <c r="G4" s="56">
        <f t="shared" si="1"/>
        <v>1.228571429</v>
      </c>
      <c r="H4" s="23" t="s">
        <v>89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B5" s="8" t="s">
        <v>90</v>
      </c>
      <c r="C5" s="16"/>
      <c r="D5" s="16">
        <v>62.0</v>
      </c>
      <c r="E5" s="16">
        <v>112.0</v>
      </c>
      <c r="F5" s="47">
        <v>22.0</v>
      </c>
      <c r="G5" s="56">
        <f t="shared" si="1"/>
        <v>-0.8035714286</v>
      </c>
      <c r="H5" s="23" t="s">
        <v>91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B6" s="8" t="s">
        <v>92</v>
      </c>
      <c r="C6" s="16"/>
      <c r="D6" s="16">
        <v>12.0</v>
      </c>
      <c r="E6" s="16">
        <v>4.0</v>
      </c>
      <c r="F6" s="47">
        <v>0.0</v>
      </c>
      <c r="G6" s="56">
        <f t="shared" si="1"/>
        <v>-1</v>
      </c>
      <c r="H6" s="23" t="s">
        <v>93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B7" s="8" t="s">
        <v>94</v>
      </c>
      <c r="C7" s="16"/>
      <c r="D7" s="16">
        <v>6.0</v>
      </c>
      <c r="E7" s="16">
        <v>2.0</v>
      </c>
      <c r="F7" s="47">
        <f>2.5+3.8</f>
        <v>6.3</v>
      </c>
      <c r="G7" s="56">
        <f t="shared" si="1"/>
        <v>2.15</v>
      </c>
      <c r="H7" s="57" t="s">
        <v>95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B8" s="8" t="s">
        <v>96</v>
      </c>
      <c r="C8" s="16">
        <f>1220+69</f>
        <v>1289</v>
      </c>
      <c r="D8" s="16">
        <f>710+289+145+111+70+50</f>
        <v>1375</v>
      </c>
      <c r="E8" s="16">
        <v>889.0</v>
      </c>
      <c r="F8" s="47">
        <v>718.0</v>
      </c>
      <c r="G8" s="56">
        <f t="shared" si="1"/>
        <v>-0.1923509561</v>
      </c>
      <c r="H8" s="23" t="s">
        <v>97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B9" s="8" t="s">
        <v>98</v>
      </c>
      <c r="C9" s="16">
        <v>717.0</v>
      </c>
      <c r="D9" s="16">
        <v>675.0</v>
      </c>
      <c r="E9" s="16">
        <v>403.0</v>
      </c>
      <c r="F9" s="47">
        <v>490.0</v>
      </c>
      <c r="G9" s="56">
        <f t="shared" si="1"/>
        <v>0.2158808933</v>
      </c>
      <c r="H9" s="23" t="s">
        <v>99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B10" s="8" t="s">
        <v>100</v>
      </c>
      <c r="C10" s="16">
        <v>167.0</v>
      </c>
      <c r="D10" s="16">
        <v>92.0</v>
      </c>
      <c r="E10" s="16">
        <v>243.0</v>
      </c>
      <c r="F10" s="58">
        <v>60.0</v>
      </c>
      <c r="G10" s="56">
        <f t="shared" si="1"/>
        <v>-0.7530864198</v>
      </c>
      <c r="H10" s="57" t="s">
        <v>101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B11" s="8" t="s">
        <v>102</v>
      </c>
      <c r="C11" s="16">
        <v>46.0</v>
      </c>
      <c r="D11" s="16">
        <v>46.0</v>
      </c>
      <c r="E11" s="16">
        <v>70.0</v>
      </c>
      <c r="F11" s="48">
        <v>100.0</v>
      </c>
      <c r="G11" s="56">
        <f t="shared" si="1"/>
        <v>0.4285714286</v>
      </c>
      <c r="H11" s="57" t="s">
        <v>103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B12" s="8" t="s">
        <v>104</v>
      </c>
      <c r="C12" s="49">
        <v>30.0</v>
      </c>
      <c r="D12" s="49">
        <v>70.0</v>
      </c>
      <c r="E12" s="49">
        <v>45.0</v>
      </c>
      <c r="F12" s="47">
        <v>30.0</v>
      </c>
      <c r="G12" s="56">
        <f t="shared" si="1"/>
        <v>-0.3333333333</v>
      </c>
      <c r="H12" s="23" t="s">
        <v>105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B13" s="8" t="s">
        <v>106</v>
      </c>
      <c r="C13" s="49">
        <v>345.0</v>
      </c>
      <c r="D13" s="49">
        <v>363.0</v>
      </c>
      <c r="E13" s="49">
        <v>467.0</v>
      </c>
      <c r="F13" s="47">
        <f>105.81+6*7.5
</f>
        <v>150.81</v>
      </c>
      <c r="G13" s="56">
        <f t="shared" si="1"/>
        <v>-0.6770663812</v>
      </c>
      <c r="H13" s="23" t="s">
        <v>107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B14" s="8" t="s">
        <v>108</v>
      </c>
      <c r="C14" s="49">
        <v>676.0</v>
      </c>
      <c r="D14" s="49">
        <v>676.0</v>
      </c>
      <c r="E14" s="49">
        <v>676.0</v>
      </c>
      <c r="F14" s="47">
        <v>676.0</v>
      </c>
      <c r="G14" s="56">
        <f t="shared" si="1"/>
        <v>0</v>
      </c>
      <c r="H14" s="23" t="s">
        <v>109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B15" s="8" t="s">
        <v>110</v>
      </c>
      <c r="C15" s="49">
        <f>61*4</f>
        <v>244</v>
      </c>
      <c r="D15" s="49">
        <v>244.0</v>
      </c>
      <c r="E15" s="49">
        <v>244.0</v>
      </c>
      <c r="F15" s="47">
        <v>244.0</v>
      </c>
      <c r="G15" s="56">
        <f t="shared" si="1"/>
        <v>0</v>
      </c>
      <c r="H15" s="2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B16" s="8" t="s">
        <v>111</v>
      </c>
      <c r="C16" s="49">
        <v>3400.0</v>
      </c>
      <c r="D16" s="49">
        <v>3400.0</v>
      </c>
      <c r="E16" s="49">
        <v>3400.0</v>
      </c>
      <c r="F16" s="47">
        <v>2450.0</v>
      </c>
      <c r="G16" s="56">
        <f t="shared" si="1"/>
        <v>-0.2794117647</v>
      </c>
      <c r="H16" s="23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B17" s="8" t="s">
        <v>113</v>
      </c>
      <c r="C17" s="49">
        <v>0.0</v>
      </c>
      <c r="D17" s="49">
        <v>22.0</v>
      </c>
      <c r="E17" s="49">
        <v>26.0</v>
      </c>
      <c r="F17" s="47">
        <v>0.0</v>
      </c>
      <c r="G17" s="56">
        <f t="shared" si="1"/>
        <v>-1</v>
      </c>
      <c r="H17" s="23" t="s">
        <v>114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B18" s="8" t="s">
        <v>115</v>
      </c>
      <c r="C18" s="16">
        <v>0.0</v>
      </c>
      <c r="D18" s="16">
        <v>0.0</v>
      </c>
      <c r="E18" s="16">
        <v>17.0</v>
      </c>
      <c r="F18" s="47">
        <v>40.0</v>
      </c>
      <c r="G18" s="56">
        <f t="shared" si="1"/>
        <v>1.352941176</v>
      </c>
      <c r="H18" s="23" t="s">
        <v>116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B19" s="8" t="s">
        <v>117</v>
      </c>
      <c r="C19" s="49">
        <v>0.0</v>
      </c>
      <c r="D19" s="49">
        <v>0.0</v>
      </c>
      <c r="E19" s="49">
        <v>162.0</v>
      </c>
      <c r="F19" s="47">
        <v>0.0</v>
      </c>
      <c r="G19" s="56">
        <f t="shared" si="1"/>
        <v>-1</v>
      </c>
      <c r="H19" s="23" t="s">
        <v>114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55" t="s">
        <v>118</v>
      </c>
      <c r="B20" s="8" t="s">
        <v>86</v>
      </c>
      <c r="C20" s="9">
        <f>180*2</f>
        <v>360</v>
      </c>
      <c r="D20" s="9">
        <v>380.0</v>
      </c>
      <c r="E20" s="9">
        <v>280.0</v>
      </c>
      <c r="F20" s="10">
        <v>280.0</v>
      </c>
      <c r="G20" s="52">
        <f t="shared" si="1"/>
        <v>0</v>
      </c>
      <c r="H20" s="2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B21" s="8" t="s">
        <v>88</v>
      </c>
      <c r="C21" s="16">
        <f>160+24</f>
        <v>184</v>
      </c>
      <c r="D21" s="16">
        <f>22+150</f>
        <v>172</v>
      </c>
      <c r="E21" s="16">
        <v>0.0</v>
      </c>
      <c r="F21" s="47">
        <v>0.0</v>
      </c>
      <c r="G21" s="52"/>
      <c r="H21" s="2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B22" s="8" t="s">
        <v>90</v>
      </c>
      <c r="C22" s="16"/>
      <c r="D22" s="16">
        <v>40.0</v>
      </c>
      <c r="E22" s="16">
        <v>78.0</v>
      </c>
      <c r="F22" s="47">
        <v>22.0</v>
      </c>
      <c r="G22" s="52">
        <f t="shared" ref="G22:G23" si="2">(F22-E22)/E22</f>
        <v>-0.7179487179</v>
      </c>
      <c r="H22" s="23" t="s">
        <v>119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B23" s="8" t="s">
        <v>92</v>
      </c>
      <c r="C23" s="16"/>
      <c r="D23" s="16">
        <v>10.0</v>
      </c>
      <c r="E23" s="16">
        <v>8.0</v>
      </c>
      <c r="F23" s="47">
        <v>0.0</v>
      </c>
      <c r="G23" s="52">
        <f t="shared" si="2"/>
        <v>-1</v>
      </c>
      <c r="H23" s="2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B24" s="8" t="s">
        <v>94</v>
      </c>
      <c r="C24" s="16"/>
      <c r="D24" s="16">
        <v>10.0</v>
      </c>
      <c r="E24" s="16">
        <v>0.0</v>
      </c>
      <c r="F24" s="47">
        <v>6.3</v>
      </c>
      <c r="G24" s="52"/>
      <c r="H24" s="2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B25" s="8" t="s">
        <v>96</v>
      </c>
      <c r="C25" s="45">
        <f>1140+167+46+30</f>
        <v>1383</v>
      </c>
      <c r="D25" s="16">
        <f>783+214+330+50+30</f>
        <v>1407</v>
      </c>
      <c r="E25" s="16">
        <v>823.0</v>
      </c>
      <c r="F25" s="47">
        <v>680.0</v>
      </c>
      <c r="G25" s="52">
        <f t="shared" ref="G25:G41" si="3">(F25-E25)/E25</f>
        <v>-0.1737545565</v>
      </c>
      <c r="H25" s="23" t="s">
        <v>97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B26" s="8" t="s">
        <v>98</v>
      </c>
      <c r="C26" s="30">
        <v>752.0</v>
      </c>
      <c r="D26" s="16">
        <v>717.0</v>
      </c>
      <c r="E26" s="16">
        <v>565.0</v>
      </c>
      <c r="F26" s="47">
        <v>645.0</v>
      </c>
      <c r="G26" s="56">
        <f t="shared" si="3"/>
        <v>0.1415929204</v>
      </c>
      <c r="H26" s="23" t="s">
        <v>120</v>
      </c>
      <c r="I26" s="40" t="s">
        <v>121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B27" s="8" t="s">
        <v>100</v>
      </c>
      <c r="C27" s="18">
        <v>167.0</v>
      </c>
      <c r="D27" s="16">
        <v>122.0</v>
      </c>
      <c r="E27" s="16">
        <v>328.0</v>
      </c>
      <c r="F27" s="58">
        <v>60.0</v>
      </c>
      <c r="G27" s="56">
        <f t="shared" si="3"/>
        <v>-0.8170731707</v>
      </c>
      <c r="H27" s="57" t="s">
        <v>101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B28" s="8" t="s">
        <v>102</v>
      </c>
      <c r="C28" s="16">
        <v>46.0</v>
      </c>
      <c r="D28" s="16">
        <v>51.0</v>
      </c>
      <c r="E28" s="16">
        <v>133.0</v>
      </c>
      <c r="F28" s="48">
        <v>73.0</v>
      </c>
      <c r="G28" s="56">
        <f t="shared" si="3"/>
        <v>-0.4511278195</v>
      </c>
      <c r="H28" s="57" t="s">
        <v>103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B29" s="8" t="s">
        <v>104</v>
      </c>
      <c r="C29" s="49">
        <v>30.0</v>
      </c>
      <c r="D29" s="49">
        <v>70.0</v>
      </c>
      <c r="E29" s="49">
        <v>45.0</v>
      </c>
      <c r="F29" s="47">
        <v>30.0</v>
      </c>
      <c r="G29" s="56">
        <f t="shared" si="3"/>
        <v>-0.3333333333</v>
      </c>
      <c r="H29" s="57" t="s">
        <v>105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B30" s="8" t="s">
        <v>106</v>
      </c>
      <c r="C30" s="49">
        <v>345.0</v>
      </c>
      <c r="D30" s="49">
        <v>363.0</v>
      </c>
      <c r="E30" s="49">
        <v>375.0</v>
      </c>
      <c r="F30" s="47">
        <f>63+25*4</f>
        <v>163</v>
      </c>
      <c r="G30" s="56">
        <f t="shared" si="3"/>
        <v>-0.5653333333</v>
      </c>
      <c r="H30" s="23" t="s">
        <v>122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B31" s="8" t="s">
        <v>108</v>
      </c>
      <c r="C31" s="49">
        <v>676.0</v>
      </c>
      <c r="D31" s="49">
        <v>676.0</v>
      </c>
      <c r="E31" s="49">
        <v>676.0</v>
      </c>
      <c r="F31" s="47">
        <v>580.0</v>
      </c>
      <c r="G31" s="56">
        <f t="shared" si="3"/>
        <v>-0.1420118343</v>
      </c>
      <c r="H31" s="23" t="s">
        <v>123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B32" s="8" t="s">
        <v>111</v>
      </c>
      <c r="C32" s="49">
        <v>3400.0</v>
      </c>
      <c r="D32" s="49">
        <v>3400.0</v>
      </c>
      <c r="E32" s="49">
        <v>3400.0</v>
      </c>
      <c r="F32" s="47">
        <v>2450.0</v>
      </c>
      <c r="G32" s="56">
        <f t="shared" si="3"/>
        <v>-0.2794117647</v>
      </c>
      <c r="H32" s="23" t="s">
        <v>112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B33" s="8" t="s">
        <v>110</v>
      </c>
      <c r="C33" s="49">
        <v>244.0</v>
      </c>
      <c r="D33" s="49">
        <v>244.0</v>
      </c>
      <c r="E33" s="49">
        <v>244.0</v>
      </c>
      <c r="F33" s="47">
        <v>244.0</v>
      </c>
      <c r="G33" s="56">
        <f t="shared" si="3"/>
        <v>0</v>
      </c>
      <c r="H33" s="2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B34" s="8" t="s">
        <v>124</v>
      </c>
      <c r="C34" s="49">
        <v>0.0</v>
      </c>
      <c r="D34" s="49">
        <v>0.0</v>
      </c>
      <c r="E34" s="49">
        <v>48.0</v>
      </c>
      <c r="F34" s="47">
        <v>34.0</v>
      </c>
      <c r="G34" s="56">
        <f t="shared" si="3"/>
        <v>-0.2916666667</v>
      </c>
      <c r="H34" s="2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B35" s="8" t="s">
        <v>125</v>
      </c>
      <c r="C35" s="49">
        <v>526.0</v>
      </c>
      <c r="D35" s="49">
        <v>526.0</v>
      </c>
      <c r="E35" s="49">
        <v>544.0</v>
      </c>
      <c r="F35" s="47">
        <v>544.0</v>
      </c>
      <c r="G35" s="56">
        <f t="shared" si="3"/>
        <v>0</v>
      </c>
      <c r="H35" s="23" t="s">
        <v>126</v>
      </c>
      <c r="I35" s="40" t="s">
        <v>127</v>
      </c>
      <c r="J35" s="3"/>
      <c r="K35" s="40" t="s">
        <v>128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B36" s="8" t="s">
        <v>129</v>
      </c>
      <c r="C36" s="49">
        <v>77.0</v>
      </c>
      <c r="D36" s="49">
        <v>77.0</v>
      </c>
      <c r="E36" s="49">
        <v>38.0</v>
      </c>
      <c r="F36" s="47">
        <v>38.0</v>
      </c>
      <c r="G36" s="56">
        <f t="shared" si="3"/>
        <v>0</v>
      </c>
      <c r="H36" s="2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B37" s="8" t="s">
        <v>113</v>
      </c>
      <c r="C37" s="49">
        <v>0.0</v>
      </c>
      <c r="D37" s="49">
        <v>0.0</v>
      </c>
      <c r="E37" s="49">
        <v>26.0</v>
      </c>
      <c r="F37" s="47">
        <v>0.0</v>
      </c>
      <c r="G37" s="56">
        <f t="shared" si="3"/>
        <v>-1</v>
      </c>
      <c r="H37" s="23" t="s">
        <v>114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B38" s="8" t="s">
        <v>130</v>
      </c>
      <c r="C38" s="16">
        <v>405.0</v>
      </c>
      <c r="D38" s="16">
        <v>405.0</v>
      </c>
      <c r="E38" s="16">
        <v>606.0</v>
      </c>
      <c r="F38" s="47">
        <v>405.0</v>
      </c>
      <c r="G38" s="56">
        <f t="shared" si="3"/>
        <v>-0.3316831683</v>
      </c>
      <c r="H38" s="23" t="s">
        <v>131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B39" s="8" t="s">
        <v>115</v>
      </c>
      <c r="C39" s="16">
        <v>0.0</v>
      </c>
      <c r="D39" s="16">
        <v>0.0</v>
      </c>
      <c r="E39" s="16">
        <v>38.0</v>
      </c>
      <c r="F39" s="47">
        <v>43.5</v>
      </c>
      <c r="G39" s="56">
        <f t="shared" si="3"/>
        <v>0.1447368421</v>
      </c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B40" s="8" t="s">
        <v>117</v>
      </c>
      <c r="C40" s="49">
        <v>0.0</v>
      </c>
      <c r="D40" s="49">
        <v>0.0</v>
      </c>
      <c r="E40" s="49">
        <v>130.0</v>
      </c>
      <c r="F40" s="47">
        <v>0.0</v>
      </c>
      <c r="G40" s="56">
        <f t="shared" si="3"/>
        <v>-1</v>
      </c>
      <c r="H40" s="23" t="s">
        <v>114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59"/>
      <c r="B41" s="19" t="s">
        <v>17</v>
      </c>
      <c r="C41" s="20">
        <f t="shared" ref="C41:F41" si="4">SUM(C3:C40)</f>
        <v>16053</v>
      </c>
      <c r="D41" s="20">
        <f t="shared" si="4"/>
        <v>16265</v>
      </c>
      <c r="E41" s="20">
        <f t="shared" si="4"/>
        <v>15915</v>
      </c>
      <c r="F41" s="20">
        <f t="shared" si="4"/>
        <v>11720.91</v>
      </c>
      <c r="G41" s="52">
        <f t="shared" si="3"/>
        <v>-0.2635306315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59"/>
      <c r="B43" s="60" t="s">
        <v>132</v>
      </c>
      <c r="C43" s="61"/>
      <c r="D43" s="62">
        <f t="shared" ref="D43:F43" si="5">(C41-D41)*2</f>
        <v>-424</v>
      </c>
      <c r="E43" s="62">
        <f t="shared" si="5"/>
        <v>700</v>
      </c>
      <c r="F43" s="62">
        <f t="shared" si="5"/>
        <v>8388.18</v>
      </c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63"/>
      <c r="B45" s="64" t="s">
        <v>19</v>
      </c>
      <c r="C45" s="65"/>
      <c r="D45" s="2"/>
      <c r="E45" s="2"/>
      <c r="F45" s="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63"/>
      <c r="B46" s="64" t="s">
        <v>20</v>
      </c>
      <c r="C46" s="66"/>
      <c r="D46" s="2"/>
      <c r="E46" s="2"/>
      <c r="F46" s="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</sheetData>
  <mergeCells count="2">
    <mergeCell ref="A3:A19"/>
    <mergeCell ref="A20:A4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9.86"/>
    <col customWidth="1" min="2" max="2" width="16.0"/>
    <col customWidth="1" min="6" max="6" width="30.71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7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133</v>
      </c>
      <c r="B3" s="67">
        <f>17*16</f>
        <v>272</v>
      </c>
      <c r="C3" s="22">
        <f>13*16</f>
        <v>208</v>
      </c>
      <c r="D3" s="11">
        <f t="shared" ref="D3:D13" si="1">(C3-B3)/B3</f>
        <v>-0.2352941176</v>
      </c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134</v>
      </c>
      <c r="B4" s="67">
        <f>12*8+4*10</f>
        <v>136</v>
      </c>
      <c r="C4" s="22">
        <f>16*10</f>
        <v>160</v>
      </c>
      <c r="D4" s="11">
        <f t="shared" si="1"/>
        <v>0.1764705882</v>
      </c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135</v>
      </c>
      <c r="B5" s="68">
        <f>2*89</f>
        <v>178</v>
      </c>
      <c r="C5" s="22">
        <f>2*30</f>
        <v>60</v>
      </c>
      <c r="D5" s="15">
        <f t="shared" si="1"/>
        <v>-0.6629213483</v>
      </c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136</v>
      </c>
      <c r="B6" s="16">
        <f>2*81</f>
        <v>162</v>
      </c>
      <c r="C6" s="22">
        <f>2*32</f>
        <v>64</v>
      </c>
      <c r="D6" s="15">
        <f t="shared" si="1"/>
        <v>-0.6049382716</v>
      </c>
      <c r="E6" s="12"/>
      <c r="F6" s="3"/>
      <c r="G6" s="40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137</v>
      </c>
      <c r="B7" s="16">
        <f>2*205</f>
        <v>410</v>
      </c>
      <c r="C7" s="22">
        <f>2*57</f>
        <v>114</v>
      </c>
      <c r="D7" s="15">
        <f t="shared" si="1"/>
        <v>-0.7219512195</v>
      </c>
      <c r="E7" s="1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138</v>
      </c>
      <c r="B8" s="16">
        <f>2*144</f>
        <v>288</v>
      </c>
      <c r="C8" s="24">
        <f>2*74</f>
        <v>148</v>
      </c>
      <c r="D8" s="15">
        <f t="shared" si="1"/>
        <v>-0.4861111111</v>
      </c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139</v>
      </c>
      <c r="B9" s="13">
        <f>32*16+38*12+36*4</f>
        <v>1112</v>
      </c>
      <c r="C9" s="24">
        <f>22*12+10*21</f>
        <v>474</v>
      </c>
      <c r="D9" s="15">
        <f t="shared" si="1"/>
        <v>-0.5737410072</v>
      </c>
      <c r="E9" s="1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140</v>
      </c>
      <c r="B10" s="69">
        <f>3*32+24*4</f>
        <v>192</v>
      </c>
      <c r="C10" s="22">
        <f>40*1+3*8</f>
        <v>64</v>
      </c>
      <c r="D10" s="15">
        <f t="shared" si="1"/>
        <v>-0.6666666667</v>
      </c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141</v>
      </c>
      <c r="B11" s="69">
        <f>24*8</f>
        <v>192</v>
      </c>
      <c r="C11" s="22">
        <f>24*4</f>
        <v>96</v>
      </c>
      <c r="D11" s="15">
        <f t="shared" si="1"/>
        <v>-0.5</v>
      </c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142</v>
      </c>
      <c r="B12" s="67">
        <f>12*29+4*17</f>
        <v>416</v>
      </c>
      <c r="C12" s="22">
        <f>16*17</f>
        <v>272</v>
      </c>
      <c r="D12" s="15">
        <f t="shared" si="1"/>
        <v>-0.3461538462</v>
      </c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143</v>
      </c>
      <c r="B13" s="67">
        <f>2*478+2*50</f>
        <v>1056</v>
      </c>
      <c r="C13" s="70">
        <f>2*331*(0.008*0.008-0.006*0.006)/(0.0075*0.0075-0.006*0.006)</f>
        <v>915.3580247</v>
      </c>
      <c r="D13" s="15">
        <f t="shared" si="1"/>
        <v>-0.1331836887</v>
      </c>
      <c r="E13" s="46"/>
      <c r="F13" s="71" t="s">
        <v>144</v>
      </c>
      <c r="G13" s="3"/>
      <c r="H13" s="3"/>
      <c r="I13" s="3">
        <f>284+230+360+320+350+140+385+238+250+290+315</f>
        <v>3162</v>
      </c>
      <c r="J13" s="3">
        <f>I13*0.001*3.14*(0.008*0.008-0.006*0.006)</f>
        <v>0.00027800304</v>
      </c>
      <c r="K13" s="3">
        <f>1570*J13</f>
        <v>0.4364647728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65</v>
      </c>
      <c r="B14" s="67"/>
      <c r="C14" s="70"/>
      <c r="D14" s="15"/>
      <c r="E14" s="46"/>
      <c r="F14" s="7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17</v>
      </c>
      <c r="B15" s="20">
        <f t="shared" ref="B15:C15" si="2">SUM(B3:B13)</f>
        <v>4414</v>
      </c>
      <c r="C15" s="72">
        <f t="shared" si="2"/>
        <v>2575.358025</v>
      </c>
      <c r="D15" s="11">
        <f>(C15-B15)/B15</f>
        <v>-0.4165477969</v>
      </c>
      <c r="E15" s="12"/>
      <c r="F15" s="3"/>
      <c r="G15" s="3"/>
      <c r="H15" s="3"/>
      <c r="I15" s="3"/>
      <c r="J15" s="40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2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18</v>
      </c>
      <c r="B17" s="72">
        <f>B15-C15</f>
        <v>1838.641975</v>
      </c>
      <c r="C17" s="2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19</v>
      </c>
      <c r="B19" s="2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20</v>
      </c>
      <c r="B20" s="24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38.71"/>
  </cols>
  <sheetData>
    <row r="1">
      <c r="A1" s="2"/>
      <c r="B1" s="1"/>
      <c r="C1" s="1"/>
      <c r="D1" s="1"/>
      <c r="E1" s="1"/>
      <c r="F1" s="1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73" t="s">
        <v>145</v>
      </c>
      <c r="B2" s="74" t="s">
        <v>0</v>
      </c>
      <c r="C2" s="75" t="s">
        <v>146</v>
      </c>
      <c r="D2" s="75" t="s">
        <v>4</v>
      </c>
      <c r="E2" s="75" t="s">
        <v>147</v>
      </c>
      <c r="F2" s="75" t="s">
        <v>3</v>
      </c>
      <c r="G2" s="74" t="s">
        <v>5</v>
      </c>
      <c r="H2" s="74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76" t="s">
        <v>148</v>
      </c>
      <c r="B3" s="77" t="s">
        <v>149</v>
      </c>
      <c r="C3" s="78">
        <v>1500.0</v>
      </c>
      <c r="D3" s="78">
        <v>1500.0</v>
      </c>
      <c r="E3" s="78">
        <v>1500.0</v>
      </c>
      <c r="F3" s="78">
        <v>1500.0</v>
      </c>
      <c r="G3" s="78">
        <v>940.0</v>
      </c>
      <c r="H3" s="78">
        <v>940.0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36.75" customHeight="1">
      <c r="A4" s="79"/>
      <c r="B4" s="77" t="s">
        <v>150</v>
      </c>
      <c r="C4" s="78">
        <v>178.0</v>
      </c>
      <c r="D4" s="78">
        <v>118.0</v>
      </c>
      <c r="E4" s="78">
        <v>306.0</v>
      </c>
      <c r="F4" s="78">
        <v>178.0</v>
      </c>
      <c r="G4" s="78">
        <v>88.0</v>
      </c>
      <c r="H4" s="78">
        <v>62.0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9"/>
      <c r="B5" s="77" t="s">
        <v>151</v>
      </c>
      <c r="C5" s="78">
        <v>52.0</v>
      </c>
      <c r="D5" s="78">
        <v>62.0</v>
      </c>
      <c r="E5" s="78">
        <v>52.0</v>
      </c>
      <c r="F5" s="78">
        <v>96.0</v>
      </c>
      <c r="G5" s="78">
        <v>84.0</v>
      </c>
      <c r="H5" s="78">
        <v>84.0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9"/>
      <c r="B6" s="77" t="s">
        <v>152</v>
      </c>
      <c r="C6" s="78">
        <v>32.0</v>
      </c>
      <c r="D6" s="78">
        <v>32.0</v>
      </c>
      <c r="E6" s="78">
        <v>32.0</v>
      </c>
      <c r="F6" s="78">
        <v>32.0</v>
      </c>
      <c r="G6" s="78">
        <v>56.0</v>
      </c>
      <c r="H6" s="78">
        <v>56.0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79"/>
      <c r="B7" s="77" t="s">
        <v>153</v>
      </c>
      <c r="C7" s="78">
        <v>12.0</v>
      </c>
      <c r="D7" s="78">
        <v>12.0</v>
      </c>
      <c r="E7" s="78">
        <v>12.0</v>
      </c>
      <c r="F7" s="78">
        <v>12.0</v>
      </c>
      <c r="G7" s="78">
        <v>12.0</v>
      </c>
      <c r="H7" s="78">
        <v>12.0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79"/>
      <c r="B8" s="77" t="s">
        <v>154</v>
      </c>
      <c r="C8" s="78">
        <v>4.0</v>
      </c>
      <c r="D8" s="78">
        <v>4.0</v>
      </c>
      <c r="E8" s="78">
        <v>4.0</v>
      </c>
      <c r="F8" s="78">
        <v>4.0</v>
      </c>
      <c r="G8" s="78">
        <v>4.0</v>
      </c>
      <c r="H8" s="78">
        <v>4.0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80" t="s">
        <v>155</v>
      </c>
      <c r="B9" s="77" t="s">
        <v>156</v>
      </c>
      <c r="C9" s="78">
        <v>445.0</v>
      </c>
      <c r="D9" s="78">
        <v>122.0</v>
      </c>
      <c r="E9" s="81">
        <v>197.0</v>
      </c>
      <c r="F9" s="81">
        <v>120.0</v>
      </c>
      <c r="G9" s="78">
        <v>268.0</v>
      </c>
      <c r="H9" s="78">
        <v>90.0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79"/>
      <c r="B10" s="77" t="s">
        <v>157</v>
      </c>
      <c r="C10" s="78">
        <v>45.0</v>
      </c>
      <c r="D10" s="78">
        <v>0.0</v>
      </c>
      <c r="E10" s="81">
        <v>0.0</v>
      </c>
      <c r="F10" s="81">
        <v>0.0</v>
      </c>
      <c r="G10" s="78">
        <v>80.0</v>
      </c>
      <c r="H10" s="78">
        <v>20.0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82"/>
      <c r="B11" s="77" t="s">
        <v>158</v>
      </c>
      <c r="C11" s="78">
        <v>174.0</v>
      </c>
      <c r="D11" s="78">
        <v>179.0</v>
      </c>
      <c r="E11" s="81">
        <v>60.0</v>
      </c>
      <c r="F11" s="81">
        <v>60.0</v>
      </c>
      <c r="G11" s="78">
        <v>225.0</v>
      </c>
      <c r="H11" s="78">
        <v>56.0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83" t="s">
        <v>159</v>
      </c>
      <c r="B12" s="77" t="s">
        <v>160</v>
      </c>
      <c r="C12" s="78">
        <v>97.0</v>
      </c>
      <c r="D12" s="78">
        <v>97.0</v>
      </c>
      <c r="E12" s="78">
        <v>97.0</v>
      </c>
      <c r="F12" s="78">
        <v>97.0</v>
      </c>
      <c r="G12" s="78">
        <v>97.0</v>
      </c>
      <c r="H12" s="78">
        <v>97.0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84" t="s">
        <v>161</v>
      </c>
      <c r="B13" s="77" t="s">
        <v>162</v>
      </c>
      <c r="C13" s="78">
        <v>440.0</v>
      </c>
      <c r="D13" s="78">
        <v>695.0</v>
      </c>
      <c r="E13" s="78">
        <v>485.0</v>
      </c>
      <c r="F13" s="78">
        <v>440.0</v>
      </c>
      <c r="G13" s="78">
        <v>440.0</v>
      </c>
      <c r="H13" s="78">
        <v>330.0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85"/>
      <c r="B14" s="77" t="s">
        <v>163</v>
      </c>
      <c r="C14" s="78">
        <v>0.0</v>
      </c>
      <c r="D14" s="78">
        <v>0.0</v>
      </c>
      <c r="E14" s="78">
        <v>0.0</v>
      </c>
      <c r="F14" s="78">
        <v>58.0</v>
      </c>
      <c r="G14" s="78">
        <v>58.0</v>
      </c>
      <c r="H14" s="78">
        <v>43.0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85"/>
      <c r="B15" s="77" t="s">
        <v>164</v>
      </c>
      <c r="C15" s="78">
        <v>300.0</v>
      </c>
      <c r="D15" s="78">
        <v>300.0</v>
      </c>
      <c r="E15" s="78">
        <v>0.0</v>
      </c>
      <c r="F15" s="78">
        <v>300.0</v>
      </c>
      <c r="G15" s="78">
        <v>300.0</v>
      </c>
      <c r="H15" s="78">
        <v>300.0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85"/>
      <c r="B16" s="77" t="s">
        <v>152</v>
      </c>
      <c r="C16" s="78">
        <v>42.0</v>
      </c>
      <c r="D16" s="78">
        <v>42.0</v>
      </c>
      <c r="E16" s="78">
        <v>42.0</v>
      </c>
      <c r="F16" s="78">
        <v>42.0</v>
      </c>
      <c r="G16" s="78">
        <v>42.0</v>
      </c>
      <c r="H16" s="78">
        <v>42.0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85"/>
      <c r="B17" s="77" t="s">
        <v>153</v>
      </c>
      <c r="C17" s="78">
        <v>9.0</v>
      </c>
      <c r="D17" s="78">
        <v>9.0</v>
      </c>
      <c r="E17" s="78">
        <v>9.0</v>
      </c>
      <c r="F17" s="78">
        <v>9.0</v>
      </c>
      <c r="G17" s="78">
        <v>9.0</v>
      </c>
      <c r="H17" s="78">
        <v>9.0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86"/>
      <c r="B18" s="77" t="s">
        <v>154</v>
      </c>
      <c r="C18" s="78">
        <v>3.0</v>
      </c>
      <c r="D18" s="78">
        <v>3.0</v>
      </c>
      <c r="E18" s="78">
        <v>3.0</v>
      </c>
      <c r="F18" s="78">
        <v>3.0</v>
      </c>
      <c r="G18" s="78">
        <v>3.0</v>
      </c>
      <c r="H18" s="78">
        <v>3.0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87" t="s">
        <v>165</v>
      </c>
      <c r="B19" s="77" t="s">
        <v>166</v>
      </c>
      <c r="C19" s="78">
        <v>40.0</v>
      </c>
      <c r="D19" s="78">
        <v>72.0</v>
      </c>
      <c r="E19" s="78">
        <v>72.0</v>
      </c>
      <c r="F19" s="78">
        <v>72.0</v>
      </c>
      <c r="G19" s="78">
        <v>40.0</v>
      </c>
      <c r="H19" s="78">
        <v>40.0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85"/>
      <c r="B20" s="77" t="s">
        <v>167</v>
      </c>
      <c r="C20" s="78">
        <v>312.0</v>
      </c>
      <c r="D20" s="78">
        <v>482.0</v>
      </c>
      <c r="E20" s="78">
        <v>476.0</v>
      </c>
      <c r="F20" s="78">
        <v>316.0</v>
      </c>
      <c r="G20" s="78">
        <v>80.0</v>
      </c>
      <c r="H20" s="78">
        <v>94.0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85"/>
      <c r="B21" s="77" t="s">
        <v>168</v>
      </c>
      <c r="C21" s="78">
        <v>8.0</v>
      </c>
      <c r="D21" s="78">
        <v>8.0</v>
      </c>
      <c r="E21" s="78">
        <v>8.0</v>
      </c>
      <c r="F21" s="78">
        <v>16.0</v>
      </c>
      <c r="G21" s="78">
        <v>16.0</v>
      </c>
      <c r="H21" s="78">
        <v>16.0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85"/>
      <c r="B22" s="77" t="s">
        <v>169</v>
      </c>
      <c r="C22" s="78">
        <v>152.0</v>
      </c>
      <c r="D22" s="78">
        <v>152.0</v>
      </c>
      <c r="E22" s="78">
        <v>152.0</v>
      </c>
      <c r="F22" s="78">
        <v>152.0</v>
      </c>
      <c r="G22" s="78">
        <v>88.0</v>
      </c>
      <c r="H22" s="78">
        <v>88.0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85"/>
      <c r="B23" s="77" t="s">
        <v>170</v>
      </c>
      <c r="C23" s="78">
        <v>52.0</v>
      </c>
      <c r="D23" s="78">
        <v>52.0</v>
      </c>
      <c r="E23" s="78">
        <v>52.0</v>
      </c>
      <c r="F23" s="78">
        <v>52.0</v>
      </c>
      <c r="G23" s="78">
        <v>52.0</v>
      </c>
      <c r="H23" s="78">
        <v>52.0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85"/>
      <c r="B24" s="77" t="s">
        <v>153</v>
      </c>
      <c r="C24" s="78">
        <v>12.0</v>
      </c>
      <c r="D24" s="78">
        <v>12.0</v>
      </c>
      <c r="E24" s="78">
        <v>12.0</v>
      </c>
      <c r="F24" s="78">
        <v>12.0</v>
      </c>
      <c r="G24" s="78">
        <v>12.0</v>
      </c>
      <c r="H24" s="78">
        <v>12.0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85"/>
      <c r="B25" s="77" t="s">
        <v>154</v>
      </c>
      <c r="C25" s="78">
        <v>8.0</v>
      </c>
      <c r="D25" s="78">
        <v>8.0</v>
      </c>
      <c r="E25" s="78">
        <v>8.0</v>
      </c>
      <c r="F25" s="78">
        <v>8.0</v>
      </c>
      <c r="G25" s="78">
        <v>8.0</v>
      </c>
      <c r="H25" s="78">
        <v>8.0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85"/>
      <c r="B26" s="77" t="s">
        <v>171</v>
      </c>
      <c r="C26" s="78">
        <v>4.0</v>
      </c>
      <c r="D26" s="78">
        <v>4.0</v>
      </c>
      <c r="E26" s="78">
        <v>4.0</v>
      </c>
      <c r="F26" s="78">
        <v>4.0</v>
      </c>
      <c r="G26" s="78">
        <v>4.0</v>
      </c>
      <c r="H26" s="78">
        <v>4.0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85"/>
      <c r="B27" s="77" t="s">
        <v>172</v>
      </c>
      <c r="C27" s="78">
        <v>4.0</v>
      </c>
      <c r="D27" s="78">
        <v>4.0</v>
      </c>
      <c r="E27" s="78">
        <v>4.0</v>
      </c>
      <c r="F27" s="78">
        <v>4.0</v>
      </c>
      <c r="G27" s="78">
        <v>4.0</v>
      </c>
      <c r="H27" s="78">
        <v>4.0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88" t="s">
        <v>173</v>
      </c>
      <c r="B28" s="77" t="s">
        <v>174</v>
      </c>
      <c r="C28" s="78">
        <v>128.0</v>
      </c>
      <c r="D28" s="78">
        <v>128.0</v>
      </c>
      <c r="E28" s="78">
        <v>172.0</v>
      </c>
      <c r="F28" s="78">
        <v>342.0</v>
      </c>
      <c r="G28" s="78">
        <v>127.0</v>
      </c>
      <c r="H28" s="78">
        <v>127.0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85"/>
      <c r="B29" s="77" t="s">
        <v>175</v>
      </c>
      <c r="C29" s="78">
        <v>300.0</v>
      </c>
      <c r="D29" s="78">
        <v>370.0</v>
      </c>
      <c r="E29" s="78">
        <v>313.0</v>
      </c>
      <c r="F29" s="78">
        <v>313.0</v>
      </c>
      <c r="G29" s="78">
        <v>147.0</v>
      </c>
      <c r="H29" s="78">
        <v>147.0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85"/>
      <c r="B30" s="77" t="s">
        <v>176</v>
      </c>
      <c r="C30" s="78">
        <v>118.0</v>
      </c>
      <c r="D30" s="78">
        <v>118.0</v>
      </c>
      <c r="E30" s="78">
        <v>118.0</v>
      </c>
      <c r="F30" s="78">
        <v>118.0</v>
      </c>
      <c r="G30" s="78">
        <v>118.0</v>
      </c>
      <c r="H30" s="78">
        <v>118.0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85"/>
      <c r="B31" s="77" t="s">
        <v>177</v>
      </c>
      <c r="C31" s="78">
        <v>239.0</v>
      </c>
      <c r="D31" s="78">
        <v>0.0</v>
      </c>
      <c r="E31" s="78">
        <v>166.0</v>
      </c>
      <c r="F31" s="81">
        <v>190.0</v>
      </c>
      <c r="G31" s="78">
        <v>190.0</v>
      </c>
      <c r="H31" s="78">
        <v>170.0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85"/>
      <c r="B32" s="77" t="s">
        <v>178</v>
      </c>
      <c r="C32" s="78">
        <v>4.0</v>
      </c>
      <c r="D32" s="78">
        <v>4.0</v>
      </c>
      <c r="E32" s="78">
        <v>4.0</v>
      </c>
      <c r="F32" s="78">
        <v>4.0</v>
      </c>
      <c r="G32" s="78">
        <v>4.0</v>
      </c>
      <c r="H32" s="78">
        <v>4.0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86"/>
      <c r="B33" s="77" t="s">
        <v>179</v>
      </c>
      <c r="C33" s="78">
        <v>50.0</v>
      </c>
      <c r="D33" s="78">
        <v>50.0</v>
      </c>
      <c r="E33" s="78">
        <v>50.0</v>
      </c>
      <c r="F33" s="78">
        <v>50.0</v>
      </c>
      <c r="G33" s="78">
        <v>50.0</v>
      </c>
      <c r="H33" s="78">
        <v>50.0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88" t="s">
        <v>180</v>
      </c>
      <c r="B34" s="77" t="s">
        <v>181</v>
      </c>
      <c r="C34" s="78">
        <v>350.0</v>
      </c>
      <c r="D34" s="78">
        <v>285.0</v>
      </c>
      <c r="E34" s="78">
        <v>699.0</v>
      </c>
      <c r="F34" s="78">
        <v>440.0</v>
      </c>
      <c r="G34" s="78">
        <v>659.0</v>
      </c>
      <c r="H34" s="78">
        <v>246.0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85"/>
      <c r="B35" s="77" t="s">
        <v>182</v>
      </c>
      <c r="C35" s="78">
        <v>16.0</v>
      </c>
      <c r="D35" s="78">
        <v>16.0</v>
      </c>
      <c r="E35" s="78">
        <v>16.0</v>
      </c>
      <c r="F35" s="78">
        <v>16.0</v>
      </c>
      <c r="G35" s="78">
        <v>16.0</v>
      </c>
      <c r="H35" s="78">
        <v>16.0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85"/>
      <c r="B36" s="77" t="s">
        <v>183</v>
      </c>
      <c r="C36" s="78">
        <v>4.0</v>
      </c>
      <c r="D36" s="78">
        <v>4.0</v>
      </c>
      <c r="E36" s="78">
        <v>4.0</v>
      </c>
      <c r="F36" s="78">
        <v>4.0</v>
      </c>
      <c r="G36" s="78">
        <v>4.0</v>
      </c>
      <c r="H36" s="78">
        <v>4.0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86"/>
      <c r="B37" s="77" t="s">
        <v>184</v>
      </c>
      <c r="C37" s="78">
        <v>4.0</v>
      </c>
      <c r="D37" s="78">
        <v>4.0</v>
      </c>
      <c r="E37" s="78">
        <v>4.0</v>
      </c>
      <c r="F37" s="78">
        <v>4.0</v>
      </c>
      <c r="G37" s="78">
        <v>4.0</v>
      </c>
      <c r="H37" s="78">
        <v>4.0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59"/>
      <c r="B38" s="89" t="s">
        <v>17</v>
      </c>
      <c r="C38" s="45">
        <f t="shared" ref="C38:H38" si="1">sum(C3:C37)</f>
        <v>5138</v>
      </c>
      <c r="D38" s="45">
        <f t="shared" si="1"/>
        <v>4948</v>
      </c>
      <c r="E38" s="45">
        <f t="shared" si="1"/>
        <v>5133</v>
      </c>
      <c r="F38" s="45">
        <f t="shared" si="1"/>
        <v>5068</v>
      </c>
      <c r="G38" s="45">
        <f t="shared" si="1"/>
        <v>4329</v>
      </c>
      <c r="H38" s="45">
        <f t="shared" si="1"/>
        <v>3352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90"/>
      <c r="B39" s="60" t="s">
        <v>185</v>
      </c>
      <c r="C39" s="61"/>
      <c r="D39" s="45">
        <f t="shared" ref="D39:H39" si="2">C38-D38</f>
        <v>190</v>
      </c>
      <c r="E39" s="45">
        <f t="shared" si="2"/>
        <v>-185</v>
      </c>
      <c r="F39" s="45">
        <f t="shared" si="2"/>
        <v>65</v>
      </c>
      <c r="G39" s="45">
        <f t="shared" si="2"/>
        <v>739</v>
      </c>
      <c r="H39" s="45">
        <f t="shared" si="2"/>
        <v>977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64" t="s">
        <v>19</v>
      </c>
      <c r="D41" s="6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64" t="s">
        <v>20</v>
      </c>
      <c r="D42" s="6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</sheetData>
  <mergeCells count="6">
    <mergeCell ref="A3:A8"/>
    <mergeCell ref="A9:A11"/>
    <mergeCell ref="A13:A18"/>
    <mergeCell ref="A19:A27"/>
    <mergeCell ref="A28:A33"/>
    <mergeCell ref="A34:A3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43.71"/>
    <col customWidth="1" min="2" max="2" width="12.86"/>
  </cols>
  <sheetData>
    <row r="1">
      <c r="A1" s="91" t="s">
        <v>186</v>
      </c>
      <c r="B1" s="92"/>
      <c r="C1" s="92"/>
      <c r="D1" s="9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4" t="s">
        <v>29</v>
      </c>
      <c r="B2" s="95" t="s">
        <v>23</v>
      </c>
      <c r="C2" s="95" t="s">
        <v>24</v>
      </c>
      <c r="D2" s="94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0" t="s">
        <v>187</v>
      </c>
      <c r="B3" s="30">
        <v>38.1</v>
      </c>
      <c r="C3" s="31">
        <v>35.0</v>
      </c>
      <c r="D3" s="37">
        <v>31.5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0" t="s">
        <v>188</v>
      </c>
      <c r="B4" s="31">
        <f>Equipement!B9</f>
        <v>6.4844</v>
      </c>
      <c r="C4" s="31">
        <v>5.0</v>
      </c>
      <c r="D4" s="31">
        <f>Equipement!C9</f>
        <v>5.5994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0" t="s">
        <v>189</v>
      </c>
      <c r="B5" s="30">
        <v>1.5</v>
      </c>
      <c r="C5" s="31">
        <v>1.5</v>
      </c>
      <c r="D5" s="31">
        <v>1.5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0" t="s">
        <v>190</v>
      </c>
      <c r="B6" s="30">
        <f>Carrosserie!B10*0.001</f>
        <v>17.031</v>
      </c>
      <c r="C6" s="31">
        <v>10.0</v>
      </c>
      <c r="D6" s="31">
        <f>Carrosserie!C10*0.001</f>
        <v>7.76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0" t="s">
        <v>191</v>
      </c>
      <c r="B7" s="30">
        <v>0.0</v>
      </c>
      <c r="C7" s="31">
        <v>0.0</v>
      </c>
      <c r="D7" s="31">
        <v>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0" t="s">
        <v>192</v>
      </c>
      <c r="B8" s="30">
        <v>0.55</v>
      </c>
      <c r="C8" s="31">
        <v>0.2</v>
      </c>
      <c r="D8" s="31">
        <v>0.14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1"/>
      <c r="B9" s="27"/>
      <c r="C9" s="41"/>
      <c r="D9" s="2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0" t="s">
        <v>42</v>
      </c>
      <c r="B10" s="31">
        <f t="shared" ref="B10:C10" si="1">SUM(B3:B7)</f>
        <v>63.1154</v>
      </c>
      <c r="C10" s="44">
        <f t="shared" si="1"/>
        <v>51.5</v>
      </c>
      <c r="D10" s="96">
        <f>SUM(D3:D8)</f>
        <v>46.4994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97"/>
      <c r="D11" s="97"/>
      <c r="E11" s="9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98"/>
      <c r="C15" s="40" t="s">
        <v>193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3">
    <mergeCell ref="A9:B9"/>
    <mergeCell ref="C9:D9"/>
    <mergeCell ref="A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8" width="16.43"/>
    <col customWidth="1" min="9" max="9" width="21.0"/>
    <col customWidth="1" min="10" max="25" width="16.43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0</v>
      </c>
      <c r="B2" s="5" t="s">
        <v>194</v>
      </c>
      <c r="C2" s="5" t="s">
        <v>195</v>
      </c>
      <c r="D2" s="7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196</v>
      </c>
      <c r="B3" s="16">
        <v>37.5</v>
      </c>
      <c r="C3" s="49">
        <v>31.5</v>
      </c>
      <c r="D3" s="15">
        <f>(C3-B3)/B3</f>
        <v>-0.16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9" t="s">
        <v>18</v>
      </c>
      <c r="B5" s="20">
        <f>B3-C3</f>
        <v>6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21" t="s">
        <v>19</v>
      </c>
      <c r="B8" s="2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21" t="s">
        <v>20</v>
      </c>
      <c r="B9" s="24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6" width="16.43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194</v>
      </c>
      <c r="C2" s="5" t="s">
        <v>195</v>
      </c>
      <c r="D2" s="7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197</v>
      </c>
      <c r="B3" s="16">
        <v>0.5</v>
      </c>
      <c r="C3" s="49">
        <v>0.5</v>
      </c>
      <c r="D3" s="15">
        <f t="shared" ref="D3:D7" si="1">(C3-B3)/B3</f>
        <v>0</v>
      </c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198</v>
      </c>
      <c r="B4" s="16">
        <v>1.0</v>
      </c>
      <c r="C4" s="49">
        <v>1.0</v>
      </c>
      <c r="D4" s="15">
        <f t="shared" si="1"/>
        <v>0</v>
      </c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199</v>
      </c>
      <c r="B5" s="16">
        <f>1.52+360*4*0.001*0.01</f>
        <v>1.5344</v>
      </c>
      <c r="C5" s="49">
        <f>1.528+360*4*0.001*0.01</f>
        <v>1.5424</v>
      </c>
      <c r="D5" s="15">
        <f t="shared" si="1"/>
        <v>0.005213764338</v>
      </c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200</v>
      </c>
      <c r="B6" s="16">
        <v>0.2</v>
      </c>
      <c r="C6" s="49">
        <v>0.2</v>
      </c>
      <c r="D6" s="15">
        <f t="shared" si="1"/>
        <v>0</v>
      </c>
      <c r="E6" s="1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201</v>
      </c>
      <c r="B7" s="16">
        <v>0.05</v>
      </c>
      <c r="C7" s="16">
        <v>0.05</v>
      </c>
      <c r="D7" s="15">
        <f t="shared" si="1"/>
        <v>0</v>
      </c>
      <c r="E7" s="1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202</v>
      </c>
      <c r="B8" s="16">
        <v>3.2</v>
      </c>
      <c r="C8" s="49">
        <v>2.307</v>
      </c>
      <c r="D8" s="15">
        <f>(B8-C8)/C8</f>
        <v>0.3870827915</v>
      </c>
      <c r="E8" s="12"/>
      <c r="F8" s="3"/>
      <c r="G8" s="3"/>
      <c r="H8" s="3"/>
      <c r="I8" s="3"/>
      <c r="J8" s="3"/>
      <c r="K8" s="40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 t="s">
        <v>17</v>
      </c>
      <c r="B9" s="20">
        <f t="shared" ref="B9:C9" si="2">SUM(B3:B8)</f>
        <v>6.4844</v>
      </c>
      <c r="C9" s="20">
        <f t="shared" si="2"/>
        <v>5.5994</v>
      </c>
      <c r="D9" s="11">
        <f>(C9-B9)/B9</f>
        <v>-0.1364814015</v>
      </c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9" t="s">
        <v>18</v>
      </c>
      <c r="B11" s="20">
        <f>B9-C9</f>
        <v>0.885</v>
      </c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19</v>
      </c>
      <c r="B13" s="2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20</v>
      </c>
      <c r="B14" s="24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16.43"/>
    <col customWidth="1" min="5" max="5" width="18.71"/>
    <col customWidth="1" min="6" max="26" width="16.43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74" t="s">
        <v>7</v>
      </c>
      <c r="E2" s="7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203</v>
      </c>
      <c r="B3" s="9">
        <v>4200.0</v>
      </c>
      <c r="C3" s="14">
        <v>2700.0</v>
      </c>
      <c r="D3" s="11">
        <f t="shared" ref="D3:D10" si="1">(C3-B3)/B3</f>
        <v>-0.3571428571</v>
      </c>
      <c r="E3" s="46" t="s">
        <v>204</v>
      </c>
      <c r="F3" s="4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205</v>
      </c>
      <c r="B4" s="16">
        <v>3400.0</v>
      </c>
      <c r="C4" s="47">
        <v>0.0</v>
      </c>
      <c r="D4" s="11">
        <f t="shared" si="1"/>
        <v>-1</v>
      </c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206</v>
      </c>
      <c r="B5" s="16">
        <v>600.0</v>
      </c>
      <c r="C5" s="14">
        <v>1000.0</v>
      </c>
      <c r="D5" s="11">
        <f t="shared" si="1"/>
        <v>0.6666666667</v>
      </c>
      <c r="E5" s="12"/>
      <c r="F5" s="4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207</v>
      </c>
      <c r="B6" s="16">
        <v>60.0</v>
      </c>
      <c r="C6" s="47">
        <v>60.0</v>
      </c>
      <c r="D6" s="11">
        <f t="shared" si="1"/>
        <v>0</v>
      </c>
      <c r="E6" s="12"/>
      <c r="F6" s="40"/>
      <c r="G6" s="40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208</v>
      </c>
      <c r="B7" s="16">
        <v>60.0</v>
      </c>
      <c r="C7" s="47">
        <v>0.0</v>
      </c>
      <c r="D7" s="11">
        <f t="shared" si="1"/>
        <v>-1</v>
      </c>
      <c r="E7" s="17"/>
      <c r="F7" s="4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209</v>
      </c>
      <c r="B8" s="16">
        <v>4641.0</v>
      </c>
      <c r="C8" s="48">
        <v>2000.0</v>
      </c>
      <c r="D8" s="11">
        <f t="shared" si="1"/>
        <v>-0.5690583926</v>
      </c>
      <c r="E8" s="18"/>
      <c r="F8" s="40"/>
      <c r="G8" s="4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210</v>
      </c>
      <c r="B9" s="49">
        <v>4070.0</v>
      </c>
      <c r="C9" s="14">
        <v>2000.0</v>
      </c>
      <c r="D9" s="11">
        <f t="shared" si="1"/>
        <v>-0.5085995086</v>
      </c>
      <c r="E9" s="46"/>
      <c r="F9" s="4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 t="s">
        <v>17</v>
      </c>
      <c r="B10" s="20">
        <f t="shared" ref="B10:C10" si="2">SUM(B3:B9)</f>
        <v>17031</v>
      </c>
      <c r="C10" s="20">
        <f t="shared" si="2"/>
        <v>7760</v>
      </c>
      <c r="D10" s="11">
        <f t="shared" si="1"/>
        <v>-0.5443602842</v>
      </c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2"/>
      <c r="D11" s="2"/>
      <c r="E11" s="2"/>
      <c r="F11" s="3"/>
      <c r="G11" s="4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9" t="s">
        <v>18</v>
      </c>
      <c r="B12" s="20">
        <f>B10-C10</f>
        <v>9271</v>
      </c>
      <c r="C12" s="23"/>
      <c r="D12" s="2"/>
      <c r="E12" s="2"/>
      <c r="F12" s="3"/>
      <c r="G12" s="4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19</v>
      </c>
      <c r="B14" s="2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20</v>
      </c>
      <c r="B15" s="24"/>
      <c r="C15" s="2"/>
      <c r="D15" s="23"/>
      <c r="E15" s="2"/>
      <c r="F15" s="3"/>
      <c r="G15" s="40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9.86"/>
  </cols>
  <sheetData>
    <row r="1">
      <c r="A1" s="25" t="s">
        <v>211</v>
      </c>
      <c r="B1" s="26"/>
      <c r="C1" s="26"/>
      <c r="D1" s="2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99" t="s">
        <v>22</v>
      </c>
      <c r="B2" s="100" t="s">
        <v>23</v>
      </c>
      <c r="C2" s="100" t="s">
        <v>24</v>
      </c>
      <c r="D2" s="101" t="s">
        <v>25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0" t="s">
        <v>212</v>
      </c>
      <c r="B3" s="31">
        <f>Admission!B13*0.001</f>
        <v>1.84</v>
      </c>
      <c r="C3" s="31">
        <v>1.4</v>
      </c>
      <c r="D3" s="31">
        <f>Admission!C13*0.001</f>
        <v>1.649</v>
      </c>
      <c r="E3" s="10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0" t="s">
        <v>213</v>
      </c>
      <c r="B4" s="31">
        <f>Echappement!B5*0.001</f>
        <v>4.5</v>
      </c>
      <c r="C4" s="31">
        <v>3.0</v>
      </c>
      <c r="D4" s="31">
        <f>Echappement!C5*0.001</f>
        <v>4.489</v>
      </c>
      <c r="E4" s="10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0" t="s">
        <v>214</v>
      </c>
      <c r="B5" s="31">
        <f>'Circuit carburant'!B9*0.001</f>
        <v>4</v>
      </c>
      <c r="C5" s="31">
        <v>3.0</v>
      </c>
      <c r="D5" s="103">
        <f>'Circuit carburant'!C9*0.001</f>
        <v>3.1</v>
      </c>
      <c r="E5" s="10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0" t="s">
        <v>215</v>
      </c>
      <c r="B6" s="31">
        <f>Refroidissement!B8/1000</f>
        <v>3.084</v>
      </c>
      <c r="C6" s="31">
        <v>3.0</v>
      </c>
      <c r="D6" s="31">
        <f>Refroidissement!C8*0.001</f>
        <v>2.78</v>
      </c>
      <c r="E6" s="10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0" t="s">
        <v>216</v>
      </c>
      <c r="B7" s="31">
        <f>'Transmission secondaire'!B15*0.001</f>
        <v>9.325</v>
      </c>
      <c r="C7" s="31">
        <v>8.0</v>
      </c>
      <c r="D7" s="97">
        <f>'Transmission secondaire'!C15*0.001</f>
        <v>7.79</v>
      </c>
      <c r="E7" s="10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0" t="s">
        <v>217</v>
      </c>
      <c r="B8" s="31">
        <v>64.0</v>
      </c>
      <c r="C8" s="31">
        <v>64.0</v>
      </c>
      <c r="D8" s="31">
        <v>64.0</v>
      </c>
      <c r="E8" s="10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1"/>
      <c r="B9" s="27"/>
      <c r="C9" s="41"/>
      <c r="D9" s="27"/>
      <c r="E9" s="10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0" t="s">
        <v>42</v>
      </c>
      <c r="B10" s="44">
        <f t="shared" ref="B10:D10" si="1">SUM(B3:B8)</f>
        <v>86.749</v>
      </c>
      <c r="C10" s="44">
        <f t="shared" si="1"/>
        <v>82.4</v>
      </c>
      <c r="D10" s="35">
        <f t="shared" si="1"/>
        <v>83.808</v>
      </c>
      <c r="E10" s="10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4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3">
    <mergeCell ref="A1:D1"/>
    <mergeCell ref="C9:D9"/>
    <mergeCell ref="A9:B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2.0"/>
    <col customWidth="1" min="2" max="4" width="17.29"/>
    <col customWidth="1" min="5" max="5" width="26.57"/>
    <col customWidth="1" min="6" max="26" width="17.29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7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5" t="s">
        <v>218</v>
      </c>
      <c r="B3" s="9">
        <v>1050.0</v>
      </c>
      <c r="C3" s="106">
        <v>350.0</v>
      </c>
      <c r="D3" s="11">
        <f t="shared" ref="D3:D4" si="1">(C3-B3)/B3</f>
        <v>-0.6666666667</v>
      </c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5" t="s">
        <v>219</v>
      </c>
      <c r="B4" s="20">
        <v>650.0</v>
      </c>
      <c r="C4" s="106">
        <v>350.0</v>
      </c>
      <c r="D4" s="11">
        <f t="shared" si="1"/>
        <v>-0.4615384615</v>
      </c>
      <c r="E4" s="12"/>
      <c r="F4" s="3"/>
      <c r="G4" s="45"/>
      <c r="H4" s="30" t="s">
        <v>220</v>
      </c>
      <c r="I4" s="45"/>
      <c r="J4" s="4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221</v>
      </c>
      <c r="B5" s="20"/>
      <c r="C5" s="9">
        <v>288.0</v>
      </c>
      <c r="D5" s="11"/>
      <c r="E5" s="12"/>
      <c r="F5" s="3"/>
      <c r="G5" s="45"/>
      <c r="H5" s="30"/>
      <c r="I5" s="45"/>
      <c r="J5" s="4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5" t="s">
        <v>222</v>
      </c>
      <c r="B6" s="20">
        <v>642.0</v>
      </c>
      <c r="C6" s="106">
        <v>290.0</v>
      </c>
      <c r="D6" s="11">
        <f t="shared" ref="D6:D11" si="2">(C6-B6)/B6</f>
        <v>-0.5482866044</v>
      </c>
      <c r="E6" s="12"/>
      <c r="F6" s="3"/>
      <c r="G6" s="45"/>
      <c r="H6" s="30" t="s">
        <v>223</v>
      </c>
      <c r="I6" s="30" t="s">
        <v>224</v>
      </c>
      <c r="J6" s="30" t="s">
        <v>225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5" t="s">
        <v>226</v>
      </c>
      <c r="B7" s="20">
        <v>835.0</v>
      </c>
      <c r="C7" s="106">
        <v>470.0</v>
      </c>
      <c r="D7" s="11">
        <f t="shared" si="2"/>
        <v>-0.4371257485</v>
      </c>
      <c r="E7" s="12"/>
      <c r="F7" s="3"/>
      <c r="G7" s="30" t="s">
        <v>23</v>
      </c>
      <c r="H7" s="30">
        <v>1050.0</v>
      </c>
      <c r="I7" s="107">
        <v>74.3</v>
      </c>
      <c r="J7" s="108" t="str">
        <f>I8/H8</f>
        <v>#REF!</v>
      </c>
      <c r="K7" s="40" t="s">
        <v>227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5" t="s">
        <v>228</v>
      </c>
      <c r="B8" s="20">
        <v>444.0</v>
      </c>
      <c r="C8" s="9">
        <v>372.0</v>
      </c>
      <c r="D8" s="11">
        <f t="shared" si="2"/>
        <v>-0.1621621622</v>
      </c>
      <c r="E8" s="46" t="s">
        <v>229</v>
      </c>
      <c r="F8" s="3"/>
      <c r="G8" s="30" t="s">
        <v>230</v>
      </c>
      <c r="H8" s="45">
        <f>1050-350</f>
        <v>700</v>
      </c>
      <c r="I8" s="30" t="str">
        <f>#REF!-I7</f>
        <v>#REF!</v>
      </c>
      <c r="J8" s="4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231</v>
      </c>
      <c r="B9" s="9">
        <f>45*2</f>
        <v>90</v>
      </c>
      <c r="C9" s="9">
        <f>28*2</f>
        <v>56</v>
      </c>
      <c r="D9" s="11">
        <f t="shared" si="2"/>
        <v>-0.3777777778</v>
      </c>
      <c r="E9" s="46" t="s">
        <v>232</v>
      </c>
      <c r="F9" s="3"/>
      <c r="G9" s="40"/>
      <c r="H9" s="3"/>
      <c r="I9" s="40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233</v>
      </c>
      <c r="B10" s="109">
        <v>520.0</v>
      </c>
      <c r="C10" s="109">
        <v>520.0</v>
      </c>
      <c r="D10" s="11">
        <f t="shared" si="2"/>
        <v>0</v>
      </c>
      <c r="E10" s="1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234</v>
      </c>
      <c r="B11" s="9">
        <v>881.0</v>
      </c>
      <c r="C11" s="9">
        <v>881.0</v>
      </c>
      <c r="D11" s="11">
        <f t="shared" si="2"/>
        <v>0</v>
      </c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235</v>
      </c>
      <c r="B12" s="9"/>
      <c r="C12" s="9"/>
      <c r="D12" s="11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236</v>
      </c>
      <c r="B13" s="109">
        <v>2084.0</v>
      </c>
      <c r="C13" s="9">
        <v>2084.0</v>
      </c>
      <c r="D13" s="11">
        <f t="shared" ref="D13:D15" si="3">(C13-B13)/B13</f>
        <v>0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237</v>
      </c>
      <c r="B14" s="109">
        <v>2129.0</v>
      </c>
      <c r="C14" s="9">
        <v>2129.0</v>
      </c>
      <c r="D14" s="11">
        <f t="shared" si="3"/>
        <v>0</v>
      </c>
      <c r="E14" s="1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17</v>
      </c>
      <c r="B15" s="20">
        <f t="shared" ref="B15:C15" si="4">SUM(B3:B14)</f>
        <v>9325</v>
      </c>
      <c r="C15" s="20">
        <f t="shared" si="4"/>
        <v>7790</v>
      </c>
      <c r="D15" s="11">
        <f t="shared" si="3"/>
        <v>-0.1646112601</v>
      </c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2"/>
      <c r="D16" s="2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18</v>
      </c>
      <c r="B17" s="20">
        <f>B15-C15</f>
        <v>1535</v>
      </c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19</v>
      </c>
      <c r="B19" s="2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20</v>
      </c>
      <c r="B20" s="24"/>
      <c r="C20" s="2"/>
      <c r="D20" s="23" t="s">
        <v>238</v>
      </c>
      <c r="E20" s="11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8.0"/>
    <col customWidth="1" min="2" max="2" width="15.71"/>
    <col customWidth="1" min="3" max="3" width="14.57"/>
    <col customWidth="1" min="4" max="4" width="10.43"/>
    <col customWidth="1" min="5" max="5" width="14.43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54" t="s">
        <v>7</v>
      </c>
      <c r="E2" s="5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 t="s">
        <v>239</v>
      </c>
      <c r="B3" s="62">
        <v>383.0</v>
      </c>
      <c r="C3" s="111">
        <v>280.0</v>
      </c>
      <c r="D3" s="11">
        <f t="shared" ref="D3:D11" si="1">(C3-B3)/B3</f>
        <v>-0.2689295039</v>
      </c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 t="s">
        <v>240</v>
      </c>
      <c r="B4" s="18">
        <v>408.0</v>
      </c>
      <c r="C4" s="112">
        <v>399.0</v>
      </c>
      <c r="D4" s="15">
        <f t="shared" si="1"/>
        <v>-0.02205882353</v>
      </c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0" t="s">
        <v>241</v>
      </c>
      <c r="B5" s="30">
        <v>583.0</v>
      </c>
      <c r="C5" s="30">
        <v>583.0</v>
      </c>
      <c r="D5" s="15">
        <f t="shared" si="1"/>
        <v>0</v>
      </c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0" t="s">
        <v>209</v>
      </c>
      <c r="B6" s="30">
        <v>177.0</v>
      </c>
      <c r="C6" s="30">
        <v>141.0</v>
      </c>
      <c r="D6" s="15">
        <f t="shared" si="1"/>
        <v>-0.2033898305</v>
      </c>
      <c r="E6" s="1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8" t="s">
        <v>242</v>
      </c>
      <c r="B7" s="18">
        <v>68.0</v>
      </c>
      <c r="C7" s="66">
        <f>26*2</f>
        <v>52</v>
      </c>
      <c r="D7" s="15">
        <f t="shared" si="1"/>
        <v>-0.2352941176</v>
      </c>
      <c r="E7" s="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8" t="s">
        <v>243</v>
      </c>
      <c r="B8" s="18">
        <v>60.0</v>
      </c>
      <c r="C8" s="112">
        <v>60.0</v>
      </c>
      <c r="D8" s="15">
        <f t="shared" si="1"/>
        <v>0</v>
      </c>
      <c r="E8" s="1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8" t="s">
        <v>244</v>
      </c>
      <c r="B9" s="46">
        <v>80.0</v>
      </c>
      <c r="C9" s="46">
        <v>80.0</v>
      </c>
      <c r="D9" s="15">
        <f t="shared" si="1"/>
        <v>0</v>
      </c>
      <c r="E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0" t="s">
        <v>245</v>
      </c>
      <c r="B10" s="50">
        <v>6.0</v>
      </c>
      <c r="C10" s="50">
        <v>6.0</v>
      </c>
      <c r="D10" s="15">
        <f t="shared" si="1"/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0" t="s">
        <v>246</v>
      </c>
      <c r="B11" s="50">
        <v>75.0</v>
      </c>
      <c r="C11" s="50">
        <v>48.0</v>
      </c>
      <c r="D11" s="15">
        <f t="shared" si="1"/>
        <v>-0.36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9" t="s">
        <v>17</v>
      </c>
      <c r="B13" s="62">
        <f t="shared" ref="B13:C13" si="2">SUM(B3:B11)</f>
        <v>1840</v>
      </c>
      <c r="C13" s="62">
        <f t="shared" si="2"/>
        <v>1649</v>
      </c>
      <c r="D13" s="15">
        <f>(C13-B13)/B13</f>
        <v>-0.1038043478</v>
      </c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9" t="s">
        <v>18</v>
      </c>
      <c r="B15" s="20">
        <f>B13-C13</f>
        <v>191</v>
      </c>
      <c r="C15" s="2"/>
      <c r="D15" s="23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2"/>
      <c r="D16" s="23"/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19</v>
      </c>
      <c r="B17" s="2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20</v>
      </c>
      <c r="B18" s="24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4.43" defaultRowHeight="15.75"/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7" t="s">
        <v>7</v>
      </c>
      <c r="E2" s="7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247</v>
      </c>
      <c r="B3" s="9">
        <v>1940.0</v>
      </c>
      <c r="C3" s="106">
        <v>1680.0</v>
      </c>
      <c r="D3" s="11">
        <f t="shared" ref="D3:D8" si="1">(C3-B3)/B3</f>
        <v>-0.1340206186</v>
      </c>
      <c r="E3" s="1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248</v>
      </c>
      <c r="B4" s="16">
        <v>1000.0</v>
      </c>
      <c r="C4" s="14">
        <v>1000.0</v>
      </c>
      <c r="D4" s="15">
        <f t="shared" si="1"/>
        <v>0</v>
      </c>
      <c r="E4" s="1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249</v>
      </c>
      <c r="B5" s="16">
        <v>44.0</v>
      </c>
      <c r="C5" s="14">
        <v>0.0</v>
      </c>
      <c r="D5" s="15">
        <f t="shared" si="1"/>
        <v>-1</v>
      </c>
      <c r="E5" s="1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250</v>
      </c>
      <c r="B6" s="16">
        <v>0.0</v>
      </c>
      <c r="C6" s="14">
        <v>0.0</v>
      </c>
      <c r="D6" s="15" t="str">
        <f t="shared" si="1"/>
        <v>#DIV/0!</v>
      </c>
      <c r="E6" s="1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251</v>
      </c>
      <c r="B7" s="16">
        <v>100.0</v>
      </c>
      <c r="C7" s="16">
        <v>100.0</v>
      </c>
      <c r="D7" s="15">
        <f t="shared" si="1"/>
        <v>0</v>
      </c>
      <c r="E7" s="1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9" t="s">
        <v>17</v>
      </c>
      <c r="B8" s="20">
        <f t="shared" ref="B8:C8" si="2">SUM(B3:B7)</f>
        <v>3084</v>
      </c>
      <c r="C8" s="20">
        <f t="shared" si="2"/>
        <v>2780</v>
      </c>
      <c r="D8" s="11">
        <f t="shared" si="1"/>
        <v>-0.09857328145</v>
      </c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9" t="s">
        <v>18</v>
      </c>
      <c r="B10" s="20">
        <f>B8-C8</f>
        <v>304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 t="s">
        <v>19</v>
      </c>
      <c r="B12" s="2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20</v>
      </c>
      <c r="B13" s="24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6.29"/>
    <col customWidth="1" min="3" max="4" width="16.14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54" t="s">
        <v>7</v>
      </c>
      <c r="E2" s="5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 t="s">
        <v>252</v>
      </c>
      <c r="B3" s="9">
        <v>3000.0</v>
      </c>
      <c r="C3" s="106">
        <v>2989.0</v>
      </c>
      <c r="D3" s="52">
        <f>(C3-B3)/B3</f>
        <v>-0.003666666667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0" t="s">
        <v>253</v>
      </c>
      <c r="B4" s="50">
        <v>1500.0</v>
      </c>
      <c r="C4" s="50">
        <v>1500.0</v>
      </c>
      <c r="E4" s="2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9" t="s">
        <v>17</v>
      </c>
      <c r="B5" s="20">
        <f t="shared" ref="B5:C5" si="1">B3+B4</f>
        <v>4500</v>
      </c>
      <c r="C5" s="20">
        <f t="shared" si="1"/>
        <v>4489</v>
      </c>
      <c r="D5" s="52">
        <f>(C5-B5)/B5</f>
        <v>-0.002444444444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 t="s">
        <v>18</v>
      </c>
      <c r="B7" s="20">
        <f>B5-C5</f>
        <v>11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 t="s">
        <v>19</v>
      </c>
      <c r="B9" s="2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 t="s">
        <v>20</v>
      </c>
      <c r="B10" s="24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</cols>
  <sheetData>
    <row r="1">
      <c r="A1" s="1"/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6" t="s">
        <v>5</v>
      </c>
      <c r="C2" s="6" t="s">
        <v>6</v>
      </c>
      <c r="D2" s="54" t="s">
        <v>7</v>
      </c>
      <c r="E2" s="5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>
        <v>3000.0</v>
      </c>
      <c r="C3" s="106"/>
      <c r="D3" s="52">
        <f t="shared" ref="D3:D9" si="1">(C3-B3)/B3</f>
        <v>-1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14</v>
      </c>
      <c r="B4" s="9">
        <v>1000.0</v>
      </c>
      <c r="C4" s="106">
        <v>1000.0</v>
      </c>
      <c r="D4" s="52">
        <f t="shared" si="1"/>
        <v>0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254</v>
      </c>
      <c r="B5" s="16"/>
      <c r="C5" s="14">
        <v>1200.0</v>
      </c>
      <c r="D5" s="56" t="str">
        <f t="shared" si="1"/>
        <v>#DIV/0!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255</v>
      </c>
      <c r="B6" s="16"/>
      <c r="C6" s="14">
        <v>500.0</v>
      </c>
      <c r="D6" s="56" t="str">
        <f t="shared" si="1"/>
        <v>#DIV/0!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256</v>
      </c>
      <c r="B7" s="13"/>
      <c r="C7" s="14">
        <v>200.0</v>
      </c>
      <c r="D7" s="56" t="str">
        <f t="shared" si="1"/>
        <v>#DIV/0!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257</v>
      </c>
      <c r="B8" s="13"/>
      <c r="C8" s="16">
        <v>200.0</v>
      </c>
      <c r="D8" s="56" t="str">
        <f t="shared" si="1"/>
        <v>#DIV/0!</v>
      </c>
      <c r="E8" s="1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 t="s">
        <v>17</v>
      </c>
      <c r="B9" s="20">
        <f t="shared" ref="B9:C9" si="2">SUM(B3:B8)</f>
        <v>4000</v>
      </c>
      <c r="C9" s="20">
        <f t="shared" si="2"/>
        <v>3100</v>
      </c>
      <c r="D9" s="52">
        <f t="shared" si="1"/>
        <v>-0.225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9" t="s">
        <v>18</v>
      </c>
      <c r="B11" s="20">
        <f>B9-C9</f>
        <v>900</v>
      </c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19</v>
      </c>
      <c r="B13" s="2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20</v>
      </c>
      <c r="B14" s="24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0.57"/>
  </cols>
  <sheetData>
    <row r="1">
      <c r="A1" s="25" t="s">
        <v>258</v>
      </c>
      <c r="B1" s="26"/>
      <c r="C1" s="26"/>
      <c r="D1" s="27"/>
      <c r="E1" s="10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4" t="s">
        <v>259</v>
      </c>
      <c r="B2" s="115" t="s">
        <v>23</v>
      </c>
      <c r="C2" s="115" t="s">
        <v>24</v>
      </c>
      <c r="D2" s="116" t="s">
        <v>25</v>
      </c>
      <c r="E2" s="1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0" t="s">
        <v>260</v>
      </c>
      <c r="B3" s="30">
        <v>6.0</v>
      </c>
      <c r="C3" s="31">
        <v>0.0</v>
      </c>
      <c r="D3" s="31">
        <f>B36</f>
        <v>5.254</v>
      </c>
      <c r="E3" s="10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0" t="s">
        <v>261</v>
      </c>
      <c r="B4" s="30">
        <v>1.3</v>
      </c>
      <c r="C4" s="31">
        <v>0.0</v>
      </c>
      <c r="D4" s="31">
        <v>1.3</v>
      </c>
      <c r="E4" s="10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0" t="s">
        <v>262</v>
      </c>
      <c r="B5" s="30">
        <v>1.0</v>
      </c>
      <c r="C5" s="31">
        <v>0.0</v>
      </c>
      <c r="D5" s="31">
        <f>B49</f>
        <v>0.942</v>
      </c>
      <c r="E5" s="10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0" t="s">
        <v>263</v>
      </c>
      <c r="B6" s="30">
        <v>2.0</v>
      </c>
      <c r="C6" s="31">
        <v>0.0</v>
      </c>
      <c r="D6" s="31">
        <v>2.0</v>
      </c>
      <c r="E6" s="118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0" t="s">
        <v>264</v>
      </c>
      <c r="B7" s="30">
        <v>0.0</v>
      </c>
      <c r="C7" s="31">
        <v>0.0</v>
      </c>
      <c r="D7" s="31">
        <f>B16</f>
        <v>0.795</v>
      </c>
      <c r="E7" s="1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1"/>
      <c r="B8" s="27"/>
      <c r="C8" s="41"/>
      <c r="D8" s="27"/>
      <c r="E8" s="1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0" t="s">
        <v>42</v>
      </c>
      <c r="B9" s="44">
        <f t="shared" ref="B9:D9" si="1">SUM(B3:B7)</f>
        <v>10.3</v>
      </c>
      <c r="C9" s="44">
        <f t="shared" si="1"/>
        <v>0</v>
      </c>
      <c r="D9" s="44">
        <f t="shared" si="1"/>
        <v>10.291</v>
      </c>
      <c r="E9" s="11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19"/>
      <c r="C10" s="120"/>
      <c r="D10" s="120"/>
      <c r="E10" s="4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1" t="s">
        <v>264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0" t="s">
        <v>265</v>
      </c>
      <c r="B12" s="40" t="s">
        <v>266</v>
      </c>
      <c r="C12" s="118" t="s">
        <v>267</v>
      </c>
      <c r="D12" s="118"/>
      <c r="E12" s="4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0" t="s">
        <v>268</v>
      </c>
      <c r="B13" s="122">
        <v>0.09</v>
      </c>
      <c r="C13" s="40">
        <v>4.0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23" t="s">
        <v>269</v>
      </c>
      <c r="B14" s="122">
        <v>0.06</v>
      </c>
      <c r="C14" s="40">
        <v>3.0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3" t="s">
        <v>270</v>
      </c>
      <c r="B15" s="122">
        <v>0.255</v>
      </c>
      <c r="C15" s="40">
        <v>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4" t="s">
        <v>271</v>
      </c>
      <c r="B16" s="125">
        <f>SUMPRODUCT(B13:B15,C13:C15)</f>
        <v>0.795</v>
      </c>
      <c r="C16" s="3"/>
      <c r="D16" s="4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21" t="s">
        <v>272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0" t="s">
        <v>265</v>
      </c>
      <c r="B20" s="40" t="s">
        <v>266</v>
      </c>
      <c r="C20" s="118" t="s">
        <v>267</v>
      </c>
      <c r="D20" s="11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23" t="s">
        <v>273</v>
      </c>
      <c r="B21" s="122">
        <v>1.13</v>
      </c>
      <c r="C21" s="40">
        <v>1.0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23" t="s">
        <v>274</v>
      </c>
      <c r="B22" s="126">
        <v>0.05</v>
      </c>
      <c r="C22" s="40">
        <v>1.0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23" t="s">
        <v>275</v>
      </c>
      <c r="B23" s="126">
        <v>0.4</v>
      </c>
      <c r="C23" s="40">
        <v>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23" t="s">
        <v>276</v>
      </c>
      <c r="B24" s="126">
        <v>0.02</v>
      </c>
      <c r="C24" s="40">
        <v>1.0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23" t="s">
        <v>277</v>
      </c>
      <c r="B25" s="122">
        <v>0.15</v>
      </c>
      <c r="C25" s="40">
        <v>1.0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23" t="s">
        <v>278</v>
      </c>
      <c r="B26" s="122">
        <v>0.12</v>
      </c>
      <c r="C26" s="4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23" t="s">
        <v>279</v>
      </c>
      <c r="B27" s="126">
        <v>1.0</v>
      </c>
      <c r="C27" s="40">
        <v>1.0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23" t="s">
        <v>280</v>
      </c>
      <c r="B28" s="126">
        <v>0.2</v>
      </c>
      <c r="C28" s="40">
        <v>1.0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23" t="s">
        <v>281</v>
      </c>
      <c r="B29" s="126">
        <v>0.3</v>
      </c>
      <c r="C29" s="40">
        <v>1.0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23" t="s">
        <v>282</v>
      </c>
      <c r="B30" s="122">
        <v>0.072</v>
      </c>
      <c r="C30" s="40">
        <v>2.0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23" t="s">
        <v>283</v>
      </c>
      <c r="B31" s="126">
        <v>0.05</v>
      </c>
      <c r="C31" s="40">
        <v>1.0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3" t="s">
        <v>284</v>
      </c>
      <c r="B32" s="126">
        <v>0.03</v>
      </c>
      <c r="C32" s="40">
        <v>20.0</v>
      </c>
      <c r="D32" s="4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23" t="s">
        <v>285</v>
      </c>
      <c r="B33" s="98">
        <v>0.003</v>
      </c>
      <c r="C33" s="40">
        <v>30.0</v>
      </c>
      <c r="D33" s="127" t="s">
        <v>286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23" t="s">
        <v>287</v>
      </c>
      <c r="B34" s="98">
        <v>0.008</v>
      </c>
      <c r="C34" s="40">
        <v>15.0</v>
      </c>
      <c r="F34" s="3"/>
      <c r="G34" s="1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0" t="s">
        <v>288</v>
      </c>
      <c r="B35" s="129">
        <v>1.0</v>
      </c>
      <c r="C35" s="50">
        <v>1.0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24" t="s">
        <v>289</v>
      </c>
      <c r="B36" s="125">
        <f>SUMPRODUCT(B21:B35,C21:C35)</f>
        <v>5.254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21" t="s">
        <v>262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0" t="s">
        <v>265</v>
      </c>
      <c r="B39" s="40" t="s">
        <v>266</v>
      </c>
      <c r="C39" s="118" t="s">
        <v>267</v>
      </c>
      <c r="D39" s="11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0" t="s">
        <v>290</v>
      </c>
      <c r="B40" s="126">
        <v>0.03</v>
      </c>
      <c r="C40" s="40">
        <v>4.0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0" t="s">
        <v>291</v>
      </c>
      <c r="B41" s="126">
        <v>0.02</v>
      </c>
      <c r="C41" s="40">
        <v>3.0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0" t="s">
        <v>292</v>
      </c>
      <c r="B42" s="126">
        <v>0.03</v>
      </c>
      <c r="C42" s="40">
        <v>1.0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0" t="s">
        <v>293</v>
      </c>
      <c r="B43" s="126">
        <v>0.05</v>
      </c>
      <c r="C43" s="40">
        <v>1.0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0" t="s">
        <v>294</v>
      </c>
      <c r="B44" s="126">
        <v>0.05</v>
      </c>
      <c r="C44" s="40">
        <v>1.0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0" t="s">
        <v>295</v>
      </c>
      <c r="B45" s="122">
        <v>0.032</v>
      </c>
      <c r="C45" s="40">
        <v>1.0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0" t="s">
        <v>296</v>
      </c>
      <c r="B46" s="126">
        <v>0.3</v>
      </c>
      <c r="C46" s="40">
        <v>1.0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0" t="s">
        <v>297</v>
      </c>
      <c r="B47" s="126">
        <v>0.1</v>
      </c>
      <c r="C47" s="40">
        <v>1.0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0" t="s">
        <v>298</v>
      </c>
      <c r="B48" s="126">
        <v>0.2</v>
      </c>
      <c r="C48" s="40">
        <v>1.0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4" t="s">
        <v>289</v>
      </c>
      <c r="B49" s="130">
        <f>SUMPRODUCT(B40:B48,C40:C48)</f>
        <v>0.942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mergeCells count="7">
    <mergeCell ref="A8:B8"/>
    <mergeCell ref="C8:D8"/>
    <mergeCell ref="A1:D1"/>
    <mergeCell ref="A11:E11"/>
    <mergeCell ref="A19:E19"/>
    <mergeCell ref="D33:E34"/>
    <mergeCell ref="A38:E38"/>
  </mergeCells>
  <drawing r:id="rId1"/>
</worksheet>
</file>