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LOBAL" sheetId="1" r:id="rId3"/>
    <sheet state="visible" name="LASMECA" sheetId="2" r:id="rId4"/>
    <sheet state="visible" name="Freinage" sheetId="3" r:id="rId5"/>
    <sheet state="visible" name="Roue équipée" sheetId="4" r:id="rId6"/>
    <sheet state="visible" name="BAR" sheetId="5" r:id="rId7"/>
    <sheet state="visible" name="Suspension" sheetId="6" r:id="rId8"/>
    <sheet state="visible" name="Triangles" sheetId="7" r:id="rId9"/>
    <sheet state="visible" name="Direction" sheetId="8" r:id="rId10"/>
    <sheet state="visible" name="CHASSIS EQUIPE ET AERO" sheetId="9" r:id="rId11"/>
    <sheet state="visible" name="Chassis" sheetId="10" r:id="rId12"/>
    <sheet state="visible" name="Carrosserie" sheetId="11" r:id="rId13"/>
    <sheet state="visible" name="MOTORISATION INSTRUMENTEE" sheetId="12" r:id="rId14"/>
    <sheet state="visible" name="Transmission secondaire" sheetId="13" r:id="rId15"/>
    <sheet state="visible" name="Admission" sheetId="14" r:id="rId16"/>
    <sheet state="visible" name="Refroidissement" sheetId="15" r:id="rId17"/>
    <sheet state="visible" name="Echappement" sheetId="16" r:id="rId18"/>
    <sheet state="visible" name="Circuit carburant" sheetId="17" r:id="rId19"/>
    <sheet state="visible" name="SEISM" sheetId="18" r:id="rId20"/>
  </sheets>
  <definedNames/>
  <calcPr/>
</workbook>
</file>

<file path=xl/sharedStrings.xml><?xml version="1.0" encoding="utf-8"?>
<sst xmlns="http://schemas.openxmlformats.org/spreadsheetml/2006/main" count="310" uniqueCount="162">
  <si>
    <t>BUDGET MASSIQUE GLOBAL</t>
  </si>
  <si>
    <t>Vulcanix</t>
  </si>
  <si>
    <t>Prévisionnel (TOP Projet)</t>
  </si>
  <si>
    <t>Estimé (TOP Copeau)</t>
  </si>
  <si>
    <t>S1 LASMECA</t>
  </si>
  <si>
    <t>S2 MOTORISATION INSTRUMENTEE</t>
  </si>
  <si>
    <t>S3 CHASSIS EQUIPEE ET PACK AERO</t>
  </si>
  <si>
    <t>S4 SEISM</t>
  </si>
  <si>
    <t>AUTRE</t>
  </si>
  <si>
    <t>MASSE TOTALE (kg)</t>
  </si>
  <si>
    <t xml:space="preserve">Pièce </t>
  </si>
  <si>
    <t>Dynamix (en g)</t>
  </si>
  <si>
    <t>Kynétix (en g)</t>
  </si>
  <si>
    <t>Olympix (en g)</t>
  </si>
  <si>
    <t>Atomix (en g)</t>
  </si>
  <si>
    <t>Vulcanix (en g)</t>
  </si>
  <si>
    <t>Optimus (en g)</t>
  </si>
  <si>
    <t>différence</t>
  </si>
  <si>
    <t>Commentaires</t>
  </si>
  <si>
    <t>Disque</t>
  </si>
  <si>
    <t>frette</t>
  </si>
  <si>
    <t xml:space="preserve">étriers </t>
  </si>
  <si>
    <t>cables</t>
  </si>
  <si>
    <t>durites</t>
  </si>
  <si>
    <t>Pedalier (avec maîtres-cylindres)</t>
  </si>
  <si>
    <t>La masse pour vulcanix a été estimé sous Catia</t>
  </si>
  <si>
    <t xml:space="preserve">Total </t>
  </si>
  <si>
    <t>Une roue avant</t>
  </si>
  <si>
    <t xml:space="preserve">Gain </t>
  </si>
  <si>
    <t>Certain</t>
  </si>
  <si>
    <t xml:space="preserve">Roulements </t>
  </si>
  <si>
    <t>Estimé</t>
  </si>
  <si>
    <t>Passage roulement classique (30euros) à roulements de super précision (300 euros)</t>
  </si>
  <si>
    <t>Ecrou encoche</t>
  </si>
  <si>
    <t>Ecrou encoche plus gros car diamètre intérieur roulement plus gros</t>
  </si>
  <si>
    <t>Porte moyeu</t>
  </si>
  <si>
    <t>Gain sur frette de frein évidée et épaisseur totale passe de 45 à 40 mm</t>
  </si>
  <si>
    <t>Moyeu</t>
  </si>
  <si>
    <t>Plus lourd car plus long (mais pas d'élargisseur de voie) et partie de maintient de la frette</t>
  </si>
  <si>
    <t>Chape rapporté triangle supérieur</t>
  </si>
  <si>
    <t>Passage en aluminium et 2 points de fixation au lieu de 3</t>
  </si>
  <si>
    <t>Calle de carrossage théorique</t>
  </si>
  <si>
    <t>Passage de 2 points de fixation au lieu de 3</t>
  </si>
  <si>
    <t xml:space="preserve">Visserie chape sup </t>
  </si>
  <si>
    <t>une vis m6 en moins</t>
  </si>
  <si>
    <t>Frette de frein</t>
  </si>
  <si>
    <t xml:space="preserve">Passage alu </t>
  </si>
  <si>
    <t>Jante</t>
  </si>
  <si>
    <t>Passage magnésium</t>
  </si>
  <si>
    <t>Entretoise frein</t>
  </si>
  <si>
    <t>Plus nécéssaire avec nouveau positionnement sur le moyeu</t>
  </si>
  <si>
    <t>Entretoise roulement</t>
  </si>
  <si>
    <t xml:space="preserve">Diamètre intérieur plus gros et plus longue </t>
  </si>
  <si>
    <t>Elargisseur de voie</t>
  </si>
  <si>
    <t>barre avant</t>
  </si>
  <si>
    <t>Une roue arrière</t>
  </si>
  <si>
    <t>barre arrière</t>
  </si>
  <si>
    <t>Entretoise tripod housing</t>
  </si>
  <si>
    <t>Tripod housing</t>
  </si>
  <si>
    <t>Etrier frein</t>
  </si>
  <si>
    <t>Passage possible à un étrier plus petit</t>
  </si>
  <si>
    <t>BUDGET MASSIQUE S1: LASMECA</t>
  </si>
  <si>
    <t>Gain 4 roues</t>
  </si>
  <si>
    <t xml:space="preserve">Système </t>
  </si>
  <si>
    <t>Prévisionnelle</t>
  </si>
  <si>
    <t>Estimée</t>
  </si>
  <si>
    <t>Suspension</t>
  </si>
  <si>
    <t>Barre anti roulis</t>
  </si>
  <si>
    <t>Triangles</t>
  </si>
  <si>
    <t>Système de freinage</t>
  </si>
  <si>
    <t>Roue équipée</t>
  </si>
  <si>
    <t>Direction</t>
  </si>
  <si>
    <t>poid soudure</t>
  </si>
  <si>
    <t>Chapes avant amortisseurs</t>
  </si>
  <si>
    <t>Pneumatique</t>
  </si>
  <si>
    <t>Changement du concept de la chape</t>
  </si>
  <si>
    <t>0.01 g/mm</t>
  </si>
  <si>
    <t>cache crémaillère</t>
  </si>
  <si>
    <t>Inserts chassis</t>
  </si>
  <si>
    <t>Ensemble crémaillère</t>
  </si>
  <si>
    <t>Quick release</t>
  </si>
  <si>
    <t>Volant</t>
  </si>
  <si>
    <t>Inserts taraudés</t>
  </si>
  <si>
    <t>Inserts PM sans susp. avant</t>
  </si>
  <si>
    <t>Biellettes de direction</t>
  </si>
  <si>
    <t>Chapes de crémaillère</t>
  </si>
  <si>
    <t>Ensemble pivot</t>
  </si>
  <si>
    <t>Joint de cardan</t>
  </si>
  <si>
    <t>Colonne de direction</t>
  </si>
  <si>
    <t>Inserts PM sans susp. arriere</t>
  </si>
  <si>
    <t xml:space="preserve">
</t>
  </si>
  <si>
    <t>Inserts PM avec susp. avant</t>
  </si>
  <si>
    <t>Inserts PM avec susp. arriere</t>
  </si>
  <si>
    <t>Boulons</t>
  </si>
  <si>
    <t>Entretoises</t>
  </si>
  <si>
    <t>Rotules</t>
  </si>
  <si>
    <t>Porte-rotules</t>
  </si>
  <si>
    <t>Vulcanix (en kg)</t>
  </si>
  <si>
    <t>Optimus (en kg)</t>
  </si>
  <si>
    <t>Chapes LAS</t>
  </si>
  <si>
    <t>Tubulaire</t>
  </si>
  <si>
    <t>Chapes Moto</t>
  </si>
  <si>
    <t>Chapes Elec</t>
  </si>
  <si>
    <t>Chapes carrosserie</t>
  </si>
  <si>
    <t>Nez</t>
  </si>
  <si>
    <t>Ouies</t>
  </si>
  <si>
    <t>Plaques</t>
  </si>
  <si>
    <t>Chapes Nez</t>
  </si>
  <si>
    <t>Chapes Ouies</t>
  </si>
  <si>
    <t>Fond plat</t>
  </si>
  <si>
    <t>Pare-feu</t>
  </si>
  <si>
    <t xml:space="preserve">Couronne </t>
  </si>
  <si>
    <t xml:space="preserve">Porte couronne </t>
  </si>
  <si>
    <t>indicateur pour changement chaine et couronne</t>
  </si>
  <si>
    <t>Porte excentrique droit</t>
  </si>
  <si>
    <t>masse (g)</t>
  </si>
  <si>
    <t>Prix</t>
  </si>
  <si>
    <t>Indicateur</t>
  </si>
  <si>
    <t>Porte excentrique gauche</t>
  </si>
  <si>
    <t>euros/gramme gagné</t>
  </si>
  <si>
    <t>Chaine</t>
  </si>
  <si>
    <t>Optimus</t>
  </si>
  <si>
    <t>Jacking bar</t>
  </si>
  <si>
    <t>on la perce</t>
  </si>
  <si>
    <t xml:space="preserve">gain </t>
  </si>
  <si>
    <t xml:space="preserve">Chain Shell </t>
  </si>
  <si>
    <t>Bride papillon</t>
  </si>
  <si>
    <t>Plenum</t>
  </si>
  <si>
    <t>Tubulures</t>
  </si>
  <si>
    <t>Fix moteur</t>
  </si>
  <si>
    <t>Fix chassis</t>
  </si>
  <si>
    <t>Manchons</t>
  </si>
  <si>
    <t>BUDGET MASSIQUE S2: MOTORISATION INSTRUMENTEE</t>
  </si>
  <si>
    <t>Admission</t>
  </si>
  <si>
    <t>Echappement</t>
  </si>
  <si>
    <t>Moteur</t>
  </si>
  <si>
    <t>Circuit de carburant</t>
  </si>
  <si>
    <t>Refroidissement</t>
  </si>
  <si>
    <t>Transmission secondaire</t>
  </si>
  <si>
    <t>Radiateur</t>
  </si>
  <si>
    <t>Ventilateur</t>
  </si>
  <si>
    <t>Silent-Blocs</t>
  </si>
  <si>
    <t>Durites (eau comprise)</t>
  </si>
  <si>
    <t>Barre de maintien</t>
  </si>
  <si>
    <t>Collecteur+silencieux</t>
  </si>
  <si>
    <t>BUDGET MASSIQUE S3: CHASSIS EQUIPE ET PACK AERO</t>
  </si>
  <si>
    <t>Systèmes</t>
  </si>
  <si>
    <t>Châssis tubulaire</t>
  </si>
  <si>
    <t>Equipements</t>
  </si>
  <si>
    <t>Paroi pare feu</t>
  </si>
  <si>
    <t>Plaque anti intrusion</t>
  </si>
  <si>
    <t>Carrosserie</t>
  </si>
  <si>
    <t>Apendices aéro</t>
  </si>
  <si>
    <t>Commande d'embrayage</t>
  </si>
  <si>
    <t>BUDGET MASSIQUE S4: SEISM</t>
  </si>
  <si>
    <t>Système</t>
  </si>
  <si>
    <t>Faisceau électrique</t>
  </si>
  <si>
    <t>Batterie</t>
  </si>
  <si>
    <t>Tableau de bord</t>
  </si>
  <si>
    <t>Volant équipé</t>
  </si>
  <si>
    <t>Commande BV</t>
  </si>
  <si>
    <t>Télémétrie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</si>
</sst>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b/>
      <i/>
    </font>
    <font/>
    <font>
      <b/>
      <name val="Proxima Nova"/>
    </font>
    <font>
      <name val="Proxima Nova"/>
    </font>
    <font>
      <b/>
      <sz val="14.0"/>
      <name val="Proxima Nova"/>
    </font>
    <font>
      <sz val="11.0"/>
      <color rgb="FF000000"/>
      <name val="Calibri"/>
    </font>
    <font>
      <sz val="13.0"/>
      <name val="Sans-serif"/>
    </font>
    <font>
      <name val="Century Gothic"/>
    </font>
    <font>
      <b/>
      <name val="Century Gothic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92D050"/>
        <bgColor rgb="FF92D05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2" fillId="2" fontId="3" numFmtId="0" xfId="0" applyBorder="1" applyFill="1" applyFont="1"/>
    <xf borderId="5" fillId="2" fontId="3" numFmtId="0" xfId="0" applyBorder="1" applyFont="1"/>
    <xf borderId="0" fillId="0" fontId="3" numFmtId="0" xfId="0" applyAlignment="1" applyFont="1">
      <alignment readingOrder="0"/>
    </xf>
    <xf borderId="6" fillId="3" fontId="4" numFmtId="0" xfId="0" applyAlignment="1" applyBorder="1" applyFill="1" applyFont="1">
      <alignment shrinkToFit="0" vertical="bottom" wrapText="1"/>
    </xf>
    <xf borderId="7" fillId="3" fontId="4" numFmtId="0" xfId="0" applyAlignment="1" applyBorder="1" applyFont="1">
      <alignment readingOrder="0" shrinkToFit="0" vertical="bottom" wrapText="1"/>
    </xf>
    <xf borderId="7" fillId="3" fontId="4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6" fillId="0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horizontal="right" readingOrder="0" shrinkToFit="0" vertical="bottom" wrapText="1"/>
    </xf>
    <xf borderId="7" fillId="0" fontId="5" numFmtId="0" xfId="0" applyAlignment="1" applyBorder="1" applyFont="1">
      <alignment horizontal="right" shrinkToFit="0" vertical="bottom" wrapText="1"/>
    </xf>
    <xf borderId="7" fillId="4" fontId="5" numFmtId="0" xfId="0" applyAlignment="1" applyBorder="1" applyFill="1" applyFont="1">
      <alignment horizontal="right" shrinkToFit="0" vertical="bottom" wrapText="1"/>
    </xf>
    <xf borderId="0" fillId="0" fontId="5" numFmtId="10" xfId="0" applyAlignment="1" applyFont="1" applyNumberFormat="1">
      <alignment horizontal="right" shrinkToFit="0" vertical="bottom" wrapText="1"/>
    </xf>
    <xf borderId="7" fillId="0" fontId="5" numFmtId="0" xfId="0" applyAlignment="1" applyBorder="1" applyFont="1">
      <alignment shrinkToFit="0" vertical="bottom" wrapText="1"/>
    </xf>
    <xf borderId="7" fillId="4" fontId="1" numFmtId="0" xfId="0" applyAlignment="1" applyBorder="1" applyFont="1">
      <alignment vertical="bottom"/>
    </xf>
    <xf borderId="0" fillId="0" fontId="5" numFmtId="10" xfId="0" applyAlignment="1" applyFont="1" applyNumberForma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6" fillId="3" fontId="4" numFmtId="0" xfId="0" applyAlignment="1" applyBorder="1" applyFont="1">
      <alignment horizontal="right" shrinkToFit="0" vertical="bottom" wrapText="1"/>
    </xf>
    <xf borderId="0" fillId="3" fontId="4" numFmtId="0" xfId="0" applyAlignment="1" applyFont="1">
      <alignment shrinkToFit="0" vertical="bottom" wrapText="1"/>
    </xf>
    <xf borderId="0" fillId="0" fontId="6" numFmtId="0" xfId="0" applyAlignment="1" applyFont="1">
      <alignment horizontal="center" readingOrder="0" shrinkToFit="0" textRotation="45" vertical="center" wrapText="1"/>
    </xf>
    <xf borderId="6" fillId="3" fontId="5" numFmtId="0" xfId="0" applyAlignment="1" applyBorder="1" applyFont="1">
      <alignment horizontal="right" shrinkToFit="0" vertical="bottom" wrapText="1"/>
    </xf>
    <xf borderId="7" fillId="5" fontId="1" numFmtId="0" xfId="0" applyAlignment="1" applyBorder="1" applyFill="1" applyFont="1">
      <alignment vertical="bottom"/>
    </xf>
    <xf borderId="7" fillId="5" fontId="5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readingOrder="0" vertical="bottom"/>
    </xf>
    <xf borderId="7" fillId="5" fontId="1" numFmtId="0" xfId="0" applyAlignment="1" applyBorder="1" applyFont="1">
      <alignment readingOrder="0" vertical="bottom"/>
    </xf>
    <xf borderId="7" fillId="4" fontId="1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7" fillId="4" fontId="5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readingOrder="0" vertical="bottom"/>
    </xf>
    <xf borderId="7" fillId="4" fontId="5" numFmtId="0" xfId="0" applyAlignment="1" applyBorder="1" applyFont="1">
      <alignment horizontal="right" readingOrder="0" shrinkToFit="0" vertical="bottom" wrapText="1"/>
    </xf>
    <xf borderId="5" fillId="0" fontId="3" numFmtId="0" xfId="0" applyBorder="1" applyFont="1"/>
    <xf borderId="6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right" shrinkToFit="0" vertical="bottom" wrapText="1"/>
    </xf>
    <xf borderId="2" fillId="3" fontId="4" numFmtId="0" xfId="0" applyAlignment="1" applyBorder="1" applyFont="1">
      <alignment horizontal="right" readingOrder="0" shrinkToFit="0" vertical="bottom" wrapText="1"/>
    </xf>
    <xf borderId="5" fillId="6" fontId="3" numFmtId="0" xfId="0" applyAlignment="1" applyBorder="1" applyFill="1" applyFont="1">
      <alignment readingOrder="0"/>
    </xf>
    <xf borderId="5" fillId="6" fontId="3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right" readingOrder="0" shrinkToFit="0" vertical="bottom" wrapText="1"/>
    </xf>
    <xf borderId="5" fillId="0" fontId="5" numFmtId="0" xfId="0" applyAlignment="1" applyBorder="1" applyFont="1">
      <alignment horizontal="right" shrinkToFit="0" vertical="bottom" wrapText="1"/>
    </xf>
    <xf borderId="0" fillId="3" fontId="5" numFmtId="0" xfId="0" applyAlignment="1" applyFont="1">
      <alignment horizontal="right" shrinkToFit="0" vertical="bottom" wrapText="1"/>
    </xf>
    <xf borderId="5" fillId="3" fontId="5" numFmtId="0" xfId="0" applyAlignment="1" applyBorder="1" applyFont="1">
      <alignment horizontal="right" shrinkToFit="0" vertical="bottom" wrapText="1"/>
    </xf>
    <xf borderId="5" fillId="5" fontId="1" numFmtId="0" xfId="0" applyAlignment="1" applyBorder="1" applyFont="1">
      <alignment vertical="bottom"/>
    </xf>
    <xf borderId="5" fillId="4" fontId="1" numFmtId="0" xfId="0" applyAlignment="1" applyBorder="1" applyFont="1">
      <alignment vertical="bottom"/>
    </xf>
    <xf borderId="3" fillId="2" fontId="3" numFmtId="0" xfId="0" applyBorder="1" applyFont="1"/>
    <xf borderId="7" fillId="0" fontId="1" numFmtId="0" xfId="0" applyAlignment="1" applyBorder="1" applyFont="1">
      <alignment vertical="bottom"/>
    </xf>
    <xf borderId="6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right" readingOrder="0" shrinkToFit="0" vertical="bottom" wrapText="0"/>
    </xf>
    <xf borderId="5" fillId="0" fontId="5" numFmtId="10" xfId="0" applyAlignment="1" applyBorder="1" applyFont="1" applyNumberFormat="1">
      <alignment horizontal="right" shrinkToFit="0" vertical="bottom" wrapText="1"/>
    </xf>
    <xf borderId="5" fillId="0" fontId="7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vertical="bottom"/>
    </xf>
    <xf borderId="7" fillId="7" fontId="7" numFmtId="0" xfId="0" applyAlignment="1" applyBorder="1" applyFill="1" applyFont="1">
      <alignment horizontal="right" readingOrder="0" shrinkToFit="0" vertical="bottom" wrapText="0"/>
    </xf>
    <xf borderId="5" fillId="0" fontId="5" numFmtId="10" xfId="0" applyAlignment="1" applyBorder="1" applyFont="1" applyNumberFormat="1">
      <alignment horizontal="center" shrinkToFit="0" vertical="bottom" wrapText="1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0" fillId="0" fontId="8" numFmtId="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1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Font="1"/>
    <xf borderId="6" fillId="3" fontId="10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shrinkToFit="0" vertical="bottom" wrapText="1"/>
    </xf>
    <xf borderId="0" fillId="3" fontId="9" numFmtId="0" xfId="0" applyAlignment="1" applyFont="1">
      <alignment shrinkToFit="0" vertical="bottom" wrapText="1"/>
    </xf>
    <xf borderId="5" fillId="0" fontId="9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horizontal="right" shrinkToFit="0" vertical="bottom" wrapText="1"/>
    </xf>
    <xf borderId="5" fillId="4" fontId="9" numFmtId="0" xfId="0" applyAlignment="1" applyBorder="1" applyFont="1">
      <alignment horizontal="right" readingOrder="0" shrinkToFit="0" vertical="bottom" wrapText="1"/>
    </xf>
    <xf borderId="5" fillId="0" fontId="9" numFmtId="10" xfId="0" applyAlignment="1" applyBorder="1" applyFont="1" applyNumberFormat="1">
      <alignment horizontal="right" shrinkToFit="0" vertical="bottom" wrapText="1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readingOrder="0" shrinkToFit="0" vertical="bottom" wrapText="1"/>
    </xf>
    <xf borderId="5" fillId="4" fontId="9" numFmtId="0" xfId="0" applyAlignment="1" applyBorder="1" applyFont="1">
      <alignment readingOrder="0" vertical="bottom"/>
    </xf>
    <xf borderId="5" fillId="0" fontId="9" numFmtId="10" xfId="0" applyAlignment="1" applyBorder="1" applyFont="1" applyNumberFormat="1">
      <alignment horizontal="center" shrinkToFit="0" vertical="bottom" wrapText="1"/>
    </xf>
    <xf borderId="5" fillId="0" fontId="9" numFmtId="0" xfId="0" applyAlignment="1" applyBorder="1" applyFont="1">
      <alignment readingOrder="0"/>
    </xf>
    <xf borderId="5" fillId="0" fontId="9" numFmtId="0" xfId="0" applyBorder="1" applyFont="1"/>
    <xf borderId="5" fillId="4" fontId="9" numFmtId="0" xfId="0" applyAlignment="1" applyBorder="1" applyFont="1">
      <alignment vertical="bottom"/>
    </xf>
    <xf borderId="5" fillId="0" fontId="9" numFmtId="0" xfId="0" applyAlignment="1" applyBorder="1" applyFont="1">
      <alignment readingOrder="0" vertical="bottom"/>
    </xf>
    <xf borderId="5" fillId="3" fontId="10" numFmtId="0" xfId="0" applyAlignment="1" applyBorder="1" applyFont="1">
      <alignment horizontal="right" shrinkToFit="0" vertical="bottom" wrapText="1"/>
    </xf>
    <xf borderId="6" fillId="3" fontId="10" numFmtId="0" xfId="0" applyAlignment="1" applyBorder="1" applyFont="1">
      <alignment horizontal="right" shrinkToFit="0" vertical="bottom" wrapText="1"/>
    </xf>
    <xf borderId="7" fillId="0" fontId="9" numFmtId="0" xfId="0" applyAlignment="1" applyBorder="1" applyFont="1">
      <alignment horizontal="right" shrinkToFit="0" vertical="bottom" wrapText="1"/>
    </xf>
    <xf borderId="0" fillId="0" fontId="9" numFmtId="0" xfId="0" applyAlignment="1" applyFont="1">
      <alignment readingOrder="0" vertical="bottom"/>
    </xf>
    <xf borderId="6" fillId="3" fontId="9" numFmtId="0" xfId="0" applyAlignment="1" applyBorder="1" applyFont="1">
      <alignment horizontal="right" shrinkToFit="0" vertical="bottom" wrapText="1"/>
    </xf>
    <xf borderId="7" fillId="5" fontId="9" numFmtId="0" xfId="0" applyAlignment="1" applyBorder="1" applyFont="1">
      <alignment vertical="bottom"/>
    </xf>
    <xf borderId="7" fillId="4" fontId="9" numFmtId="0" xfId="0" applyAlignment="1" applyBorder="1" applyFont="1">
      <alignment vertical="bottom"/>
    </xf>
    <xf borderId="5" fillId="8" fontId="3" numFmtId="0" xfId="0" applyAlignment="1" applyBorder="1" applyFill="1" applyFont="1">
      <alignment readingOrder="0"/>
    </xf>
    <xf borderId="5" fillId="8" fontId="3" numFmtId="0" xfId="0" applyAlignment="1" applyBorder="1" applyFont="1">
      <alignment horizontal="center" readingOrder="0" shrinkToFit="0" wrapText="1"/>
    </xf>
    <xf borderId="2" fillId="8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8" fillId="0" fontId="3" numFmtId="0" xfId="0" applyBorder="1" applyFont="1"/>
    <xf borderId="9" fillId="0" fontId="2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5" fillId="9" fontId="3" numFmtId="0" xfId="0" applyAlignment="1" applyBorder="1" applyFill="1" applyFont="1">
      <alignment readingOrder="0"/>
    </xf>
    <xf borderId="5" fillId="9" fontId="3" numFmtId="0" xfId="0" applyAlignment="1" applyBorder="1" applyFont="1">
      <alignment horizontal="center" readingOrder="0" shrinkToFit="0" wrapText="1"/>
    </xf>
    <xf borderId="5" fillId="10" fontId="3" numFmtId="0" xfId="0" applyAlignment="1" applyBorder="1" applyFill="1" applyFont="1">
      <alignment readingOrder="0"/>
    </xf>
    <xf borderId="5" fillId="10" fontId="3" numFmtId="0" xfId="0" applyAlignment="1" applyBorder="1" applyFont="1">
      <alignment horizontal="center" readingOrder="0" shrinkToFit="0" wrapText="1"/>
    </xf>
    <xf borderId="2" fillId="10" fontId="3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0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massique S1: LASMECA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B7B7B7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LASMECA!$A$3:$A$9</c:f>
            </c:strRef>
          </c:cat>
          <c:val>
            <c:numRef>
              <c:f>LASMECA!$C$3:$C$8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Optimus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'CHASSIS EQUIPE ET AERO'!$D$1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'CHASSIS EQUIPE ET AERO'!$A$2:$A$10</c:f>
            </c:strRef>
          </c:cat>
          <c:val>
            <c:numRef>
              <c:f>'CHASSIS EQUIPE ET AERO'!$D$2:$D$10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Budget massique S2: MOTORISATION INSTRUMENTEE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'MOTORISATION INSTRUMENTEE'!$A$3:$A$8</c:f>
            </c:strRef>
          </c:cat>
          <c:val>
            <c:numRef>
              <c:f>'MOTORISATION INSTRUMENTEE'!$B$3:$B$8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SEISM!$A$2:$A$8</c:f>
            </c:strRef>
          </c:cat>
          <c:val>
            <c:numRef>
              <c:f>SEISM!$C$2:$C$8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552450</xdr:colOff>
      <xdr:row>0</xdr:row>
      <xdr:rowOff>133350</xdr:rowOff>
    </xdr:from>
    <xdr:ext cx="7400925" cy="42862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190500</xdr:colOff>
      <xdr:row>0</xdr:row>
      <xdr:rowOff>180975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66675</xdr:colOff>
      <xdr:row>0</xdr:row>
      <xdr:rowOff>28575</xdr:rowOff>
    </xdr:from>
    <xdr:ext cx="6657975" cy="41052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257175</xdr:colOff>
      <xdr:row>0</xdr:row>
      <xdr:rowOff>142875</xdr:rowOff>
    </xdr:from>
    <xdr:ext cx="6515100" cy="404812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3" max="3" width="22.14"/>
    <col customWidth="1" min="4" max="4" width="19.43"/>
  </cols>
  <sheetData>
    <row r="1">
      <c r="A1" s="2" t="s">
        <v>0</v>
      </c>
      <c r="B1" s="4"/>
      <c r="C1" s="5"/>
      <c r="D1" s="6"/>
    </row>
    <row r="2">
      <c r="A2" s="7"/>
      <c r="B2" s="8" t="s">
        <v>1</v>
      </c>
      <c r="C2" s="8" t="s">
        <v>2</v>
      </c>
      <c r="D2" s="8" t="s">
        <v>3</v>
      </c>
    </row>
    <row r="3">
      <c r="A3" s="7" t="s">
        <v>4</v>
      </c>
      <c r="B3" s="8"/>
      <c r="C3" s="8">
        <f>LASMECA!C11</f>
        <v>27.3</v>
      </c>
      <c r="D3" s="8">
        <f>LASMECA!D11</f>
        <v>17.302</v>
      </c>
    </row>
    <row r="4">
      <c r="A4" s="7" t="s">
        <v>5</v>
      </c>
      <c r="B4" s="8"/>
      <c r="C4" s="8">
        <f>'MOTORISATION INSTRUMENTEE'!C10</f>
        <v>76.18</v>
      </c>
      <c r="D4" s="9">
        <f>'MOTORISATION INSTRUMENTEE'!D10</f>
        <v>74.327</v>
      </c>
    </row>
    <row r="5">
      <c r="A5" s="7" t="s">
        <v>6</v>
      </c>
      <c r="B5" s="8"/>
      <c r="C5" s="8">
        <f>'CHASSIS EQUIPE ET AERO'!D12</f>
        <v>46.22</v>
      </c>
      <c r="D5" s="8">
        <f>'CHASSIS EQUIPE ET AERO'!D12</f>
        <v>46.22</v>
      </c>
    </row>
    <row r="6">
      <c r="A6" s="7" t="s">
        <v>7</v>
      </c>
      <c r="B6" s="8"/>
      <c r="C6" s="8">
        <f>SEISM!C10</f>
        <v>13</v>
      </c>
      <c r="D6" s="8">
        <f>SEISM!D10</f>
        <v>0</v>
      </c>
    </row>
    <row r="7">
      <c r="A7" s="7" t="s">
        <v>8</v>
      </c>
      <c r="B7" s="8"/>
      <c r="C7" s="8">
        <v>9.0</v>
      </c>
      <c r="D7" s="8"/>
    </row>
    <row r="8">
      <c r="A8" s="10"/>
      <c r="B8" s="4"/>
      <c r="C8" s="5"/>
      <c r="D8" s="11"/>
    </row>
    <row r="9">
      <c r="A9" s="7" t="s">
        <v>9</v>
      </c>
      <c r="B9" s="9">
        <f t="shared" ref="B9:D9" si="1">SUM(B3:B7)</f>
        <v>0</v>
      </c>
      <c r="C9" s="9">
        <f t="shared" si="1"/>
        <v>171.7</v>
      </c>
      <c r="D9" s="9">
        <f t="shared" si="1"/>
        <v>137.849</v>
      </c>
    </row>
    <row r="19">
      <c r="A19" s="12"/>
      <c r="B19" s="12"/>
      <c r="C19" s="12"/>
      <c r="D19" s="12"/>
    </row>
    <row r="20">
      <c r="A20" s="12"/>
      <c r="B20" s="12"/>
      <c r="C20" s="12"/>
      <c r="D20" s="12"/>
    </row>
  </sheetData>
  <mergeCells count="2">
    <mergeCell ref="A1:C1"/>
    <mergeCell ref="A8:C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/>
    </row>
    <row r="2">
      <c r="A2" s="13" t="s">
        <v>10</v>
      </c>
      <c r="B2" s="14" t="s">
        <v>97</v>
      </c>
      <c r="C2" s="14" t="s">
        <v>98</v>
      </c>
      <c r="D2" s="16" t="s">
        <v>17</v>
      </c>
      <c r="E2" s="16" t="s">
        <v>18</v>
      </c>
    </row>
    <row r="3">
      <c r="A3" s="17" t="s">
        <v>99</v>
      </c>
      <c r="B3" s="19">
        <f>2*0.614</f>
        <v>1.228</v>
      </c>
      <c r="C3" s="19">
        <f>2*0.351</f>
        <v>0.702</v>
      </c>
      <c r="D3" s="21">
        <f t="shared" ref="D3:D8" si="1">(C3-B3)/B3</f>
        <v>-0.4283387622</v>
      </c>
      <c r="E3" s="3"/>
    </row>
    <row r="4">
      <c r="A4" s="17" t="s">
        <v>100</v>
      </c>
      <c r="B4" s="27">
        <v>37.5</v>
      </c>
      <c r="C4" s="40">
        <v>33.6</v>
      </c>
      <c r="D4" s="24">
        <f t="shared" si="1"/>
        <v>-0.104</v>
      </c>
      <c r="E4" s="3"/>
    </row>
    <row r="5">
      <c r="A5" s="17" t="s">
        <v>101</v>
      </c>
      <c r="B5" s="22"/>
      <c r="C5" s="56"/>
      <c r="D5" s="24" t="str">
        <f t="shared" si="1"/>
        <v>#DIV/0!</v>
      </c>
      <c r="E5" s="25"/>
    </row>
    <row r="6">
      <c r="A6" s="17" t="s">
        <v>102</v>
      </c>
      <c r="B6" s="22"/>
      <c r="C6" s="56"/>
      <c r="D6" s="24" t="str">
        <f t="shared" si="1"/>
        <v>#DIV/0!</v>
      </c>
      <c r="E6" s="25"/>
    </row>
    <row r="7">
      <c r="A7" s="17" t="s">
        <v>103</v>
      </c>
      <c r="B7" s="22"/>
      <c r="C7" s="22"/>
      <c r="D7" s="24" t="str">
        <f t="shared" si="1"/>
        <v>#DIV/0!</v>
      </c>
      <c r="E7" s="26"/>
    </row>
    <row r="8">
      <c r="A8" s="29" t="s">
        <v>26</v>
      </c>
      <c r="B8" s="19">
        <f t="shared" ref="B8:C8" si="2">SUM(B3:B7)</f>
        <v>38.728</v>
      </c>
      <c r="C8" s="19">
        <f t="shared" si="2"/>
        <v>34.302</v>
      </c>
      <c r="D8" s="21">
        <f t="shared" si="1"/>
        <v>-0.1142842388</v>
      </c>
      <c r="E8" s="3"/>
    </row>
    <row r="9">
      <c r="A9" s="1"/>
      <c r="B9" s="1"/>
      <c r="C9" s="3"/>
      <c r="D9" s="3"/>
      <c r="E9" s="3"/>
    </row>
    <row r="10">
      <c r="A10" s="29" t="s">
        <v>28</v>
      </c>
      <c r="B10" s="19">
        <f>B8-C8</f>
        <v>4.426</v>
      </c>
      <c r="C10" s="3"/>
      <c r="D10" s="3"/>
      <c r="E10" s="3"/>
    </row>
    <row r="11">
      <c r="A11" s="1"/>
      <c r="B11" s="1"/>
      <c r="C11" s="3"/>
      <c r="D11" s="3"/>
      <c r="E11" s="3"/>
    </row>
    <row r="12">
      <c r="A12" s="32" t="s">
        <v>29</v>
      </c>
      <c r="B12" s="33"/>
      <c r="C12" s="3"/>
      <c r="D12" s="3"/>
      <c r="E12" s="3"/>
    </row>
    <row r="13">
      <c r="A13" s="32" t="s">
        <v>31</v>
      </c>
      <c r="B13" s="23"/>
      <c r="C13" s="3"/>
      <c r="D13" s="3"/>
      <c r="E13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30" t="s">
        <v>17</v>
      </c>
      <c r="E2" s="30" t="s">
        <v>18</v>
      </c>
    </row>
    <row r="3">
      <c r="A3" s="17" t="s">
        <v>104</v>
      </c>
      <c r="B3" s="18">
        <v>1100.0</v>
      </c>
      <c r="C3" s="18">
        <v>900.0</v>
      </c>
      <c r="D3" s="59">
        <f t="shared" ref="D3:D10" si="1">(C3-B3)/B3</f>
        <v>-0.1818181818</v>
      </c>
      <c r="E3" s="61"/>
    </row>
    <row r="4">
      <c r="A4" s="17" t="s">
        <v>105</v>
      </c>
      <c r="B4" s="27">
        <v>1500.0</v>
      </c>
      <c r="C4" s="40">
        <v>0.0</v>
      </c>
      <c r="D4" s="59">
        <f t="shared" si="1"/>
        <v>-1</v>
      </c>
      <c r="E4" s="61"/>
    </row>
    <row r="5">
      <c r="A5" s="17" t="s">
        <v>106</v>
      </c>
      <c r="B5" s="27">
        <v>600.0</v>
      </c>
      <c r="C5" s="40">
        <v>600.0</v>
      </c>
      <c r="D5" s="59">
        <f t="shared" si="1"/>
        <v>0</v>
      </c>
      <c r="E5" s="64"/>
    </row>
    <row r="6">
      <c r="A6" s="17" t="s">
        <v>107</v>
      </c>
      <c r="B6" s="27">
        <v>60.0</v>
      </c>
      <c r="C6" s="40">
        <v>60.0</v>
      </c>
      <c r="D6" s="59">
        <f t="shared" si="1"/>
        <v>0</v>
      </c>
      <c r="E6" s="64"/>
    </row>
    <row r="7">
      <c r="A7" s="17" t="s">
        <v>108</v>
      </c>
      <c r="B7" s="27">
        <v>60.0</v>
      </c>
      <c r="C7" s="27">
        <v>0.0</v>
      </c>
      <c r="D7" s="59">
        <f t="shared" si="1"/>
        <v>-1</v>
      </c>
      <c r="E7" s="65"/>
    </row>
    <row r="8">
      <c r="A8" s="17" t="s">
        <v>109</v>
      </c>
      <c r="B8" s="27"/>
      <c r="C8" s="27"/>
      <c r="D8" s="59" t="str">
        <f t="shared" si="1"/>
        <v>#DIV/0!</v>
      </c>
      <c r="E8" s="65"/>
    </row>
    <row r="9">
      <c r="A9" s="17" t="s">
        <v>110</v>
      </c>
      <c r="B9" s="40"/>
      <c r="C9" s="40">
        <v>1700.0</v>
      </c>
      <c r="D9" s="59" t="str">
        <f t="shared" si="1"/>
        <v>#DIV/0!</v>
      </c>
      <c r="E9" s="61"/>
    </row>
    <row r="10">
      <c r="A10" s="29" t="s">
        <v>26</v>
      </c>
      <c r="B10" s="19">
        <f t="shared" ref="B10:C10" si="2">SUM(B3:B9)</f>
        <v>3320</v>
      </c>
      <c r="C10" s="19">
        <f t="shared" si="2"/>
        <v>3260</v>
      </c>
      <c r="D10" s="59">
        <f t="shared" si="1"/>
        <v>-0.01807228916</v>
      </c>
      <c r="E10" s="61"/>
    </row>
    <row r="11">
      <c r="A11" s="1"/>
      <c r="B11" s="1"/>
      <c r="C11" s="3"/>
      <c r="D11" s="3"/>
      <c r="E11" s="3"/>
    </row>
    <row r="12">
      <c r="A12" s="29" t="s">
        <v>28</v>
      </c>
      <c r="B12" s="19">
        <f>B10-C10</f>
        <v>60</v>
      </c>
      <c r="C12" s="3"/>
      <c r="D12" s="3"/>
      <c r="E12" s="3"/>
    </row>
    <row r="13">
      <c r="A13" s="1"/>
      <c r="B13" s="1"/>
      <c r="C13" s="3"/>
      <c r="D13" s="3"/>
      <c r="E13" s="3"/>
    </row>
    <row r="14">
      <c r="A14" s="32" t="s">
        <v>29</v>
      </c>
      <c r="B14" s="33"/>
      <c r="C14" s="3"/>
      <c r="D14" s="3"/>
      <c r="E14" s="3"/>
    </row>
    <row r="15">
      <c r="A15" s="32" t="s">
        <v>31</v>
      </c>
      <c r="B15" s="23"/>
      <c r="C15" s="3"/>
      <c r="D15" s="3"/>
      <c r="E15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</cols>
  <sheetData>
    <row r="1">
      <c r="A1" s="2" t="s">
        <v>132</v>
      </c>
      <c r="B1" s="4"/>
      <c r="C1" s="4"/>
      <c r="D1" s="5"/>
    </row>
    <row r="2">
      <c r="A2" s="93" t="s">
        <v>63</v>
      </c>
      <c r="B2" s="94" t="s">
        <v>1</v>
      </c>
      <c r="C2" s="94" t="s">
        <v>64</v>
      </c>
      <c r="D2" s="95" t="s">
        <v>65</v>
      </c>
    </row>
    <row r="3">
      <c r="A3" s="7" t="s">
        <v>133</v>
      </c>
      <c r="B3" s="8">
        <f>Admission!B10*0.001</f>
        <v>1.581</v>
      </c>
      <c r="C3" s="8">
        <v>3.0</v>
      </c>
      <c r="D3" s="8">
        <f>Admission!C10*0.001</f>
        <v>1.453</v>
      </c>
      <c r="E3" s="96"/>
    </row>
    <row r="4">
      <c r="A4" s="7" t="s">
        <v>134</v>
      </c>
      <c r="B4" s="8">
        <f>Echappement!B14</f>
        <v>3.5</v>
      </c>
      <c r="C4" s="8">
        <v>5.0</v>
      </c>
      <c r="D4" s="8">
        <f>Echappement!C14</f>
        <v>3.3</v>
      </c>
      <c r="E4" s="96"/>
    </row>
    <row r="5">
      <c r="A5" s="7" t="s">
        <v>135</v>
      </c>
      <c r="B5" s="8">
        <v>60.0</v>
      </c>
      <c r="C5" s="8">
        <v>60.0</v>
      </c>
      <c r="D5" s="8">
        <v>60.0</v>
      </c>
      <c r="E5" s="96"/>
    </row>
    <row r="6">
      <c r="A6" s="7" t="s">
        <v>136</v>
      </c>
      <c r="B6" s="8">
        <f>'Circuit carburant'!B14*0.001</f>
        <v>3</v>
      </c>
      <c r="C6" s="8">
        <v>3.0</v>
      </c>
      <c r="D6" s="8">
        <f>'Circuit carburant'!C14*0.001</f>
        <v>3</v>
      </c>
      <c r="E6" s="96"/>
    </row>
    <row r="7">
      <c r="A7" s="7" t="s">
        <v>137</v>
      </c>
      <c r="B7" s="8">
        <f>Refroidissement!B8/1000</f>
        <v>3.084</v>
      </c>
      <c r="C7" s="8">
        <f>Refroidissement!C8/1000</f>
        <v>3.18</v>
      </c>
      <c r="D7" s="8">
        <f>'Transmission secondaire'!C11*0.001</f>
        <v>3.287</v>
      </c>
      <c r="E7" s="96"/>
    </row>
    <row r="8">
      <c r="A8" s="7" t="s">
        <v>138</v>
      </c>
      <c r="B8" s="8">
        <f>'Transmission secondaire'!B11*0.001</f>
        <v>5.022</v>
      </c>
      <c r="C8" s="8">
        <v>2.0</v>
      </c>
      <c r="D8" s="97">
        <f>'Transmission secondaire'!C11*0.001</f>
        <v>3.287</v>
      </c>
      <c r="E8" s="96"/>
    </row>
    <row r="9">
      <c r="A9" s="10"/>
      <c r="B9" s="5"/>
      <c r="C9" s="10"/>
      <c r="D9" s="5"/>
      <c r="E9" s="96"/>
    </row>
    <row r="10">
      <c r="A10" s="7" t="s">
        <v>9</v>
      </c>
      <c r="B10" s="9">
        <f t="shared" ref="B10:D10" si="1">SUM(B3:B8)</f>
        <v>76.187</v>
      </c>
      <c r="C10" s="9">
        <f t="shared" si="1"/>
        <v>76.18</v>
      </c>
      <c r="D10" s="9">
        <f t="shared" si="1"/>
        <v>74.327</v>
      </c>
      <c r="E10" s="98"/>
    </row>
  </sheetData>
  <mergeCells count="3">
    <mergeCell ref="A1:D1"/>
    <mergeCell ref="C9:D9"/>
    <mergeCell ref="A9:B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43" t="s">
        <v>111</v>
      </c>
      <c r="B3" s="18">
        <v>1050.0</v>
      </c>
      <c r="C3" s="41">
        <v>350.0</v>
      </c>
      <c r="D3" s="21">
        <f t="shared" ref="D3:D6" si="1">(C3-B3)/B3</f>
        <v>-0.6666666667</v>
      </c>
      <c r="E3" s="3"/>
    </row>
    <row r="4">
      <c r="A4" s="43" t="s">
        <v>112</v>
      </c>
      <c r="B4" s="19">
        <v>650.0</v>
      </c>
      <c r="C4" s="41">
        <v>350.0</v>
      </c>
      <c r="D4" s="21">
        <f t="shared" si="1"/>
        <v>-0.4615384615</v>
      </c>
      <c r="E4" s="3"/>
      <c r="H4" s="12" t="s">
        <v>113</v>
      </c>
    </row>
    <row r="5">
      <c r="A5" s="43" t="s">
        <v>114</v>
      </c>
      <c r="B5" s="19">
        <v>642.0</v>
      </c>
      <c r="C5" s="41">
        <v>290.0</v>
      </c>
      <c r="D5" s="21">
        <f t="shared" si="1"/>
        <v>-0.5482866044</v>
      </c>
      <c r="E5" s="3"/>
      <c r="H5" s="12" t="s">
        <v>115</v>
      </c>
      <c r="I5" s="12" t="s">
        <v>116</v>
      </c>
      <c r="J5" s="12" t="s">
        <v>117</v>
      </c>
    </row>
    <row r="6">
      <c r="A6" s="43" t="s">
        <v>118</v>
      </c>
      <c r="B6" s="19">
        <v>835.0</v>
      </c>
      <c r="C6" s="41">
        <v>470.0</v>
      </c>
      <c r="D6" s="21">
        <f t="shared" si="1"/>
        <v>-0.4371257485</v>
      </c>
      <c r="E6" s="3"/>
      <c r="G6" s="12" t="s">
        <v>1</v>
      </c>
      <c r="H6" s="12">
        <v>1050.0</v>
      </c>
      <c r="I6" s="66">
        <v>74.3</v>
      </c>
      <c r="J6">
        <f>I8/H8</f>
        <v>0.1756857143</v>
      </c>
      <c r="K6" s="12" t="s">
        <v>119</v>
      </c>
    </row>
    <row r="7">
      <c r="A7" s="17" t="s">
        <v>120</v>
      </c>
      <c r="B7" s="19"/>
      <c r="C7" s="41"/>
      <c r="D7" s="21"/>
      <c r="E7" s="3"/>
      <c r="G7" s="12" t="s">
        <v>121</v>
      </c>
      <c r="H7" s="12">
        <v>350.0</v>
      </c>
      <c r="I7" s="12">
        <v>197.28</v>
      </c>
    </row>
    <row r="8">
      <c r="A8" s="43" t="s">
        <v>122</v>
      </c>
      <c r="B8" s="19">
        <v>444.0</v>
      </c>
      <c r="C8" s="18">
        <v>426.0</v>
      </c>
      <c r="D8" s="21">
        <f t="shared" ref="D8:D11" si="2">(C8-B8)/B8</f>
        <v>-0.04054054054</v>
      </c>
      <c r="E8" s="35" t="s">
        <v>123</v>
      </c>
      <c r="G8" s="12" t="s">
        <v>124</v>
      </c>
      <c r="H8">
        <f>1050-350</f>
        <v>700</v>
      </c>
      <c r="I8" s="67">
        <f>I7-I6</f>
        <v>122.98</v>
      </c>
    </row>
    <row r="9">
      <c r="A9" s="17" t="s">
        <v>120</v>
      </c>
      <c r="B9" s="18">
        <v>520.0</v>
      </c>
      <c r="C9" s="18">
        <v>520.0</v>
      </c>
      <c r="D9" s="21">
        <f t="shared" si="2"/>
        <v>0</v>
      </c>
      <c r="E9" s="3"/>
    </row>
    <row r="10">
      <c r="A10" s="17" t="s">
        <v>125</v>
      </c>
      <c r="B10" s="18">
        <v>881.0</v>
      </c>
      <c r="C10" s="18">
        <v>881.0</v>
      </c>
      <c r="D10" s="21">
        <f t="shared" si="2"/>
        <v>0</v>
      </c>
      <c r="E10" s="3"/>
    </row>
    <row r="11">
      <c r="A11" s="29" t="s">
        <v>26</v>
      </c>
      <c r="B11" s="19">
        <f t="shared" ref="B11:C11" si="3">SUM(B3:B10)</f>
        <v>5022</v>
      </c>
      <c r="C11" s="19">
        <f t="shared" si="3"/>
        <v>3287</v>
      </c>
      <c r="D11" s="21">
        <f t="shared" si="2"/>
        <v>-0.3454798885</v>
      </c>
      <c r="E11" s="3"/>
    </row>
    <row r="12">
      <c r="A12" s="1"/>
      <c r="B12" s="1"/>
      <c r="C12" s="3"/>
      <c r="D12" s="3"/>
      <c r="E12" s="3"/>
    </row>
    <row r="13">
      <c r="A13" s="29" t="s">
        <v>28</v>
      </c>
      <c r="B13" s="19">
        <f>B11-C11</f>
        <v>1735</v>
      </c>
      <c r="C13" s="3"/>
      <c r="D13" s="3"/>
      <c r="E13" s="3"/>
    </row>
    <row r="14">
      <c r="A14" s="1"/>
      <c r="B14" s="1"/>
      <c r="C14" s="3"/>
      <c r="D14" s="3"/>
      <c r="E14" s="3"/>
    </row>
    <row r="15">
      <c r="A15" s="32" t="s">
        <v>29</v>
      </c>
      <c r="B15" s="33"/>
      <c r="C15" s="3"/>
      <c r="D15" s="3"/>
      <c r="E15" s="3"/>
    </row>
    <row r="16">
      <c r="A16" s="32" t="s">
        <v>31</v>
      </c>
      <c r="B16" s="23"/>
      <c r="C16" s="3"/>
      <c r="D16" s="3"/>
      <c r="E16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5.71"/>
    <col customWidth="1" min="3" max="3" width="14.57"/>
    <col customWidth="1" min="4" max="4" width="10.43"/>
    <col customWidth="1" min="5" max="5" width="14.43"/>
  </cols>
  <sheetData>
    <row r="1">
      <c r="A1" s="68"/>
      <c r="B1" s="68"/>
      <c r="C1" s="68"/>
      <c r="D1" s="69"/>
      <c r="E1" s="69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10</v>
      </c>
      <c r="B2" s="72" t="s">
        <v>15</v>
      </c>
      <c r="C2" s="72" t="s">
        <v>16</v>
      </c>
      <c r="D2" s="73" t="s">
        <v>17</v>
      </c>
      <c r="E2" s="73" t="s">
        <v>18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4" t="s">
        <v>126</v>
      </c>
      <c r="B3" s="75">
        <v>383.0</v>
      </c>
      <c r="C3" s="76">
        <v>280.0</v>
      </c>
      <c r="D3" s="77">
        <f t="shared" ref="D3:D10" si="1">(C3-B3)/B3</f>
        <v>-0.2689295039</v>
      </c>
      <c r="E3" s="78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9" t="s">
        <v>127</v>
      </c>
      <c r="B4" s="79">
        <v>408.0</v>
      </c>
      <c r="C4" s="80">
        <v>399.0</v>
      </c>
      <c r="D4" s="81">
        <f t="shared" si="1"/>
        <v>-0.02205882353</v>
      </c>
      <c r="E4" s="78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82" t="s">
        <v>128</v>
      </c>
      <c r="B5" s="83"/>
      <c r="C5" s="83"/>
      <c r="D5" s="81" t="str">
        <f t="shared" si="1"/>
        <v>#DIV/0!</v>
      </c>
      <c r="E5" s="78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82" t="s">
        <v>109</v>
      </c>
      <c r="B6" s="82">
        <v>582.0</v>
      </c>
      <c r="C6" s="82">
        <v>582.0</v>
      </c>
      <c r="D6" s="81">
        <f t="shared" si="1"/>
        <v>0</v>
      </c>
      <c r="E6" s="78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9" t="s">
        <v>129</v>
      </c>
      <c r="B7" s="79">
        <v>68.0</v>
      </c>
      <c r="C7" s="84">
        <f>26*2</f>
        <v>52</v>
      </c>
      <c r="D7" s="81">
        <f t="shared" si="1"/>
        <v>-0.2352941176</v>
      </c>
      <c r="E7" s="74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9" t="s">
        <v>130</v>
      </c>
      <c r="B8" s="79">
        <v>60.0</v>
      </c>
      <c r="C8" s="80">
        <v>60.0</v>
      </c>
      <c r="D8" s="81">
        <f t="shared" si="1"/>
        <v>0</v>
      </c>
      <c r="E8" s="74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9" t="s">
        <v>131</v>
      </c>
      <c r="B9" s="85">
        <v>80.0</v>
      </c>
      <c r="C9" s="85">
        <v>80.0</v>
      </c>
      <c r="D9" s="81">
        <f t="shared" si="1"/>
        <v>0</v>
      </c>
      <c r="E9" s="78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86" t="s">
        <v>26</v>
      </c>
      <c r="B10" s="75">
        <f t="shared" ref="B10:C10" si="2">SUM(B3:B9)</f>
        <v>1581</v>
      </c>
      <c r="C10" s="75">
        <f t="shared" si="2"/>
        <v>1453</v>
      </c>
      <c r="D10" s="81">
        <f t="shared" si="1"/>
        <v>-0.08096141682</v>
      </c>
      <c r="E10" s="78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68"/>
      <c r="B11" s="68"/>
      <c r="C11" s="69"/>
      <c r="D11" s="69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87" t="s">
        <v>28</v>
      </c>
      <c r="B12" s="88">
        <f>B10-C10</f>
        <v>128</v>
      </c>
      <c r="C12" s="69"/>
      <c r="D12" s="89"/>
      <c r="E12" s="69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8"/>
      <c r="B13" s="68"/>
      <c r="C13" s="69"/>
      <c r="D13" s="89"/>
      <c r="E13" s="69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90" t="s">
        <v>29</v>
      </c>
      <c r="B14" s="91"/>
      <c r="C14" s="69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90" t="s">
        <v>31</v>
      </c>
      <c r="B15" s="92"/>
      <c r="C15" s="69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17" t="s">
        <v>139</v>
      </c>
      <c r="B3" s="18">
        <v>1940.0</v>
      </c>
      <c r="C3" s="41">
        <v>1680.0</v>
      </c>
      <c r="D3" s="21">
        <f t="shared" ref="D3:D8" si="1">(C3-B3)/B3</f>
        <v>-0.1340206186</v>
      </c>
      <c r="E3" s="3"/>
    </row>
    <row r="4">
      <c r="A4" s="17" t="s">
        <v>140</v>
      </c>
      <c r="B4" s="27">
        <v>1000.0</v>
      </c>
      <c r="C4" s="37">
        <v>1000.0</v>
      </c>
      <c r="D4" s="24">
        <f t="shared" si="1"/>
        <v>0</v>
      </c>
      <c r="E4" s="3"/>
    </row>
    <row r="5">
      <c r="A5" s="17" t="s">
        <v>141</v>
      </c>
      <c r="B5" s="27">
        <v>44.0</v>
      </c>
      <c r="C5" s="37">
        <v>0.0</v>
      </c>
      <c r="D5" s="24">
        <f t="shared" si="1"/>
        <v>-1</v>
      </c>
      <c r="E5" s="25"/>
    </row>
    <row r="6">
      <c r="A6" s="17" t="s">
        <v>142</v>
      </c>
      <c r="B6" s="27">
        <v>0.0</v>
      </c>
      <c r="C6" s="37">
        <v>400.0</v>
      </c>
      <c r="D6" s="24" t="str">
        <f t="shared" si="1"/>
        <v>#DIV/0!</v>
      </c>
      <c r="E6" s="25"/>
    </row>
    <row r="7">
      <c r="A7" s="17" t="s">
        <v>143</v>
      </c>
      <c r="B7" s="27">
        <v>100.0</v>
      </c>
      <c r="C7" s="27">
        <v>100.0</v>
      </c>
      <c r="D7" s="24">
        <f t="shared" si="1"/>
        <v>0</v>
      </c>
      <c r="E7" s="26"/>
    </row>
    <row r="8">
      <c r="A8" s="29" t="s">
        <v>26</v>
      </c>
      <c r="B8" s="19">
        <f t="shared" ref="B8:C8" si="2">SUM(B3:B7)</f>
        <v>3084</v>
      </c>
      <c r="C8" s="19">
        <f t="shared" si="2"/>
        <v>3180</v>
      </c>
      <c r="D8" s="21">
        <f t="shared" si="1"/>
        <v>0.03112840467</v>
      </c>
      <c r="E8" s="3"/>
    </row>
    <row r="9">
      <c r="A9" s="1"/>
      <c r="B9" s="1"/>
      <c r="C9" s="3"/>
      <c r="D9" s="3"/>
      <c r="E9" s="3"/>
    </row>
    <row r="10">
      <c r="A10" s="29" t="s">
        <v>28</v>
      </c>
      <c r="B10" s="19">
        <f>B8-C8</f>
        <v>-96</v>
      </c>
      <c r="C10" s="3"/>
      <c r="D10" s="3"/>
      <c r="E10" s="3"/>
    </row>
    <row r="11">
      <c r="A11" s="1"/>
      <c r="B11" s="1"/>
      <c r="C11" s="3"/>
      <c r="D11" s="3"/>
      <c r="E11" s="3"/>
    </row>
    <row r="12">
      <c r="A12" s="32" t="s">
        <v>29</v>
      </c>
      <c r="B12" s="33"/>
      <c r="C12" s="3"/>
      <c r="D12" s="3"/>
      <c r="E12" s="3"/>
    </row>
    <row r="13">
      <c r="A13" s="32" t="s">
        <v>31</v>
      </c>
      <c r="B13" s="23"/>
      <c r="C13" s="3"/>
      <c r="D13" s="3"/>
      <c r="E13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</cols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17" t="s">
        <v>144</v>
      </c>
      <c r="B3" s="18">
        <v>3.5</v>
      </c>
      <c r="C3" s="41">
        <v>3.3</v>
      </c>
      <c r="D3" s="21">
        <f t="shared" ref="D3:D14" si="1">(C3-B3)/B3</f>
        <v>-0.05714285714</v>
      </c>
      <c r="E3" s="3"/>
    </row>
    <row r="4">
      <c r="A4" s="17"/>
      <c r="B4" s="27"/>
      <c r="C4" s="37"/>
      <c r="D4" s="24" t="str">
        <f t="shared" si="1"/>
        <v>#DIV/0!</v>
      </c>
      <c r="E4" s="3"/>
    </row>
    <row r="5">
      <c r="A5" s="17"/>
      <c r="B5" s="27"/>
      <c r="C5" s="23"/>
      <c r="D5" s="24" t="str">
        <f t="shared" si="1"/>
        <v>#DIV/0!</v>
      </c>
      <c r="E5" s="25"/>
    </row>
    <row r="6">
      <c r="A6" s="43"/>
      <c r="B6" s="22"/>
      <c r="C6" s="23"/>
      <c r="D6" s="24" t="str">
        <f t="shared" si="1"/>
        <v>#DIV/0!</v>
      </c>
      <c r="E6" s="25"/>
    </row>
    <row r="7">
      <c r="A7" s="43"/>
      <c r="B7" s="22"/>
      <c r="C7" s="22"/>
      <c r="D7" s="24" t="str">
        <f t="shared" si="1"/>
        <v>#DIV/0!</v>
      </c>
      <c r="E7" s="26"/>
    </row>
    <row r="8">
      <c r="A8" s="43"/>
      <c r="B8" s="22"/>
      <c r="C8" s="22"/>
      <c r="D8" s="24" t="str">
        <f t="shared" si="1"/>
        <v>#DIV/0!</v>
      </c>
      <c r="E8" s="26"/>
    </row>
    <row r="9">
      <c r="A9" s="43"/>
      <c r="B9" s="56"/>
      <c r="C9" s="56"/>
      <c r="D9" s="24" t="str">
        <f t="shared" si="1"/>
        <v>#DIV/0!</v>
      </c>
      <c r="E9" s="3"/>
    </row>
    <row r="10">
      <c r="A10" s="43"/>
      <c r="B10" s="56"/>
      <c r="C10" s="56"/>
      <c r="D10" s="24" t="str">
        <f t="shared" si="1"/>
        <v>#DIV/0!</v>
      </c>
      <c r="E10" s="3"/>
    </row>
    <row r="11">
      <c r="A11" s="43"/>
      <c r="B11" s="56"/>
      <c r="C11" s="56"/>
      <c r="D11" s="24" t="str">
        <f t="shared" si="1"/>
        <v>#DIV/0!</v>
      </c>
      <c r="E11" s="3"/>
    </row>
    <row r="12">
      <c r="A12" s="43"/>
      <c r="B12" s="22"/>
      <c r="C12" s="56"/>
      <c r="D12" s="24" t="str">
        <f t="shared" si="1"/>
        <v>#DIV/0!</v>
      </c>
      <c r="E12" s="3"/>
    </row>
    <row r="13">
      <c r="A13" s="43"/>
      <c r="B13" s="56"/>
      <c r="C13" s="56"/>
      <c r="D13" s="24" t="str">
        <f t="shared" si="1"/>
        <v>#DIV/0!</v>
      </c>
      <c r="E13" s="3"/>
    </row>
    <row r="14">
      <c r="A14" s="29" t="s">
        <v>26</v>
      </c>
      <c r="B14" s="19">
        <f t="shared" ref="B14:C14" si="2">SUM(B3:B11)</f>
        <v>3.5</v>
      </c>
      <c r="C14" s="19">
        <f t="shared" si="2"/>
        <v>3.3</v>
      </c>
      <c r="D14" s="21">
        <f t="shared" si="1"/>
        <v>-0.05714285714</v>
      </c>
      <c r="E14" s="3"/>
    </row>
    <row r="15">
      <c r="A15" s="1"/>
      <c r="B15" s="1"/>
      <c r="C15" s="3"/>
      <c r="D15" s="3"/>
      <c r="E15" s="3"/>
    </row>
    <row r="16">
      <c r="A16" s="29" t="s">
        <v>28</v>
      </c>
      <c r="B16" s="19">
        <f>B14-C14</f>
        <v>0.2</v>
      </c>
      <c r="C16" s="3"/>
      <c r="D16" s="3"/>
      <c r="E16" s="3"/>
    </row>
    <row r="17">
      <c r="A17" s="1"/>
      <c r="B17" s="1"/>
      <c r="C17" s="3"/>
      <c r="D17" s="3"/>
      <c r="E17" s="3"/>
    </row>
    <row r="18">
      <c r="A18" s="32" t="s">
        <v>29</v>
      </c>
      <c r="B18" s="33"/>
      <c r="C18" s="3"/>
      <c r="D18" s="3"/>
      <c r="E18" s="3"/>
    </row>
    <row r="19">
      <c r="A19" s="32" t="s">
        <v>31</v>
      </c>
      <c r="B19" s="23"/>
      <c r="C19" s="3"/>
      <c r="D19" s="3"/>
      <c r="E19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17"/>
      <c r="B3" s="18">
        <v>3000.0</v>
      </c>
      <c r="C3" s="41">
        <v>3000.0</v>
      </c>
      <c r="D3" s="21">
        <f t="shared" ref="D3:D14" si="1">(C3-B3)/B3</f>
        <v>0</v>
      </c>
      <c r="E3" s="3"/>
    </row>
    <row r="4">
      <c r="A4" s="17"/>
      <c r="B4" s="27"/>
      <c r="C4" s="37"/>
      <c r="D4" s="24" t="str">
        <f t="shared" si="1"/>
        <v>#DIV/0!</v>
      </c>
      <c r="E4" s="3"/>
    </row>
    <row r="5">
      <c r="A5" s="17"/>
      <c r="B5" s="27"/>
      <c r="C5" s="23"/>
      <c r="D5" s="24" t="str">
        <f t="shared" si="1"/>
        <v>#DIV/0!</v>
      </c>
      <c r="E5" s="25"/>
    </row>
    <row r="6">
      <c r="A6" s="43"/>
      <c r="B6" s="22"/>
      <c r="C6" s="23"/>
      <c r="D6" s="24" t="str">
        <f t="shared" si="1"/>
        <v>#DIV/0!</v>
      </c>
      <c r="E6" s="25"/>
    </row>
    <row r="7">
      <c r="A7" s="43"/>
      <c r="B7" s="22"/>
      <c r="C7" s="22"/>
      <c r="D7" s="24" t="str">
        <f t="shared" si="1"/>
        <v>#DIV/0!</v>
      </c>
      <c r="E7" s="26"/>
    </row>
    <row r="8">
      <c r="A8" s="43"/>
      <c r="B8" s="22"/>
      <c r="C8" s="22"/>
      <c r="D8" s="24" t="str">
        <f t="shared" si="1"/>
        <v>#DIV/0!</v>
      </c>
      <c r="E8" s="26"/>
    </row>
    <row r="9">
      <c r="A9" s="43"/>
      <c r="B9" s="56"/>
      <c r="C9" s="56"/>
      <c r="D9" s="24" t="str">
        <f t="shared" si="1"/>
        <v>#DIV/0!</v>
      </c>
      <c r="E9" s="3"/>
    </row>
    <row r="10">
      <c r="A10" s="43"/>
      <c r="B10" s="56"/>
      <c r="C10" s="56"/>
      <c r="D10" s="24" t="str">
        <f t="shared" si="1"/>
        <v>#DIV/0!</v>
      </c>
      <c r="E10" s="3"/>
    </row>
    <row r="11">
      <c r="A11" s="43"/>
      <c r="B11" s="56"/>
      <c r="C11" s="56"/>
      <c r="D11" s="24" t="str">
        <f t="shared" si="1"/>
        <v>#DIV/0!</v>
      </c>
      <c r="E11" s="3"/>
    </row>
    <row r="12">
      <c r="A12" s="43"/>
      <c r="B12" s="22"/>
      <c r="C12" s="56"/>
      <c r="D12" s="24" t="str">
        <f t="shared" si="1"/>
        <v>#DIV/0!</v>
      </c>
      <c r="E12" s="3"/>
    </row>
    <row r="13">
      <c r="A13" s="43"/>
      <c r="B13" s="56"/>
      <c r="C13" s="56"/>
      <c r="D13" s="24" t="str">
        <f t="shared" si="1"/>
        <v>#DIV/0!</v>
      </c>
      <c r="E13" s="3"/>
    </row>
    <row r="14">
      <c r="A14" s="29" t="s">
        <v>26</v>
      </c>
      <c r="B14" s="19">
        <f t="shared" ref="B14:C14" si="2">SUM(B3:B11)</f>
        <v>3000</v>
      </c>
      <c r="C14" s="19">
        <f t="shared" si="2"/>
        <v>3000</v>
      </c>
      <c r="D14" s="21">
        <f t="shared" si="1"/>
        <v>0</v>
      </c>
      <c r="E14" s="3"/>
    </row>
    <row r="15">
      <c r="A15" s="1"/>
      <c r="B15" s="1"/>
      <c r="C15" s="3"/>
      <c r="D15" s="3"/>
      <c r="E15" s="3"/>
    </row>
    <row r="16">
      <c r="A16" s="29" t="s">
        <v>28</v>
      </c>
      <c r="B16" s="19">
        <f>B14-C14</f>
        <v>0</v>
      </c>
      <c r="C16" s="3"/>
      <c r="D16" s="3"/>
      <c r="E16" s="3"/>
    </row>
    <row r="17">
      <c r="A17" s="1"/>
      <c r="B17" s="1"/>
      <c r="C17" s="3"/>
      <c r="D17" s="3"/>
      <c r="E17" s="3"/>
    </row>
    <row r="18">
      <c r="A18" s="32" t="s">
        <v>29</v>
      </c>
      <c r="B18" s="33"/>
      <c r="C18" s="3"/>
      <c r="D18" s="3"/>
      <c r="E18" s="3"/>
    </row>
    <row r="19">
      <c r="A19" s="32" t="s">
        <v>31</v>
      </c>
      <c r="B19" s="23"/>
      <c r="C19" s="3"/>
      <c r="D19" s="3"/>
      <c r="E19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</cols>
  <sheetData>
    <row r="1">
      <c r="A1" s="2" t="s">
        <v>154</v>
      </c>
      <c r="B1" s="4"/>
      <c r="C1" s="4"/>
      <c r="D1" s="5"/>
      <c r="E1" s="98"/>
    </row>
    <row r="2">
      <c r="A2" s="104" t="s">
        <v>155</v>
      </c>
      <c r="B2" s="105" t="s">
        <v>1</v>
      </c>
      <c r="C2" s="105" t="s">
        <v>64</v>
      </c>
      <c r="D2" s="106" t="s">
        <v>65</v>
      </c>
      <c r="E2" s="107"/>
    </row>
    <row r="3">
      <c r="A3" s="7" t="s">
        <v>156</v>
      </c>
      <c r="B3" s="42"/>
      <c r="C3" s="8">
        <v>3.5</v>
      </c>
      <c r="D3" s="42"/>
      <c r="E3" s="98"/>
    </row>
    <row r="4">
      <c r="A4" s="7" t="s">
        <v>157</v>
      </c>
      <c r="B4" s="42"/>
      <c r="C4" s="8">
        <v>3.0</v>
      </c>
      <c r="D4" s="8"/>
      <c r="E4" s="96"/>
    </row>
    <row r="5">
      <c r="A5" s="7" t="s">
        <v>158</v>
      </c>
      <c r="B5" s="42"/>
      <c r="C5" s="8">
        <v>1.5</v>
      </c>
      <c r="D5" s="8"/>
      <c r="E5" s="96"/>
    </row>
    <row r="6">
      <c r="A6" s="7" t="s">
        <v>159</v>
      </c>
      <c r="B6" s="42"/>
      <c r="C6" s="8">
        <v>1.5</v>
      </c>
      <c r="D6" s="8"/>
      <c r="E6" s="96"/>
    </row>
    <row r="7">
      <c r="A7" s="7" t="s">
        <v>160</v>
      </c>
      <c r="B7" s="42"/>
      <c r="C7" s="8">
        <v>2.0</v>
      </c>
      <c r="D7" s="8"/>
      <c r="E7" s="108"/>
    </row>
    <row r="8">
      <c r="A8" s="7" t="s">
        <v>161</v>
      </c>
      <c r="B8" s="42"/>
      <c r="C8" s="8">
        <v>1.5</v>
      </c>
      <c r="D8" s="8"/>
      <c r="E8" s="108"/>
    </row>
    <row r="9">
      <c r="A9" s="10"/>
      <c r="B9" s="5"/>
      <c r="C9" s="10"/>
      <c r="D9" s="5"/>
      <c r="E9" s="108"/>
    </row>
    <row r="10">
      <c r="A10" s="7" t="s">
        <v>9</v>
      </c>
      <c r="B10" s="9"/>
      <c r="C10" s="9">
        <f>SUM(C3:C8)</f>
        <v>13</v>
      </c>
      <c r="D10" s="9">
        <f>SUM(E3:E8)</f>
        <v>0</v>
      </c>
      <c r="E10" s="108"/>
    </row>
    <row r="11">
      <c r="B11" s="100"/>
      <c r="C11" s="109"/>
      <c r="D11" s="109"/>
    </row>
    <row r="12">
      <c r="C12" s="108"/>
      <c r="D12" s="108"/>
    </row>
  </sheetData>
  <mergeCells count="3">
    <mergeCell ref="A9:B9"/>
    <mergeCell ref="C9:D9"/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3.14"/>
    <col customWidth="1" min="2" max="3" width="17.57"/>
  </cols>
  <sheetData>
    <row r="1">
      <c r="A1" s="2" t="s">
        <v>61</v>
      </c>
      <c r="B1" s="4"/>
      <c r="C1" s="4"/>
      <c r="D1" s="5"/>
    </row>
    <row r="2">
      <c r="A2" s="47" t="s">
        <v>63</v>
      </c>
      <c r="B2" s="48" t="s">
        <v>1</v>
      </c>
      <c r="C2" s="48" t="s">
        <v>64</v>
      </c>
      <c r="D2" s="47" t="s">
        <v>65</v>
      </c>
    </row>
    <row r="3">
      <c r="A3" s="7" t="s">
        <v>66</v>
      </c>
      <c r="B3" s="8">
        <f>Suspension!B14*0.001</f>
        <v>0.231</v>
      </c>
      <c r="C3" s="8">
        <f>4*0.7</f>
        <v>2.8</v>
      </c>
      <c r="D3" s="42">
        <f>Suspension!C14*0.001</f>
        <v>0.192</v>
      </c>
    </row>
    <row r="4">
      <c r="A4" s="7" t="s">
        <v>67</v>
      </c>
      <c r="B4" s="8">
        <v>0.0</v>
      </c>
      <c r="C4" s="8">
        <v>2.5</v>
      </c>
      <c r="D4" s="42">
        <f>BAR!C7*0.001</f>
        <v>0.564</v>
      </c>
    </row>
    <row r="5">
      <c r="A5" s="7" t="s">
        <v>68</v>
      </c>
      <c r="B5" s="8">
        <f>Triangles!B13*0.001</f>
        <v>3.358</v>
      </c>
      <c r="C5" s="8">
        <v>7.0</v>
      </c>
      <c r="D5" s="42">
        <f>Triangles!C13*0.001</f>
        <v>1.66</v>
      </c>
    </row>
    <row r="6">
      <c r="A6" s="7" t="s">
        <v>69</v>
      </c>
      <c r="B6" s="8">
        <f>Freinage!F9/1000</f>
        <v>2.55</v>
      </c>
      <c r="C6" s="8">
        <v>4.0</v>
      </c>
      <c r="D6" s="42">
        <f>Freinage!G9/1000</f>
        <v>2.01</v>
      </c>
    </row>
    <row r="7">
      <c r="A7" s="7" t="s">
        <v>70</v>
      </c>
      <c r="B7" s="8">
        <f>'Roue équipée'!E30*0.001</f>
        <v>13.833</v>
      </c>
      <c r="C7" s="8">
        <v>8.0</v>
      </c>
      <c r="D7" s="42">
        <f>'Roue équipée'!F30*0.001</f>
        <v>9.866</v>
      </c>
    </row>
    <row r="8">
      <c r="A8" s="7" t="s">
        <v>71</v>
      </c>
      <c r="B8" s="8">
        <f>Direction!B14*0.001</f>
        <v>3.5</v>
      </c>
      <c r="C8" s="8">
        <f>0.5+0.5+1.5+0.5</f>
        <v>3</v>
      </c>
      <c r="D8" s="42">
        <f>Direction!C14*0.001</f>
        <v>3.01</v>
      </c>
    </row>
    <row r="9">
      <c r="A9" s="7" t="s">
        <v>74</v>
      </c>
      <c r="B9" s="8"/>
      <c r="C9" s="8"/>
      <c r="D9" s="42"/>
    </row>
    <row r="10">
      <c r="A10" s="10"/>
      <c r="B10" s="55"/>
      <c r="C10" s="55"/>
      <c r="D10" s="55"/>
    </row>
    <row r="11">
      <c r="A11" s="7" t="s">
        <v>9</v>
      </c>
      <c r="B11" s="9">
        <f t="shared" ref="B11:D11" si="1">SUM(B3:B8)</f>
        <v>23.472</v>
      </c>
      <c r="C11" s="9">
        <f t="shared" si="1"/>
        <v>27.3</v>
      </c>
      <c r="D11" s="9">
        <f t="shared" si="1"/>
        <v>17.302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9" max="9" width="52.86"/>
  </cols>
  <sheetData>
    <row r="1">
      <c r="A1" s="1"/>
      <c r="B1" s="1"/>
      <c r="C1" s="1"/>
      <c r="D1" s="1"/>
      <c r="E1" s="1"/>
      <c r="F1" s="1"/>
      <c r="G1" s="1"/>
      <c r="H1" s="3"/>
      <c r="I1" s="3"/>
    </row>
    <row r="2">
      <c r="A2" s="13" t="s">
        <v>10</v>
      </c>
      <c r="B2" s="14" t="s">
        <v>11</v>
      </c>
      <c r="C2" s="14" t="s">
        <v>12</v>
      </c>
      <c r="D2" s="14" t="s">
        <v>13</v>
      </c>
      <c r="E2" s="14" t="s">
        <v>14</v>
      </c>
      <c r="F2" s="15" t="s">
        <v>15</v>
      </c>
      <c r="G2" s="15" t="s">
        <v>16</v>
      </c>
      <c r="H2" s="16" t="s">
        <v>17</v>
      </c>
      <c r="I2" s="16" t="s">
        <v>18</v>
      </c>
    </row>
    <row r="3">
      <c r="A3" s="17" t="s">
        <v>19</v>
      </c>
      <c r="B3" s="18">
        <v>495.0</v>
      </c>
      <c r="C3" s="18">
        <v>550.0</v>
      </c>
      <c r="D3" s="18">
        <v>601.0</v>
      </c>
      <c r="E3" s="18">
        <v>601.0</v>
      </c>
      <c r="F3" s="19"/>
      <c r="G3" s="20"/>
      <c r="H3" s="21" t="str">
        <f t="shared" ref="H3:H9" si="1">(G3-F3)/F3</f>
        <v>#DIV/0!</v>
      </c>
      <c r="I3" s="3"/>
    </row>
    <row r="4">
      <c r="A4" s="17" t="s">
        <v>20</v>
      </c>
      <c r="B4" s="22"/>
      <c r="C4" s="22"/>
      <c r="D4" s="22"/>
      <c r="E4" s="22"/>
      <c r="F4" s="22"/>
      <c r="G4" s="23"/>
      <c r="H4" s="24" t="str">
        <f t="shared" si="1"/>
        <v>#DIV/0!</v>
      </c>
      <c r="I4" s="3"/>
    </row>
    <row r="5">
      <c r="A5" s="17" t="s">
        <v>21</v>
      </c>
      <c r="B5" s="22"/>
      <c r="C5" s="22"/>
      <c r="D5" s="22"/>
      <c r="E5" s="22"/>
      <c r="F5" s="22"/>
      <c r="G5" s="23"/>
      <c r="H5" s="24" t="str">
        <f t="shared" si="1"/>
        <v>#DIV/0!</v>
      </c>
      <c r="I5" s="25"/>
    </row>
    <row r="6">
      <c r="A6" s="17" t="s">
        <v>22</v>
      </c>
      <c r="B6" s="22"/>
      <c r="C6" s="22"/>
      <c r="D6" s="22"/>
      <c r="E6" s="22"/>
      <c r="F6" s="22"/>
      <c r="G6" s="23"/>
      <c r="H6" s="24" t="str">
        <f t="shared" si="1"/>
        <v>#DIV/0!</v>
      </c>
      <c r="I6" s="25"/>
    </row>
    <row r="7">
      <c r="A7" s="17" t="s">
        <v>23</v>
      </c>
      <c r="B7" s="22"/>
      <c r="C7" s="22"/>
      <c r="D7" s="22"/>
      <c r="E7" s="22"/>
      <c r="F7" s="22"/>
      <c r="G7" s="22"/>
      <c r="H7" s="24" t="str">
        <f t="shared" si="1"/>
        <v>#DIV/0!</v>
      </c>
      <c r="I7" s="26"/>
    </row>
    <row r="8">
      <c r="A8" s="17" t="s">
        <v>24</v>
      </c>
      <c r="B8" s="22"/>
      <c r="C8" s="22"/>
      <c r="D8" s="22"/>
      <c r="E8" s="22"/>
      <c r="F8" s="27">
        <v>2550.0</v>
      </c>
      <c r="G8" s="27">
        <v>2010.0</v>
      </c>
      <c r="H8" s="24">
        <f t="shared" si="1"/>
        <v>-0.2117647059</v>
      </c>
      <c r="I8" s="28" t="s">
        <v>25</v>
      </c>
    </row>
    <row r="9">
      <c r="A9" s="29" t="s">
        <v>26</v>
      </c>
      <c r="B9" s="19"/>
      <c r="C9" s="19"/>
      <c r="D9" s="19"/>
      <c r="E9" s="19"/>
      <c r="F9" s="19">
        <f t="shared" ref="F9:G9" si="2">SUM(F3:F8)</f>
        <v>2550</v>
      </c>
      <c r="G9" s="19">
        <f t="shared" si="2"/>
        <v>2010</v>
      </c>
      <c r="H9" s="21">
        <f t="shared" si="1"/>
        <v>-0.2117647059</v>
      </c>
      <c r="I9" s="3"/>
    </row>
    <row r="10">
      <c r="A10" s="1"/>
      <c r="B10" s="1"/>
      <c r="C10" s="1"/>
      <c r="D10" s="1"/>
      <c r="E10" s="1"/>
      <c r="F10" s="1"/>
      <c r="G10" s="3"/>
      <c r="H10" s="3"/>
      <c r="I10" s="3"/>
    </row>
    <row r="11">
      <c r="A11" s="29" t="s">
        <v>28</v>
      </c>
      <c r="B11" s="19"/>
      <c r="C11" s="19"/>
      <c r="D11" s="19"/>
      <c r="E11" s="19"/>
      <c r="F11" s="19">
        <f>F9-G9</f>
        <v>540</v>
      </c>
      <c r="G11" s="3"/>
      <c r="H11" s="3"/>
      <c r="I11" s="3"/>
    </row>
    <row r="12">
      <c r="A12" s="1"/>
      <c r="B12" s="1"/>
      <c r="C12" s="1"/>
      <c r="D12" s="1"/>
      <c r="E12" s="1"/>
      <c r="F12" s="1"/>
      <c r="G12" s="3"/>
      <c r="H12" s="3"/>
      <c r="I12" s="3"/>
    </row>
    <row r="13">
      <c r="A13" s="32" t="s">
        <v>29</v>
      </c>
      <c r="B13" s="33"/>
      <c r="C13" s="33"/>
      <c r="D13" s="33"/>
      <c r="E13" s="33"/>
      <c r="F13" s="33"/>
      <c r="G13" s="3"/>
      <c r="H13" s="3"/>
      <c r="I13" s="3"/>
    </row>
    <row r="14">
      <c r="A14" s="32" t="s">
        <v>31</v>
      </c>
      <c r="B14" s="23"/>
      <c r="C14" s="23"/>
      <c r="D14" s="23"/>
      <c r="E14" s="23"/>
      <c r="F14" s="23"/>
      <c r="G14" s="3"/>
      <c r="H14" s="3"/>
      <c r="I1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8.14"/>
    <col customWidth="1" min="8" max="8" width="73.0"/>
  </cols>
  <sheetData>
    <row r="1">
      <c r="A1" s="3"/>
      <c r="B1" s="1"/>
      <c r="C1" s="1"/>
      <c r="D1" s="1"/>
      <c r="E1" s="1"/>
      <c r="F1" s="1"/>
      <c r="G1" s="3"/>
      <c r="H1" s="3"/>
    </row>
    <row r="2">
      <c r="A2" s="30"/>
      <c r="B2" s="13" t="s">
        <v>10</v>
      </c>
      <c r="C2" s="14" t="s">
        <v>11</v>
      </c>
      <c r="D2" s="14" t="s">
        <v>13</v>
      </c>
      <c r="E2" s="15" t="s">
        <v>15</v>
      </c>
      <c r="F2" s="15" t="s">
        <v>16</v>
      </c>
      <c r="G2" s="16" t="s">
        <v>17</v>
      </c>
      <c r="H2" s="16" t="s">
        <v>18</v>
      </c>
    </row>
    <row r="3">
      <c r="A3" s="31" t="s">
        <v>27</v>
      </c>
      <c r="B3" s="17" t="s">
        <v>30</v>
      </c>
      <c r="C3" s="18">
        <f>180*2</f>
        <v>360</v>
      </c>
      <c r="D3" s="18">
        <f>190*2</f>
        <v>380</v>
      </c>
      <c r="E3" s="18">
        <v>700.0</v>
      </c>
      <c r="F3" s="34">
        <v>280.0</v>
      </c>
      <c r="G3" s="21">
        <f t="shared" ref="G3:G15" si="1">(F3-E3)/E3</f>
        <v>-0.6</v>
      </c>
      <c r="H3" s="35" t="s">
        <v>32</v>
      </c>
    </row>
    <row r="4">
      <c r="B4" s="17" t="s">
        <v>33</v>
      </c>
      <c r="C4" s="27">
        <f>160+24</f>
        <v>184</v>
      </c>
      <c r="D4" s="27">
        <f>22+150</f>
        <v>172</v>
      </c>
      <c r="E4" s="27">
        <v>70.0</v>
      </c>
      <c r="F4" s="36">
        <v>156.0</v>
      </c>
      <c r="G4" s="24">
        <f t="shared" si="1"/>
        <v>1.228571429</v>
      </c>
      <c r="H4" s="35" t="s">
        <v>34</v>
      </c>
    </row>
    <row r="5">
      <c r="B5" s="17" t="s">
        <v>35</v>
      </c>
      <c r="C5" s="27">
        <f>1220+69</f>
        <v>1289</v>
      </c>
      <c r="D5" s="27">
        <f>710+289+145+111+70+50</f>
        <v>1375</v>
      </c>
      <c r="E5" s="27">
        <v>889.0</v>
      </c>
      <c r="F5" s="37">
        <v>734.0</v>
      </c>
      <c r="G5" s="24">
        <f t="shared" si="1"/>
        <v>-0.1743532058</v>
      </c>
      <c r="H5" s="38" t="s">
        <v>36</v>
      </c>
    </row>
    <row r="6">
      <c r="B6" s="17" t="s">
        <v>37</v>
      </c>
      <c r="C6" s="27">
        <v>717.0</v>
      </c>
      <c r="D6" s="27">
        <v>675.0</v>
      </c>
      <c r="E6" s="27">
        <v>403.0</v>
      </c>
      <c r="F6" s="37">
        <v>490.0</v>
      </c>
      <c r="G6" s="24">
        <f t="shared" si="1"/>
        <v>0.2158808933</v>
      </c>
      <c r="H6" s="38" t="s">
        <v>38</v>
      </c>
    </row>
    <row r="7">
      <c r="B7" s="17" t="s">
        <v>39</v>
      </c>
      <c r="C7" s="27">
        <v>167.0</v>
      </c>
      <c r="D7" s="27">
        <v>92.0</v>
      </c>
      <c r="E7" s="27">
        <v>243.0</v>
      </c>
      <c r="F7" s="39">
        <v>56.0</v>
      </c>
      <c r="G7" s="24">
        <f t="shared" si="1"/>
        <v>-0.7695473251</v>
      </c>
      <c r="H7" s="28" t="s">
        <v>40</v>
      </c>
    </row>
    <row r="8">
      <c r="B8" s="17" t="s">
        <v>41</v>
      </c>
      <c r="C8" s="27">
        <v>46.0</v>
      </c>
      <c r="D8" s="27">
        <v>46.0</v>
      </c>
      <c r="E8" s="27">
        <v>70.0</v>
      </c>
      <c r="F8" s="39">
        <v>77.0</v>
      </c>
      <c r="G8" s="24">
        <f t="shared" si="1"/>
        <v>0.1</v>
      </c>
      <c r="H8" s="28" t="s">
        <v>42</v>
      </c>
    </row>
    <row r="9">
      <c r="B9" s="17" t="s">
        <v>43</v>
      </c>
      <c r="C9" s="40">
        <v>30.0</v>
      </c>
      <c r="D9" s="40">
        <v>70.0</v>
      </c>
      <c r="E9" s="40">
        <v>45.0</v>
      </c>
      <c r="F9" s="37">
        <v>30.0</v>
      </c>
      <c r="G9" s="24">
        <f t="shared" si="1"/>
        <v>-0.3333333333</v>
      </c>
      <c r="H9" s="35" t="s">
        <v>44</v>
      </c>
      <c r="I9">
        <f>SUM(F15:F29)</f>
        <v>5433</v>
      </c>
    </row>
    <row r="10">
      <c r="B10" s="17" t="s">
        <v>45</v>
      </c>
      <c r="C10" s="40">
        <v>345.0</v>
      </c>
      <c r="D10" s="40">
        <v>363.0</v>
      </c>
      <c r="E10" s="40">
        <v>467.0</v>
      </c>
      <c r="F10" s="37">
        <v>120.0</v>
      </c>
      <c r="G10" s="24">
        <f t="shared" si="1"/>
        <v>-0.7430406852</v>
      </c>
      <c r="H10" s="35" t="s">
        <v>46</v>
      </c>
    </row>
    <row r="11">
      <c r="B11" s="17" t="s">
        <v>47</v>
      </c>
      <c r="C11" s="40">
        <v>3400.0</v>
      </c>
      <c r="D11" s="40">
        <v>3400.0</v>
      </c>
      <c r="E11" s="40">
        <v>3400.0</v>
      </c>
      <c r="F11" s="36">
        <v>2450.0</v>
      </c>
      <c r="G11" s="24">
        <f t="shared" si="1"/>
        <v>-0.2794117647</v>
      </c>
      <c r="H11" s="35" t="s">
        <v>48</v>
      </c>
    </row>
    <row r="12">
      <c r="B12" s="17" t="s">
        <v>49</v>
      </c>
      <c r="C12" s="40">
        <v>0.0</v>
      </c>
      <c r="D12" s="40">
        <v>22.0</v>
      </c>
      <c r="E12" s="40">
        <v>26.0</v>
      </c>
      <c r="F12" s="36">
        <v>0.0</v>
      </c>
      <c r="G12" s="24">
        <f t="shared" si="1"/>
        <v>-1</v>
      </c>
      <c r="H12" s="35" t="s">
        <v>50</v>
      </c>
    </row>
    <row r="13">
      <c r="B13" s="17" t="s">
        <v>51</v>
      </c>
      <c r="C13" s="27">
        <v>0.0</v>
      </c>
      <c r="D13" s="27">
        <v>0.0</v>
      </c>
      <c r="E13" s="27">
        <v>17.0</v>
      </c>
      <c r="F13" s="37">
        <v>40.0</v>
      </c>
      <c r="G13" s="24">
        <f t="shared" si="1"/>
        <v>1.352941176</v>
      </c>
      <c r="H13" s="35" t="s">
        <v>52</v>
      </c>
    </row>
    <row r="14">
      <c r="B14" s="17" t="s">
        <v>53</v>
      </c>
      <c r="C14" s="40">
        <v>0.0</v>
      </c>
      <c r="D14" s="40">
        <v>0.0</v>
      </c>
      <c r="E14" s="40">
        <v>162.0</v>
      </c>
      <c r="F14" s="36">
        <v>0.0</v>
      </c>
      <c r="G14" s="24">
        <f t="shared" si="1"/>
        <v>-1</v>
      </c>
      <c r="H14" s="35" t="s">
        <v>50</v>
      </c>
    </row>
    <row r="15">
      <c r="A15" s="31" t="s">
        <v>55</v>
      </c>
      <c r="B15" s="17" t="s">
        <v>30</v>
      </c>
      <c r="C15" s="18">
        <f>180*2</f>
        <v>360</v>
      </c>
      <c r="D15" s="18">
        <v>380.0</v>
      </c>
      <c r="E15" s="18">
        <v>280.0</v>
      </c>
      <c r="F15" s="34">
        <v>280.0</v>
      </c>
      <c r="G15" s="21">
        <f t="shared" si="1"/>
        <v>0</v>
      </c>
      <c r="H15" s="35"/>
    </row>
    <row r="16">
      <c r="B16" s="17" t="s">
        <v>33</v>
      </c>
      <c r="C16" s="27">
        <f>160+24</f>
        <v>184</v>
      </c>
      <c r="D16" s="27">
        <f>22+150</f>
        <v>172</v>
      </c>
      <c r="E16" s="27">
        <v>0.0</v>
      </c>
      <c r="F16" s="36">
        <v>0.0</v>
      </c>
      <c r="G16" s="21"/>
      <c r="H16" s="38"/>
    </row>
    <row r="17">
      <c r="B17" s="17" t="s">
        <v>35</v>
      </c>
      <c r="C17" s="42">
        <f>1140+167+46+30</f>
        <v>1383</v>
      </c>
      <c r="D17" s="27">
        <f>783+214+330+50+30</f>
        <v>1407</v>
      </c>
      <c r="E17" s="27">
        <v>823.0</v>
      </c>
      <c r="F17" s="37">
        <v>780.0</v>
      </c>
      <c r="G17" s="21">
        <f t="shared" ref="G17:G30" si="2">(F17-E17)/E17</f>
        <v>-0.05224787363</v>
      </c>
      <c r="H17" s="38" t="s">
        <v>36</v>
      </c>
    </row>
    <row r="18">
      <c r="B18" s="17" t="s">
        <v>37</v>
      </c>
      <c r="C18" s="7">
        <v>752.0</v>
      </c>
      <c r="D18" s="27">
        <v>717.0</v>
      </c>
      <c r="E18" s="27">
        <v>565.0</v>
      </c>
      <c r="F18" s="37">
        <v>650.0</v>
      </c>
      <c r="G18" s="24">
        <f t="shared" si="2"/>
        <v>0.1504424779</v>
      </c>
      <c r="H18" s="38" t="s">
        <v>38</v>
      </c>
    </row>
    <row r="19">
      <c r="B19" s="17" t="s">
        <v>39</v>
      </c>
      <c r="C19" s="44">
        <v>167.0</v>
      </c>
      <c r="D19" s="27">
        <v>122.0</v>
      </c>
      <c r="E19" s="27">
        <v>328.0</v>
      </c>
      <c r="F19" s="39">
        <v>70.0</v>
      </c>
      <c r="G19" s="24">
        <f t="shared" si="2"/>
        <v>-0.7865853659</v>
      </c>
      <c r="H19" s="28" t="s">
        <v>40</v>
      </c>
    </row>
    <row r="20">
      <c r="B20" s="17" t="s">
        <v>41</v>
      </c>
      <c r="C20" s="27">
        <v>46.0</v>
      </c>
      <c r="D20" s="27">
        <v>51.0</v>
      </c>
      <c r="E20" s="27">
        <v>133.0</v>
      </c>
      <c r="F20" s="39">
        <v>32.0</v>
      </c>
      <c r="G20" s="24">
        <f t="shared" si="2"/>
        <v>-0.7593984962</v>
      </c>
      <c r="H20" s="28" t="s">
        <v>42</v>
      </c>
    </row>
    <row r="21">
      <c r="B21" s="17" t="s">
        <v>43</v>
      </c>
      <c r="C21" s="40">
        <v>30.0</v>
      </c>
      <c r="D21" s="40">
        <v>70.0</v>
      </c>
      <c r="E21" s="40">
        <v>45.0</v>
      </c>
      <c r="F21" s="37">
        <v>30.0</v>
      </c>
      <c r="G21" s="24">
        <f t="shared" si="2"/>
        <v>-0.3333333333</v>
      </c>
      <c r="H21" s="28" t="s">
        <v>44</v>
      </c>
    </row>
    <row r="22">
      <c r="B22" s="17" t="s">
        <v>45</v>
      </c>
      <c r="C22" s="40">
        <v>345.0</v>
      </c>
      <c r="D22" s="40">
        <v>363.0</v>
      </c>
      <c r="E22" s="40">
        <v>375.0</v>
      </c>
      <c r="F22" s="37">
        <v>120.0</v>
      </c>
      <c r="G22" s="24">
        <f t="shared" si="2"/>
        <v>-0.68</v>
      </c>
      <c r="H22" s="35" t="s">
        <v>46</v>
      </c>
    </row>
    <row r="23">
      <c r="B23" s="17" t="s">
        <v>47</v>
      </c>
      <c r="C23" s="40">
        <v>3400.0</v>
      </c>
      <c r="D23" s="40">
        <v>3400.0</v>
      </c>
      <c r="E23" s="40">
        <v>3400.0</v>
      </c>
      <c r="F23" s="36">
        <v>2450.0</v>
      </c>
      <c r="G23" s="24">
        <f t="shared" si="2"/>
        <v>-0.2794117647</v>
      </c>
      <c r="H23" s="35" t="s">
        <v>48</v>
      </c>
    </row>
    <row r="24">
      <c r="B24" s="17" t="s">
        <v>57</v>
      </c>
      <c r="C24" s="40">
        <v>0.0</v>
      </c>
      <c r="D24" s="40">
        <v>0.0</v>
      </c>
      <c r="E24" s="40">
        <v>48.0</v>
      </c>
      <c r="F24" s="37">
        <v>50.0</v>
      </c>
      <c r="G24" s="24">
        <f t="shared" si="2"/>
        <v>0.04166666667</v>
      </c>
      <c r="H24" s="35"/>
    </row>
    <row r="25">
      <c r="B25" s="17" t="s">
        <v>58</v>
      </c>
      <c r="C25" s="40">
        <v>526.0</v>
      </c>
      <c r="D25" s="40">
        <v>526.0</v>
      </c>
      <c r="E25" s="40">
        <v>544.0</v>
      </c>
      <c r="F25" s="37">
        <v>522.0</v>
      </c>
      <c r="G25" s="24">
        <f t="shared" si="2"/>
        <v>-0.04044117647</v>
      </c>
      <c r="H25" s="35"/>
    </row>
    <row r="26">
      <c r="B26" s="17" t="s">
        <v>49</v>
      </c>
      <c r="C26" s="40">
        <v>0.0</v>
      </c>
      <c r="D26" s="40">
        <v>0.0</v>
      </c>
      <c r="E26" s="40">
        <v>26.0</v>
      </c>
      <c r="F26" s="36">
        <v>0.0</v>
      </c>
      <c r="G26" s="24">
        <f t="shared" si="2"/>
        <v>-1</v>
      </c>
      <c r="H26" s="35" t="s">
        <v>50</v>
      </c>
      <c r="I26">
        <f>SUM(F15:F29)</f>
        <v>5433</v>
      </c>
    </row>
    <row r="27">
      <c r="B27" s="17" t="s">
        <v>59</v>
      </c>
      <c r="C27" s="27">
        <v>405.0</v>
      </c>
      <c r="D27" s="27">
        <v>405.0</v>
      </c>
      <c r="E27" s="27">
        <v>606.0</v>
      </c>
      <c r="F27" s="37">
        <v>405.0</v>
      </c>
      <c r="G27" s="24">
        <f t="shared" si="2"/>
        <v>-0.3316831683</v>
      </c>
      <c r="H27" s="35" t="s">
        <v>60</v>
      </c>
    </row>
    <row r="28">
      <c r="B28" s="17" t="s">
        <v>51</v>
      </c>
      <c r="C28" s="27">
        <v>0.0</v>
      </c>
      <c r="D28" s="27">
        <v>0.0</v>
      </c>
      <c r="E28" s="27">
        <v>38.0</v>
      </c>
      <c r="F28" s="37">
        <v>44.0</v>
      </c>
      <c r="G28" s="24">
        <f t="shared" si="2"/>
        <v>0.1578947368</v>
      </c>
      <c r="H28" s="35"/>
    </row>
    <row r="29">
      <c r="B29" s="17" t="s">
        <v>53</v>
      </c>
      <c r="C29" s="40">
        <v>0.0</v>
      </c>
      <c r="D29" s="40">
        <v>0.0</v>
      </c>
      <c r="E29" s="40">
        <v>130.0</v>
      </c>
      <c r="F29" s="36">
        <v>0.0</v>
      </c>
      <c r="G29" s="24">
        <f t="shared" si="2"/>
        <v>-1</v>
      </c>
      <c r="H29" s="35" t="s">
        <v>50</v>
      </c>
    </row>
    <row r="30">
      <c r="A30" s="45"/>
      <c r="B30" s="29" t="s">
        <v>26</v>
      </c>
      <c r="C30" s="19">
        <f t="shared" ref="C30:F30" si="3">SUM(C3:C29)</f>
        <v>14136</v>
      </c>
      <c r="D30" s="19">
        <f t="shared" si="3"/>
        <v>14208</v>
      </c>
      <c r="E30" s="19">
        <f t="shared" si="3"/>
        <v>13833</v>
      </c>
      <c r="F30" s="19">
        <f t="shared" si="3"/>
        <v>9866</v>
      </c>
      <c r="G30" s="21">
        <f t="shared" si="2"/>
        <v>-0.2867779947</v>
      </c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45"/>
      <c r="B32" s="46" t="s">
        <v>62</v>
      </c>
      <c r="C32" s="49"/>
      <c r="D32" s="50">
        <f t="shared" ref="D32:F32" si="4">(C30-D30)*2</f>
        <v>-144</v>
      </c>
      <c r="E32" s="50">
        <f t="shared" si="4"/>
        <v>750</v>
      </c>
      <c r="F32" s="50">
        <f t="shared" si="4"/>
        <v>7934</v>
      </c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51"/>
      <c r="B34" s="52" t="s">
        <v>29</v>
      </c>
      <c r="C34" s="53"/>
      <c r="D34" s="3"/>
      <c r="E34" s="3"/>
      <c r="F34" s="3"/>
    </row>
    <row r="35">
      <c r="A35" s="51"/>
      <c r="B35" s="52" t="s">
        <v>31</v>
      </c>
      <c r="C35" s="54"/>
      <c r="D35" s="3"/>
      <c r="E35" s="3"/>
      <c r="F35" s="3"/>
    </row>
  </sheetData>
  <mergeCells count="2">
    <mergeCell ref="A3:A14"/>
    <mergeCell ref="A15:A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17" t="s">
        <v>54</v>
      </c>
      <c r="B3" s="18">
        <v>0.0</v>
      </c>
      <c r="C3" s="41">
        <v>167.0</v>
      </c>
      <c r="D3" s="21">
        <f t="shared" ref="D3:D7" si="1">(C3-B3)/C3</f>
        <v>1</v>
      </c>
      <c r="E3" s="3"/>
    </row>
    <row r="4">
      <c r="A4" s="17" t="s">
        <v>56</v>
      </c>
      <c r="B4" s="18">
        <v>0.0</v>
      </c>
      <c r="C4" s="37">
        <v>397.0</v>
      </c>
      <c r="D4" s="21">
        <f t="shared" si="1"/>
        <v>1</v>
      </c>
      <c r="E4" s="3"/>
    </row>
    <row r="5">
      <c r="A5" s="43"/>
      <c r="B5" s="22"/>
      <c r="C5" s="23"/>
      <c r="D5" s="21" t="str">
        <f t="shared" si="1"/>
        <v>#DIV/0!</v>
      </c>
      <c r="E5" s="25"/>
    </row>
    <row r="6">
      <c r="A6" s="43"/>
      <c r="B6" s="22"/>
      <c r="C6" s="23"/>
      <c r="D6" s="21" t="str">
        <f t="shared" si="1"/>
        <v>#DIV/0!</v>
      </c>
      <c r="E6" s="25"/>
    </row>
    <row r="7">
      <c r="A7" s="29" t="s">
        <v>26</v>
      </c>
      <c r="B7" s="19"/>
      <c r="C7" s="19">
        <f>SUM(C3:C6)</f>
        <v>564</v>
      </c>
      <c r="D7" s="21">
        <f t="shared" si="1"/>
        <v>1</v>
      </c>
      <c r="E7" s="3"/>
    </row>
    <row r="8">
      <c r="A8" s="1"/>
      <c r="B8" s="1"/>
      <c r="C8" s="3"/>
      <c r="D8" s="3"/>
      <c r="E8" s="3"/>
    </row>
    <row r="9">
      <c r="A9" s="29" t="s">
        <v>28</v>
      </c>
      <c r="B9" s="19">
        <f>B7-C7</f>
        <v>-564</v>
      </c>
      <c r="C9" s="3"/>
      <c r="D9" s="35"/>
      <c r="E9" s="3"/>
    </row>
    <row r="10">
      <c r="A10" s="1"/>
      <c r="B10" s="1"/>
      <c r="C10" s="3"/>
      <c r="D10" s="3"/>
      <c r="E10" s="3"/>
    </row>
    <row r="11">
      <c r="A11" s="32" t="s">
        <v>29</v>
      </c>
      <c r="B11" s="33"/>
      <c r="C11" s="3"/>
      <c r="D11" s="3"/>
      <c r="E11" s="3"/>
    </row>
    <row r="12">
      <c r="A12" s="32" t="s">
        <v>31</v>
      </c>
      <c r="B12" s="23"/>
      <c r="C12" s="3"/>
      <c r="D12" s="3"/>
      <c r="E12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5" max="5" width="31.43"/>
    <col customWidth="1" min="7" max="7" width="17.14"/>
  </cols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  <c r="G2" s="12" t="s">
        <v>72</v>
      </c>
    </row>
    <row r="3">
      <c r="A3" s="17" t="s">
        <v>73</v>
      </c>
      <c r="B3" s="18">
        <v>231.0</v>
      </c>
      <c r="C3" s="20">
        <f>96*2</f>
        <v>192</v>
      </c>
      <c r="D3" s="21">
        <f t="shared" ref="D3:D14" si="1">(C3-B3)/B3</f>
        <v>-0.1688311688</v>
      </c>
      <c r="E3" s="35" t="s">
        <v>75</v>
      </c>
      <c r="G3" s="12" t="s">
        <v>76</v>
      </c>
    </row>
    <row r="4">
      <c r="A4" s="43"/>
      <c r="B4" s="22"/>
      <c r="C4" s="23"/>
      <c r="D4" s="24" t="str">
        <f t="shared" si="1"/>
        <v>#DIV/0!</v>
      </c>
      <c r="E4" s="3"/>
    </row>
    <row r="5">
      <c r="A5" s="43"/>
      <c r="B5" s="22"/>
      <c r="C5" s="23"/>
      <c r="D5" s="24" t="str">
        <f t="shared" si="1"/>
        <v>#DIV/0!</v>
      </c>
      <c r="E5" s="25"/>
    </row>
    <row r="6">
      <c r="A6" s="43"/>
      <c r="B6" s="22"/>
      <c r="C6" s="23"/>
      <c r="D6" s="24" t="str">
        <f t="shared" si="1"/>
        <v>#DIV/0!</v>
      </c>
      <c r="E6" s="25"/>
    </row>
    <row r="7">
      <c r="A7" s="43"/>
      <c r="B7" s="22"/>
      <c r="C7" s="22"/>
      <c r="D7" s="24" t="str">
        <f t="shared" si="1"/>
        <v>#DIV/0!</v>
      </c>
      <c r="E7" s="26"/>
    </row>
    <row r="8">
      <c r="A8" s="43"/>
      <c r="B8" s="22"/>
      <c r="C8" s="22"/>
      <c r="D8" s="24" t="str">
        <f t="shared" si="1"/>
        <v>#DIV/0!</v>
      </c>
      <c r="E8" s="26"/>
    </row>
    <row r="9">
      <c r="A9" s="43"/>
      <c r="B9" s="56"/>
      <c r="C9" s="56"/>
      <c r="D9" s="24" t="str">
        <f t="shared" si="1"/>
        <v>#DIV/0!</v>
      </c>
      <c r="E9" s="3"/>
    </row>
    <row r="10">
      <c r="A10" s="43"/>
      <c r="B10" s="56"/>
      <c r="C10" s="56"/>
      <c r="D10" s="24" t="str">
        <f t="shared" si="1"/>
        <v>#DIV/0!</v>
      </c>
      <c r="E10" s="3"/>
    </row>
    <row r="11">
      <c r="A11" s="43"/>
      <c r="B11" s="56"/>
      <c r="C11" s="56"/>
      <c r="D11" s="24" t="str">
        <f t="shared" si="1"/>
        <v>#DIV/0!</v>
      </c>
      <c r="E11" s="3"/>
    </row>
    <row r="12">
      <c r="A12" s="17" t="s">
        <v>77</v>
      </c>
      <c r="B12" s="27">
        <v>250.0</v>
      </c>
      <c r="C12" s="56"/>
      <c r="D12" s="24">
        <f t="shared" si="1"/>
        <v>-1</v>
      </c>
      <c r="E12" s="3"/>
    </row>
    <row r="13">
      <c r="A13" s="43"/>
      <c r="B13" s="56"/>
      <c r="C13" s="56"/>
      <c r="D13" s="24" t="str">
        <f t="shared" si="1"/>
        <v>#DIV/0!</v>
      </c>
      <c r="E13" s="3"/>
    </row>
    <row r="14">
      <c r="A14" s="29" t="s">
        <v>26</v>
      </c>
      <c r="B14" s="19">
        <f t="shared" ref="B14:C14" si="2">SUM(B3:B11)</f>
        <v>231</v>
      </c>
      <c r="C14" s="19">
        <f t="shared" si="2"/>
        <v>192</v>
      </c>
      <c r="D14" s="21">
        <f t="shared" si="1"/>
        <v>-0.1688311688</v>
      </c>
      <c r="E14" s="3"/>
    </row>
    <row r="15">
      <c r="A15" s="1"/>
      <c r="B15" s="1"/>
      <c r="C15" s="3"/>
      <c r="D15" s="3"/>
      <c r="E15" s="3"/>
    </row>
    <row r="16">
      <c r="A16" s="29" t="s">
        <v>28</v>
      </c>
      <c r="B16" s="19">
        <f>B14-C14</f>
        <v>39</v>
      </c>
      <c r="C16" s="3"/>
      <c r="D16" s="3"/>
      <c r="E16" s="3"/>
    </row>
    <row r="17">
      <c r="A17" s="1"/>
      <c r="B17" s="1"/>
      <c r="C17" s="3"/>
      <c r="D17" s="3"/>
      <c r="E17" s="3"/>
    </row>
    <row r="18">
      <c r="A18" s="32" t="s">
        <v>29</v>
      </c>
      <c r="B18" s="33"/>
      <c r="C18" s="3"/>
      <c r="D18" s="3"/>
      <c r="E18" s="3"/>
    </row>
    <row r="19">
      <c r="A19" s="32" t="s">
        <v>31</v>
      </c>
      <c r="B19" s="23"/>
      <c r="C19" s="3"/>
      <c r="D19" s="3"/>
      <c r="E19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17" t="s">
        <v>78</v>
      </c>
      <c r="B3" s="58">
        <f>17*16</f>
        <v>272</v>
      </c>
      <c r="C3" s="33">
        <f>13*16</f>
        <v>208</v>
      </c>
      <c r="D3" s="59">
        <f t="shared" ref="D3:D13" si="1">(C3-B3)/B3</f>
        <v>-0.2352941176</v>
      </c>
      <c r="E3" s="61"/>
    </row>
    <row r="4">
      <c r="A4" s="17" t="s">
        <v>82</v>
      </c>
      <c r="B4" s="58">
        <f>12*8+4*10</f>
        <v>136</v>
      </c>
      <c r="C4" s="33">
        <f>16*10</f>
        <v>160</v>
      </c>
      <c r="D4" s="59">
        <f t="shared" si="1"/>
        <v>0.1764705882</v>
      </c>
      <c r="E4" s="61"/>
    </row>
    <row r="5">
      <c r="A5" s="17" t="s">
        <v>83</v>
      </c>
      <c r="B5" s="60">
        <f>2*89</f>
        <v>178</v>
      </c>
      <c r="C5" s="33">
        <f>2*30</f>
        <v>60</v>
      </c>
      <c r="D5" s="63">
        <f t="shared" si="1"/>
        <v>-0.6629213483</v>
      </c>
      <c r="E5" s="61"/>
    </row>
    <row r="6">
      <c r="A6" s="17" t="s">
        <v>89</v>
      </c>
      <c r="B6" s="27">
        <f>2*81</f>
        <v>162</v>
      </c>
      <c r="C6" s="33">
        <f>2*32</f>
        <v>64</v>
      </c>
      <c r="D6" s="63">
        <f t="shared" si="1"/>
        <v>-0.6049382716</v>
      </c>
      <c r="E6" s="64"/>
      <c r="G6" s="12" t="s">
        <v>90</v>
      </c>
    </row>
    <row r="7">
      <c r="A7" s="17" t="s">
        <v>91</v>
      </c>
      <c r="B7" s="27">
        <f>2*205</f>
        <v>410</v>
      </c>
      <c r="C7" s="33">
        <f>2*57</f>
        <v>114</v>
      </c>
      <c r="D7" s="63">
        <f t="shared" si="1"/>
        <v>-0.7219512195</v>
      </c>
      <c r="E7" s="64"/>
    </row>
    <row r="8">
      <c r="A8" s="17" t="s">
        <v>92</v>
      </c>
      <c r="B8" s="27">
        <f>2*144</f>
        <v>288</v>
      </c>
      <c r="C8" s="23">
        <f>2*74</f>
        <v>148</v>
      </c>
      <c r="D8" s="63">
        <f t="shared" si="1"/>
        <v>-0.4861111111</v>
      </c>
      <c r="E8" s="44"/>
    </row>
    <row r="9">
      <c r="A9" s="17" t="s">
        <v>93</v>
      </c>
      <c r="B9" s="22">
        <f>32*16+38*12+36*4</f>
        <v>1112</v>
      </c>
      <c r="C9" s="23">
        <f>22*12+10*21</f>
        <v>474</v>
      </c>
      <c r="D9" s="63">
        <f t="shared" si="1"/>
        <v>-0.5737410072</v>
      </c>
      <c r="E9" s="65"/>
    </row>
    <row r="10">
      <c r="A10" s="17" t="s">
        <v>94</v>
      </c>
      <c r="B10" s="56">
        <f>3*32+24*4</f>
        <v>192</v>
      </c>
      <c r="C10" s="33">
        <f>40*1+3*8</f>
        <v>64</v>
      </c>
      <c r="D10" s="63">
        <f t="shared" si="1"/>
        <v>-0.6666666667</v>
      </c>
      <c r="E10" s="61"/>
    </row>
    <row r="11">
      <c r="A11" s="17" t="s">
        <v>95</v>
      </c>
      <c r="B11" s="56">
        <f>24*8</f>
        <v>192</v>
      </c>
      <c r="C11" s="33">
        <f>24*4</f>
        <v>96</v>
      </c>
      <c r="D11" s="63">
        <f t="shared" si="1"/>
        <v>-0.5</v>
      </c>
      <c r="E11" s="61"/>
    </row>
    <row r="12">
      <c r="A12" s="17" t="s">
        <v>96</v>
      </c>
      <c r="B12" s="58">
        <f>12*29+4*17</f>
        <v>416</v>
      </c>
      <c r="C12" s="33">
        <f>16*17</f>
        <v>272</v>
      </c>
      <c r="D12" s="63">
        <f t="shared" si="1"/>
        <v>-0.3461538462</v>
      </c>
      <c r="E12" s="61"/>
    </row>
    <row r="13">
      <c r="A13" s="29" t="s">
        <v>26</v>
      </c>
      <c r="B13" s="19">
        <f t="shared" ref="B13:C13" si="2">SUM(B3:B12)</f>
        <v>3358</v>
      </c>
      <c r="C13" s="19">
        <f t="shared" si="2"/>
        <v>1660</v>
      </c>
      <c r="D13" s="59">
        <f t="shared" si="1"/>
        <v>-0.5056581298</v>
      </c>
      <c r="E13" s="61"/>
    </row>
    <row r="14">
      <c r="A14" s="1"/>
      <c r="B14" s="1"/>
      <c r="C14" s="3"/>
      <c r="D14" s="3"/>
      <c r="E14" s="3"/>
    </row>
    <row r="15">
      <c r="A15" s="29" t="s">
        <v>28</v>
      </c>
      <c r="B15" s="19">
        <f>B13-C13</f>
        <v>1698</v>
      </c>
      <c r="C15" s="3"/>
      <c r="D15" s="3"/>
      <c r="E15" s="3"/>
    </row>
    <row r="16">
      <c r="A16" s="1"/>
      <c r="B16" s="1"/>
      <c r="C16" s="3"/>
      <c r="D16" s="3"/>
      <c r="E16" s="3"/>
    </row>
    <row r="17">
      <c r="A17" s="32" t="s">
        <v>29</v>
      </c>
      <c r="B17" s="33"/>
      <c r="C17" s="3"/>
      <c r="D17" s="3"/>
      <c r="E17" s="3"/>
    </row>
    <row r="18">
      <c r="A18" s="32" t="s">
        <v>31</v>
      </c>
      <c r="B18" s="23"/>
      <c r="C18" s="3"/>
      <c r="D18" s="3"/>
      <c r="E18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1">
      <c r="A1" s="1"/>
      <c r="B1" s="1"/>
      <c r="C1" s="1"/>
      <c r="D1" s="3"/>
      <c r="E1" s="3"/>
    </row>
    <row r="2">
      <c r="A2" s="13" t="s">
        <v>10</v>
      </c>
      <c r="B2" s="15" t="s">
        <v>15</v>
      </c>
      <c r="C2" s="15" t="s">
        <v>16</v>
      </c>
      <c r="D2" s="16" t="s">
        <v>17</v>
      </c>
      <c r="E2" s="16" t="s">
        <v>18</v>
      </c>
    </row>
    <row r="3">
      <c r="A3" s="57" t="s">
        <v>79</v>
      </c>
      <c r="B3" s="58">
        <v>1060.0</v>
      </c>
      <c r="C3" s="23">
        <v>1010.0</v>
      </c>
      <c r="D3" s="21">
        <f t="shared" ref="D3:D10" si="1">(C3-B3)/B3</f>
        <v>-0.04716981132</v>
      </c>
      <c r="E3" s="3"/>
    </row>
    <row r="4">
      <c r="A4" s="57" t="s">
        <v>80</v>
      </c>
      <c r="B4" s="60">
        <v>100.0</v>
      </c>
      <c r="C4" s="58">
        <v>100.0</v>
      </c>
      <c r="D4" s="24">
        <f t="shared" si="1"/>
        <v>0</v>
      </c>
      <c r="E4" s="3"/>
    </row>
    <row r="5">
      <c r="A5" s="57" t="s">
        <v>81</v>
      </c>
      <c r="B5" s="60">
        <v>440.0</v>
      </c>
      <c r="C5" s="62">
        <v>330.0</v>
      </c>
      <c r="D5" s="24">
        <f t="shared" si="1"/>
        <v>-0.25</v>
      </c>
      <c r="E5" s="25"/>
    </row>
    <row r="6">
      <c r="A6" s="57" t="s">
        <v>84</v>
      </c>
      <c r="B6" s="60">
        <v>360.0</v>
      </c>
      <c r="C6" s="23">
        <v>360.0</v>
      </c>
      <c r="D6" s="24">
        <f t="shared" si="1"/>
        <v>0</v>
      </c>
      <c r="E6" s="25"/>
    </row>
    <row r="7">
      <c r="A7" s="57" t="s">
        <v>85</v>
      </c>
      <c r="B7" s="60">
        <v>250.0</v>
      </c>
      <c r="C7" s="58">
        <v>230.0</v>
      </c>
      <c r="D7" s="24">
        <f t="shared" si="1"/>
        <v>-0.08</v>
      </c>
      <c r="E7" s="26"/>
    </row>
    <row r="8">
      <c r="A8" s="57" t="s">
        <v>86</v>
      </c>
      <c r="B8" s="60">
        <v>800.0</v>
      </c>
      <c r="C8" s="58">
        <v>800.0</v>
      </c>
      <c r="D8" s="24">
        <f t="shared" si="1"/>
        <v>0</v>
      </c>
      <c r="E8" s="26"/>
    </row>
    <row r="9">
      <c r="A9" s="57" t="s">
        <v>87</v>
      </c>
      <c r="B9" s="60">
        <v>270.0</v>
      </c>
      <c r="C9" s="62">
        <v>120.0</v>
      </c>
      <c r="D9" s="24">
        <f t="shared" si="1"/>
        <v>-0.5555555556</v>
      </c>
      <c r="E9" s="3"/>
    </row>
    <row r="10">
      <c r="A10" s="57" t="s">
        <v>88</v>
      </c>
      <c r="B10" s="58">
        <v>220.0</v>
      </c>
      <c r="C10" s="23">
        <v>60.0</v>
      </c>
      <c r="D10" s="24">
        <f t="shared" si="1"/>
        <v>-0.7272727273</v>
      </c>
      <c r="E10" s="3"/>
    </row>
    <row r="11">
      <c r="A11" s="43"/>
      <c r="B11" s="56"/>
      <c r="C11" s="56"/>
      <c r="D11" s="24"/>
      <c r="E11" s="3"/>
    </row>
    <row r="12">
      <c r="A12" s="43"/>
      <c r="B12" s="22"/>
      <c r="C12" s="56"/>
      <c r="D12" s="24"/>
      <c r="E12" s="3"/>
    </row>
    <row r="13">
      <c r="A13" s="43"/>
      <c r="B13" s="56"/>
      <c r="C13" s="56"/>
      <c r="D13" s="24"/>
      <c r="E13" s="3"/>
    </row>
    <row r="14">
      <c r="A14" s="29" t="s">
        <v>26</v>
      </c>
      <c r="B14" s="19">
        <f t="shared" ref="B14:C14" si="2">SUM(B3:B11)</f>
        <v>3500</v>
      </c>
      <c r="C14" s="19">
        <f t="shared" si="2"/>
        <v>3010</v>
      </c>
      <c r="D14" s="21">
        <f>(C14-B14)/B14</f>
        <v>-0.14</v>
      </c>
      <c r="E14" s="3"/>
    </row>
    <row r="15">
      <c r="A15" s="1"/>
      <c r="B15" s="1"/>
      <c r="C15" s="3"/>
      <c r="D15" s="3"/>
      <c r="E15" s="3"/>
    </row>
    <row r="16">
      <c r="A16" s="29" t="s">
        <v>28</v>
      </c>
      <c r="B16" s="19">
        <f>B14-C14</f>
        <v>490</v>
      </c>
      <c r="C16" s="3"/>
      <c r="D16" s="3"/>
      <c r="E16" s="3"/>
    </row>
    <row r="17">
      <c r="A17" s="1"/>
      <c r="B17" s="1"/>
      <c r="C17" s="3"/>
      <c r="D17" s="3"/>
      <c r="E17" s="3"/>
    </row>
    <row r="18">
      <c r="A18" s="32" t="s">
        <v>29</v>
      </c>
      <c r="B18" s="33"/>
      <c r="C18" s="3"/>
      <c r="D18" s="3"/>
      <c r="E18" s="3"/>
    </row>
    <row r="19">
      <c r="A19" s="32" t="s">
        <v>31</v>
      </c>
      <c r="B19" s="23"/>
      <c r="C19" s="3"/>
      <c r="D19" s="3"/>
      <c r="E19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12.86"/>
  </cols>
  <sheetData>
    <row r="1">
      <c r="A1" s="99" t="s">
        <v>145</v>
      </c>
      <c r="B1" s="100"/>
      <c r="C1" s="100"/>
      <c r="D1" s="101"/>
    </row>
    <row r="2">
      <c r="A2" s="102" t="s">
        <v>146</v>
      </c>
      <c r="B2" s="103" t="s">
        <v>1</v>
      </c>
      <c r="C2" s="103" t="s">
        <v>64</v>
      </c>
      <c r="D2" s="102" t="s">
        <v>65</v>
      </c>
    </row>
    <row r="3">
      <c r="A3" s="7" t="s">
        <v>147</v>
      </c>
      <c r="B3" s="7">
        <v>37.6</v>
      </c>
      <c r="C3" s="8">
        <v>35.0</v>
      </c>
      <c r="D3" s="8">
        <v>33.6</v>
      </c>
    </row>
    <row r="4">
      <c r="A4" s="7" t="s">
        <v>148</v>
      </c>
      <c r="B4" s="7">
        <v>6.6</v>
      </c>
      <c r="C4" s="8">
        <v>5.0</v>
      </c>
      <c r="D4" s="8">
        <v>5.3</v>
      </c>
    </row>
    <row r="5">
      <c r="A5" s="7" t="s">
        <v>149</v>
      </c>
      <c r="B5" s="7">
        <v>3.0</v>
      </c>
      <c r="C5" s="8">
        <v>3.0</v>
      </c>
      <c r="D5" s="8">
        <v>1.7</v>
      </c>
    </row>
    <row r="6">
      <c r="A6" s="7" t="s">
        <v>109</v>
      </c>
      <c r="B6" s="7">
        <v>2.0</v>
      </c>
      <c r="C6" s="8">
        <v>2.0</v>
      </c>
      <c r="D6" s="8">
        <v>2.0</v>
      </c>
    </row>
    <row r="7">
      <c r="A7" s="7" t="s">
        <v>150</v>
      </c>
      <c r="B7" s="7">
        <v>1.5</v>
      </c>
      <c r="C7" s="8">
        <v>1.5</v>
      </c>
      <c r="D7" s="8">
        <v>1.5</v>
      </c>
    </row>
    <row r="8">
      <c r="A8" s="7" t="s">
        <v>151</v>
      </c>
      <c r="B8" s="7">
        <v>4.0</v>
      </c>
      <c r="C8" s="8">
        <v>2.0</v>
      </c>
      <c r="D8" s="8">
        <v>2.0</v>
      </c>
    </row>
    <row r="9">
      <c r="A9" s="7" t="s">
        <v>152</v>
      </c>
      <c r="B9" s="7">
        <v>0.0</v>
      </c>
      <c r="C9" s="8">
        <v>0.0</v>
      </c>
      <c r="D9" s="8">
        <v>0.0</v>
      </c>
    </row>
    <row r="10">
      <c r="A10" s="7" t="s">
        <v>153</v>
      </c>
      <c r="B10" s="7">
        <v>0.55</v>
      </c>
      <c r="C10" s="8">
        <v>0.2</v>
      </c>
      <c r="D10" s="8">
        <v>0.12</v>
      </c>
    </row>
    <row r="11">
      <c r="A11" s="10"/>
      <c r="B11" s="5"/>
      <c r="C11" s="10"/>
      <c r="D11" s="5"/>
    </row>
    <row r="12">
      <c r="A12" s="7" t="s">
        <v>9</v>
      </c>
      <c r="B12" s="8">
        <f t="shared" ref="B12:C12" si="1">SUM(B3:B9)</f>
        <v>54.7</v>
      </c>
      <c r="C12" s="9">
        <f t="shared" si="1"/>
        <v>48.5</v>
      </c>
      <c r="D12" s="9">
        <f>SUM(D3:D10)</f>
        <v>46.22</v>
      </c>
    </row>
    <row r="13">
      <c r="C13" s="97"/>
      <c r="D13" s="97"/>
      <c r="E13" s="97"/>
    </row>
  </sheetData>
  <mergeCells count="3">
    <mergeCell ref="A11:B11"/>
    <mergeCell ref="C11:D11"/>
    <mergeCell ref="A1:D1"/>
  </mergeCells>
  <drawing r:id="rId1"/>
</worksheet>
</file>