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meiro Nicolas\Documents\EPSA\Intergen\03_Optimus\03_Documents Projet\"/>
    </mc:Choice>
  </mc:AlternateContent>
  <bookViews>
    <workbookView xWindow="0" yWindow="0" windowWidth="25600" windowHeight="12500" tabRatio="912" activeTab="2"/>
  </bookViews>
  <sheets>
    <sheet name="GLOBAL" sheetId="1" r:id="rId1"/>
    <sheet name="LASMECA" sheetId="2" r:id="rId2"/>
    <sheet name="Freinage" sheetId="3" r:id="rId3"/>
    <sheet name="Suspension" sheetId="4" r:id="rId4"/>
    <sheet name="Roue équipée" sheetId="5" r:id="rId5"/>
    <sheet name="BAR" sheetId="6" r:id="rId6"/>
    <sheet name="Triangles" sheetId="7" r:id="rId7"/>
    <sheet name="Direction" sheetId="8" r:id="rId8"/>
    <sheet name="CHASSIS EQUIPE ET AERO" sheetId="9" r:id="rId9"/>
    <sheet name="Chassis" sheetId="10" r:id="rId10"/>
    <sheet name="Carrosserie" sheetId="11" r:id="rId11"/>
    <sheet name="MOTORISATION INSTRUMENTEE" sheetId="12" r:id="rId12"/>
    <sheet name="Transmission secondaire" sheetId="13" r:id="rId13"/>
    <sheet name="Admission" sheetId="14" r:id="rId14"/>
    <sheet name="Refroidissement" sheetId="15" r:id="rId15"/>
    <sheet name="Echappement" sheetId="16" r:id="rId16"/>
    <sheet name="Circuit carburant" sheetId="17" r:id="rId17"/>
    <sheet name="SEISM" sheetId="18" r:id="rId18"/>
  </sheets>
  <calcPr calcId="152511"/>
</workbook>
</file>

<file path=xl/calcChain.xml><?xml version="1.0" encoding="utf-8"?>
<calcChain xmlns="http://schemas.openxmlformats.org/spreadsheetml/2006/main">
  <c r="B6" i="4" l="1"/>
  <c r="B5" i="4"/>
  <c r="D5" i="4" s="1"/>
  <c r="B6" i="1"/>
  <c r="B4" i="1"/>
  <c r="B5" i="1"/>
  <c r="C12" i="9"/>
  <c r="D12" i="9"/>
  <c r="B12" i="9"/>
  <c r="D5" i="1"/>
  <c r="C5" i="1"/>
  <c r="D6" i="1"/>
  <c r="D9" i="18"/>
  <c r="C9" i="18"/>
  <c r="C14" i="17"/>
  <c r="D14" i="17" s="1"/>
  <c r="B14" i="17"/>
  <c r="B16" i="17" s="1"/>
  <c r="D13" i="17"/>
  <c r="D12" i="17"/>
  <c r="D11" i="17"/>
  <c r="D10" i="17"/>
  <c r="D9" i="17"/>
  <c r="D8" i="17"/>
  <c r="D7" i="17"/>
  <c r="D6" i="17"/>
  <c r="D5" i="17"/>
  <c r="D4" i="17"/>
  <c r="D3" i="17"/>
  <c r="D14" i="16"/>
  <c r="C14" i="16"/>
  <c r="B14" i="16"/>
  <c r="B16" i="16" s="1"/>
  <c r="D13" i="16"/>
  <c r="D12" i="16"/>
  <c r="D11" i="16"/>
  <c r="D10" i="16"/>
  <c r="D9" i="16"/>
  <c r="D8" i="16"/>
  <c r="D7" i="16"/>
  <c r="D6" i="16"/>
  <c r="D5" i="16"/>
  <c r="D4" i="16"/>
  <c r="D3" i="16"/>
  <c r="C8" i="15"/>
  <c r="B10" i="15" s="1"/>
  <c r="B8" i="15"/>
  <c r="D7" i="15"/>
  <c r="D6" i="15"/>
  <c r="D5" i="15"/>
  <c r="D4" i="15"/>
  <c r="D3" i="15"/>
  <c r="B10" i="14"/>
  <c r="D9" i="14"/>
  <c r="D8" i="14"/>
  <c r="C7" i="14"/>
  <c r="C10" i="14" s="1"/>
  <c r="D6" i="14"/>
  <c r="D5" i="14"/>
  <c r="D4" i="14"/>
  <c r="D3" i="14"/>
  <c r="D11" i="13"/>
  <c r="C11" i="13"/>
  <c r="B11" i="13"/>
  <c r="B13" i="13" s="1"/>
  <c r="D10" i="13"/>
  <c r="D9" i="13"/>
  <c r="I8" i="13"/>
  <c r="H8" i="13"/>
  <c r="D8" i="13"/>
  <c r="J6" i="13"/>
  <c r="D6" i="13"/>
  <c r="D5" i="13"/>
  <c r="D4" i="13"/>
  <c r="D3" i="13"/>
  <c r="D8" i="12"/>
  <c r="D7" i="12"/>
  <c r="B7" i="12"/>
  <c r="D6" i="12"/>
  <c r="B6" i="12"/>
  <c r="D4" i="12"/>
  <c r="B4" i="12"/>
  <c r="B3" i="12"/>
  <c r="B12" i="11"/>
  <c r="D10" i="11"/>
  <c r="C10" i="11"/>
  <c r="B10" i="11"/>
  <c r="D9" i="11"/>
  <c r="D8" i="11"/>
  <c r="D7" i="11"/>
  <c r="D6" i="11"/>
  <c r="D5" i="11"/>
  <c r="D4" i="11"/>
  <c r="D3" i="11"/>
  <c r="D7" i="10"/>
  <c r="D6" i="10"/>
  <c r="D5" i="10"/>
  <c r="D4" i="10"/>
  <c r="C3" i="10"/>
  <c r="D3" i="10" s="1"/>
  <c r="B3" i="10"/>
  <c r="B8" i="10" s="1"/>
  <c r="C11" i="8"/>
  <c r="D11" i="8" s="1"/>
  <c r="B11" i="8"/>
  <c r="B13" i="8" s="1"/>
  <c r="D10" i="8"/>
  <c r="D9" i="8"/>
  <c r="D8" i="8"/>
  <c r="D7" i="8"/>
  <c r="D6" i="8"/>
  <c r="D5" i="8"/>
  <c r="D4" i="8"/>
  <c r="D3" i="8"/>
  <c r="I13" i="7"/>
  <c r="J13" i="7" s="1"/>
  <c r="K13" i="7" s="1"/>
  <c r="D13" i="7"/>
  <c r="C13" i="7"/>
  <c r="B13" i="7"/>
  <c r="C12" i="7"/>
  <c r="D12" i="7" s="1"/>
  <c r="B12" i="7"/>
  <c r="C11" i="7"/>
  <c r="D11" i="7" s="1"/>
  <c r="B11" i="7"/>
  <c r="C10" i="7"/>
  <c r="B10" i="7"/>
  <c r="D10" i="7" s="1"/>
  <c r="D9" i="7"/>
  <c r="C9" i="7"/>
  <c r="B9" i="7"/>
  <c r="C8" i="7"/>
  <c r="D8" i="7" s="1"/>
  <c r="B8" i="7"/>
  <c r="C7" i="7"/>
  <c r="D7" i="7" s="1"/>
  <c r="B7" i="7"/>
  <c r="C6" i="7"/>
  <c r="B6" i="7"/>
  <c r="D6" i="7" s="1"/>
  <c r="D5" i="7"/>
  <c r="C5" i="7"/>
  <c r="B5" i="7"/>
  <c r="C4" i="7"/>
  <c r="D4" i="7" s="1"/>
  <c r="B4" i="7"/>
  <c r="C3" i="7"/>
  <c r="C14" i="7" s="1"/>
  <c r="B3" i="7"/>
  <c r="B14" i="7" s="1"/>
  <c r="C7" i="6"/>
  <c r="B9" i="6" s="1"/>
  <c r="D6" i="6"/>
  <c r="D5" i="6"/>
  <c r="D4" i="6"/>
  <c r="D3" i="6"/>
  <c r="E40" i="5"/>
  <c r="G39" i="5"/>
  <c r="G38" i="5"/>
  <c r="G37" i="5"/>
  <c r="G36" i="5"/>
  <c r="G35" i="5"/>
  <c r="G34" i="5"/>
  <c r="G33" i="5"/>
  <c r="G32" i="5"/>
  <c r="G31" i="5"/>
  <c r="G30" i="5"/>
  <c r="F30" i="5"/>
  <c r="G29" i="5"/>
  <c r="G28" i="5"/>
  <c r="G27" i="5"/>
  <c r="G26" i="5"/>
  <c r="G25" i="5"/>
  <c r="D25" i="5"/>
  <c r="C25" i="5"/>
  <c r="G23" i="5"/>
  <c r="G22" i="5"/>
  <c r="D21" i="5"/>
  <c r="C21" i="5"/>
  <c r="G20" i="5"/>
  <c r="C20" i="5"/>
  <c r="G19" i="5"/>
  <c r="G18" i="5"/>
  <c r="G17" i="5"/>
  <c r="G16" i="5"/>
  <c r="G15" i="5"/>
  <c r="C15" i="5"/>
  <c r="G14" i="5"/>
  <c r="F13" i="5"/>
  <c r="G13" i="5" s="1"/>
  <c r="G12" i="5"/>
  <c r="G11" i="5"/>
  <c r="G10" i="5"/>
  <c r="G9" i="5"/>
  <c r="G8" i="5"/>
  <c r="D8" i="5"/>
  <c r="C8" i="5"/>
  <c r="G7" i="5"/>
  <c r="G6" i="5"/>
  <c r="G5" i="5"/>
  <c r="G4" i="5"/>
  <c r="D4" i="5"/>
  <c r="C4" i="5"/>
  <c r="G3" i="5"/>
  <c r="D3" i="5"/>
  <c r="D40" i="5" s="1"/>
  <c r="E42" i="5" s="1"/>
  <c r="C3" i="5"/>
  <c r="C40" i="5" s="1"/>
  <c r="D42" i="5" s="1"/>
  <c r="C11" i="4"/>
  <c r="B11" i="4"/>
  <c r="B3" i="2" s="1"/>
  <c r="D10" i="4"/>
  <c r="D9" i="4"/>
  <c r="D8" i="4"/>
  <c r="D7" i="4"/>
  <c r="D6" i="4"/>
  <c r="D3" i="4"/>
  <c r="H9" i="3"/>
  <c r="G9" i="3"/>
  <c r="F9" i="3"/>
  <c r="F11" i="3" s="1"/>
  <c r="H8" i="3"/>
  <c r="H7" i="3"/>
  <c r="H6" i="3"/>
  <c r="H5" i="3"/>
  <c r="H4" i="3"/>
  <c r="H3" i="3"/>
  <c r="D9" i="2"/>
  <c r="C9" i="2"/>
  <c r="B9" i="2"/>
  <c r="D8" i="2"/>
  <c r="C8" i="2"/>
  <c r="B7" i="2"/>
  <c r="D6" i="2"/>
  <c r="D4" i="2"/>
  <c r="D3" i="2"/>
  <c r="C3" i="2"/>
  <c r="C11" i="2" s="1"/>
  <c r="C3" i="1" s="1"/>
  <c r="C6" i="1"/>
  <c r="D11" i="4" l="1"/>
  <c r="D5" i="2"/>
  <c r="D14" i="7"/>
  <c r="D10" i="14"/>
  <c r="D3" i="12"/>
  <c r="D10" i="12" s="1"/>
  <c r="D4" i="1" s="1"/>
  <c r="B11" i="2"/>
  <c r="B3" i="1" s="1"/>
  <c r="B5" i="2"/>
  <c r="B16" i="7"/>
  <c r="B12" i="14"/>
  <c r="D7" i="6"/>
  <c r="D3" i="7"/>
  <c r="B8" i="12"/>
  <c r="B10" i="12" s="1"/>
  <c r="D7" i="14"/>
  <c r="B6" i="2"/>
  <c r="B8" i="2"/>
  <c r="B13" i="4"/>
  <c r="C8" i="10"/>
  <c r="D8" i="10" s="1"/>
  <c r="C7" i="12"/>
  <c r="C10" i="12" s="1"/>
  <c r="C4" i="1" s="1"/>
  <c r="C9" i="1" s="1"/>
  <c r="D8" i="15"/>
  <c r="F40" i="5"/>
  <c r="B10" i="10" l="1"/>
  <c r="G40" i="5"/>
  <c r="F42" i="5"/>
  <c r="D7" i="2"/>
  <c r="D11" i="2" s="1"/>
  <c r="D3" i="1" s="1"/>
  <c r="D9" i="1" s="1"/>
</calcChain>
</file>

<file path=xl/sharedStrings.xml><?xml version="1.0" encoding="utf-8"?>
<sst xmlns="http://schemas.openxmlformats.org/spreadsheetml/2006/main" count="338" uniqueCount="185">
  <si>
    <t xml:space="preserve">Pièce </t>
  </si>
  <si>
    <t>Dynamix (en g)</t>
  </si>
  <si>
    <t>Kynétix (en g)</t>
  </si>
  <si>
    <t>Olympix (en g)</t>
  </si>
  <si>
    <t>Atomix (en g)</t>
  </si>
  <si>
    <t>Vulcanix (en g)</t>
  </si>
  <si>
    <t>Optimus (en g)</t>
  </si>
  <si>
    <t>différence</t>
  </si>
  <si>
    <t>Commentaires</t>
  </si>
  <si>
    <t>Disque --&gt; dans roue équipée</t>
  </si>
  <si>
    <t>frette--&gt; dans roue équipée</t>
  </si>
  <si>
    <t>étriers --&gt; dans roue équipée</t>
  </si>
  <si>
    <t>cables</t>
  </si>
  <si>
    <t>durites</t>
  </si>
  <si>
    <t>Pedalier (avec maîtres-cylindres)</t>
  </si>
  <si>
    <t>La masse pour vulcanix a été estimé sous Catia</t>
  </si>
  <si>
    <t xml:space="preserve">Total </t>
  </si>
  <si>
    <t xml:space="preserve">Gain </t>
  </si>
  <si>
    <t>Certain</t>
  </si>
  <si>
    <t>Estimé</t>
  </si>
  <si>
    <t>BUDGET MASSIQUE GLOBAL</t>
  </si>
  <si>
    <t>Vulcanix</t>
  </si>
  <si>
    <t>Prévisionnel (TOP Projet)</t>
  </si>
  <si>
    <t>Estimé (TOP Copeau)</t>
  </si>
  <si>
    <t>S1 LASMECA</t>
  </si>
  <si>
    <t>S2 MOTORISATION INSTRUMENTEE</t>
  </si>
  <si>
    <t>S3 CHASSIS EQUIPEE ET PACK AERO</t>
  </si>
  <si>
    <t>S4 SEISM</t>
  </si>
  <si>
    <t>AUTRE</t>
  </si>
  <si>
    <t>MASSE TOTALE (kg)</t>
  </si>
  <si>
    <t xml:space="preserve">
</t>
  </si>
  <si>
    <t>Masse réelle de Vulcanix : 237 kg</t>
  </si>
  <si>
    <t>poid soudure</t>
  </si>
  <si>
    <t>Front chapes tube carrée/Ohlins</t>
  </si>
  <si>
    <t>277 avec visserie</t>
  </si>
  <si>
    <t>Changement du concept de la chape</t>
  </si>
  <si>
    <t>0.01 g/mm</t>
  </si>
  <si>
    <t>Front chapes Pivot/Rocker</t>
  </si>
  <si>
    <t>Basculeurs Avants (sans visserie)</t>
  </si>
  <si>
    <t>Basculeurs Arrières (sans visserie)</t>
  </si>
  <si>
    <t xml:space="preserve">Rear chapes Pivot/Rocker </t>
  </si>
  <si>
    <t>Rear chapes Olhins/Frame</t>
  </si>
  <si>
    <t>Olhins</t>
  </si>
  <si>
    <t>Spring</t>
  </si>
  <si>
    <t>BUDGET MASSIQUE S1: LASMECA</t>
  </si>
  <si>
    <t xml:space="preserve">Système </t>
  </si>
  <si>
    <t>Prévisionnelle</t>
  </si>
  <si>
    <t>Estimée</t>
  </si>
  <si>
    <t>Suspension</t>
  </si>
  <si>
    <t>Barre anti roulis</t>
  </si>
  <si>
    <t>Triangles</t>
  </si>
  <si>
    <t>Système de freinage</t>
  </si>
  <si>
    <t>Roue équipée</t>
  </si>
  <si>
    <t>Direction</t>
  </si>
  <si>
    <t>Une roue avant</t>
  </si>
  <si>
    <t xml:space="preserve">Roulements </t>
  </si>
  <si>
    <t>Pneumatique</t>
  </si>
  <si>
    <t>Passage roulement classique (30euros) à roulements de super précision (300 euros)</t>
  </si>
  <si>
    <t>Ecrou encoche</t>
  </si>
  <si>
    <t>Ecrou encoche plus gros car diamètre intérieur roulement plus gros</t>
  </si>
  <si>
    <t>Disque Capteur vitesse</t>
  </si>
  <si>
    <t>changement disque à trou par système de roue dentée cachée au milieu du PM</t>
  </si>
  <si>
    <t>Chape capteur vitesse</t>
  </si>
  <si>
    <t>plus besoin de chape, taraudage M10 direct dans le PM</t>
  </si>
  <si>
    <t>Entretoise capteur vitesse</t>
  </si>
  <si>
    <t>entretoise découpés laser alu pour centrer la roue dentée au milieu des roulements en conservant quand même un peu de jeu pour pas gêner la précontrainte</t>
  </si>
  <si>
    <t>Porte moyeu</t>
  </si>
  <si>
    <t>Gain sur frette de frein évidée et épaisseur totale passe de 45 à 40 mm</t>
  </si>
  <si>
    <t>Moyeu</t>
  </si>
  <si>
    <t>Plus lourd car plus long (mais pas d'élargisseur de voie) et partie de maintient de la frette et diamètre plus important</t>
  </si>
  <si>
    <t>Chape rapporté triangle supérieur</t>
  </si>
  <si>
    <t>Passage en aluminium et 2 points de fixation au lieu de 3</t>
  </si>
  <si>
    <t>Calle de carrossage théorique</t>
  </si>
  <si>
    <t>Passage de 2 points de fixation au lieu de 3</t>
  </si>
  <si>
    <t xml:space="preserve">Visserie chape sup </t>
  </si>
  <si>
    <t>une vis m6 en moins</t>
  </si>
  <si>
    <t>Frette de frein</t>
  </si>
  <si>
    <t>Passage frette alu (comprend la visserie)</t>
  </si>
  <si>
    <t>Disque de frein</t>
  </si>
  <si>
    <t>barre avant</t>
  </si>
  <si>
    <t>Changement diamètre pas possible comme à l'arrière car coût important comparé au gain. Possible l'an prochain car cette année recyclage du système de freinage d'Olympix</t>
  </si>
  <si>
    <t>Goujons</t>
  </si>
  <si>
    <t>Inserts chassis</t>
  </si>
  <si>
    <t>Jante</t>
  </si>
  <si>
    <t>Passage magnésium</t>
  </si>
  <si>
    <t>Entretoise frein</t>
  </si>
  <si>
    <t>Plus nécéssaire avec nouveau positionnement sur le moyeu</t>
  </si>
  <si>
    <t>barre arrière</t>
  </si>
  <si>
    <t>Entretoise roulement</t>
  </si>
  <si>
    <t xml:space="preserve">Diamètre intérieur plus gros et plus longue </t>
  </si>
  <si>
    <t>Elargisseur de voie</t>
  </si>
  <si>
    <t>Une roue arrière</t>
  </si>
  <si>
    <t>Même pièces que pour l'avant</t>
  </si>
  <si>
    <t>Inserts taraudés</t>
  </si>
  <si>
    <t>Plus lourd car plus long (mais pas d'élargisseur de voie) et partie de maintient de la frette</t>
  </si>
  <si>
    <t>Inserts PM sans susp. avant</t>
  </si>
  <si>
    <t xml:space="preserve">Passage alu </t>
  </si>
  <si>
    <t>Passage disque plus petit à l'arrière pour avoir moins de soucis packaging avec l'étrier arrière</t>
  </si>
  <si>
    <t>Inserts PM sans susp. arriere</t>
  </si>
  <si>
    <t>Entretoise tripod housing</t>
  </si>
  <si>
    <t>Tripod housing</t>
  </si>
  <si>
    <t>Inserts PM avec susp. avant</t>
  </si>
  <si>
    <t>Etrier frein</t>
  </si>
  <si>
    <t>Passage possible à un étrier plus petit</t>
  </si>
  <si>
    <t>Inserts PM avec susp. arriere</t>
  </si>
  <si>
    <t>Boulons</t>
  </si>
  <si>
    <t>Gain 4 roues</t>
  </si>
  <si>
    <t>Entretoises</t>
  </si>
  <si>
    <t>Rotules</t>
  </si>
  <si>
    <t>Porte-rotules</t>
  </si>
  <si>
    <t>Tubes carbones</t>
  </si>
  <si>
    <t>Ensemble crémaillère</t>
  </si>
  <si>
    <t>Quick release</t>
  </si>
  <si>
    <t>Volant</t>
  </si>
  <si>
    <t>Aurélien le 0A</t>
  </si>
  <si>
    <t>Biellettes de direction</t>
  </si>
  <si>
    <t>Chapes de crémaillère</t>
  </si>
  <si>
    <t>Ensemble pivot</t>
  </si>
  <si>
    <t>Joint de cardan</t>
  </si>
  <si>
    <t>Colonne de direction</t>
  </si>
  <si>
    <t>Masse volumique triangles carbones : 1570 kg/m3</t>
  </si>
  <si>
    <t>Vulcanix (en kg)</t>
  </si>
  <si>
    <t>Optimus (en kg)</t>
  </si>
  <si>
    <t>Chapes LAS</t>
  </si>
  <si>
    <t>Nez</t>
  </si>
  <si>
    <t>Tubulaire</t>
  </si>
  <si>
    <t>Ouies</t>
  </si>
  <si>
    <t>Chapes Moto</t>
  </si>
  <si>
    <t>Plaques</t>
  </si>
  <si>
    <t>Chapes Nez</t>
  </si>
  <si>
    <t>Chapes Elec</t>
  </si>
  <si>
    <t>Chapes carrosserie</t>
  </si>
  <si>
    <t>Chapes Ouies</t>
  </si>
  <si>
    <t>Fond plat</t>
  </si>
  <si>
    <t>Pare-feu</t>
  </si>
  <si>
    <t xml:space="preserve">Couronne </t>
  </si>
  <si>
    <t xml:space="preserve">Porte couronne </t>
  </si>
  <si>
    <t>indicateur pour changement chaine et couronne</t>
  </si>
  <si>
    <t>Porte excentrique droit</t>
  </si>
  <si>
    <t>masse (g)</t>
  </si>
  <si>
    <t>Prix</t>
  </si>
  <si>
    <t>Indicateur</t>
  </si>
  <si>
    <t>Porte excentrique gauche</t>
  </si>
  <si>
    <t>euros/gramme gagné</t>
  </si>
  <si>
    <t>Chaine</t>
  </si>
  <si>
    <t>Optimus</t>
  </si>
  <si>
    <t>Jacking bar</t>
  </si>
  <si>
    <t>on la perce</t>
  </si>
  <si>
    <t xml:space="preserve">gain </t>
  </si>
  <si>
    <t xml:space="preserve">Chain Shell </t>
  </si>
  <si>
    <t>Bride papillon</t>
  </si>
  <si>
    <t>BUDGET MASSIQUE S3: CHASSIS EQUIPE ET PACK AERO</t>
  </si>
  <si>
    <t>Plenum</t>
  </si>
  <si>
    <t>Systèmes</t>
  </si>
  <si>
    <t>BUDGET MASSIQUE S2: MOTORISATION INSTRUMENTEE</t>
  </si>
  <si>
    <t>Châssis tubulaire</t>
  </si>
  <si>
    <t>Equipements</t>
  </si>
  <si>
    <t>Paroi pare feu</t>
  </si>
  <si>
    <t>Plaque anti intrusion</t>
  </si>
  <si>
    <t>Carrosserie</t>
  </si>
  <si>
    <t>Apendices aéro</t>
  </si>
  <si>
    <t>Commande d'embrayage</t>
  </si>
  <si>
    <t>Tubulures</t>
  </si>
  <si>
    <t>Fix moteur</t>
  </si>
  <si>
    <t>Admission</t>
  </si>
  <si>
    <t>Fix chassis</t>
  </si>
  <si>
    <t>Manchons</t>
  </si>
  <si>
    <t>Echappement</t>
  </si>
  <si>
    <t>Moteur</t>
  </si>
  <si>
    <t>Circuit de carburant</t>
  </si>
  <si>
    <t>Refroidissement</t>
  </si>
  <si>
    <t>Transmission secondaire</t>
  </si>
  <si>
    <t>Radiateur</t>
  </si>
  <si>
    <t>Ventilateur</t>
  </si>
  <si>
    <t>Silent-Blocs</t>
  </si>
  <si>
    <t>Durites (eau comprise)</t>
  </si>
  <si>
    <t>Barre de maintien</t>
  </si>
  <si>
    <t>Collecteur+silencieux</t>
  </si>
  <si>
    <t>BUDGET MASSIQUE S4: SEISM</t>
  </si>
  <si>
    <t>Système</t>
  </si>
  <si>
    <t>Faisceau électrique</t>
  </si>
  <si>
    <t>Batterie</t>
  </si>
  <si>
    <t>Tableau de bord</t>
  </si>
  <si>
    <t>Commande BV</t>
  </si>
  <si>
    <t>Télémétrie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</si>
</sst>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"/>
  </numFmts>
  <fonts count="15">
    <font>
      <sz val="10"/>
      <color rgb="FF000000"/>
      <name val="Arial"/>
    </font>
    <font>
      <sz val="10"/>
      <name val="Arial"/>
    </font>
    <font>
      <b/>
      <sz val="10"/>
      <name val="Proxima Nova"/>
    </font>
    <font>
      <sz val="10"/>
      <name val="Proxima Nova"/>
    </font>
    <font>
      <b/>
      <i/>
      <sz val="10"/>
      <name val="Arial"/>
    </font>
    <font>
      <sz val="10"/>
      <name val="Arial"/>
    </font>
    <font>
      <b/>
      <sz val="14"/>
      <name val="Proxima Nova"/>
    </font>
    <font>
      <sz val="11"/>
      <color rgb="FF000000"/>
      <name val="Calibri"/>
    </font>
    <font>
      <sz val="13"/>
      <name val="Sans-serif"/>
    </font>
    <font>
      <sz val="10"/>
      <name val="Century Gothic"/>
    </font>
    <font>
      <b/>
      <sz val="10"/>
      <name val="Century Gothic"/>
    </font>
    <font>
      <b/>
      <i/>
      <sz val="10"/>
      <name val="Century Gothic"/>
      <family val="2"/>
    </font>
    <font>
      <sz val="10"/>
      <name val="Century Gothic"/>
      <family val="2"/>
    </font>
    <font>
      <sz val="10"/>
      <color rgb="FF000000"/>
      <name val="Century Gothic"/>
      <family val="2"/>
    </font>
    <font>
      <b/>
      <sz val="1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rgb="FF999999"/>
        <bgColor rgb="FF999999"/>
      </patternFill>
    </fill>
    <fill>
      <patternFill patternType="solid">
        <fgColor rgb="FFC9DAF8"/>
        <bgColor rgb="FFC9DAF8"/>
      </patternFill>
    </fill>
    <fill>
      <patternFill patternType="solid">
        <fgColor rgb="FF92D050"/>
        <bgColor rgb="FF92D050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45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10" fontId="3" fillId="0" borderId="0" xfId="0" applyNumberFormat="1" applyFont="1" applyAlignment="1">
      <alignment horizontal="right" wrapText="1"/>
    </xf>
    <xf numFmtId="0" fontId="3" fillId="0" borderId="3" xfId="0" applyFont="1" applyBorder="1" applyAlignment="1">
      <alignment wrapText="1"/>
    </xf>
    <xf numFmtId="0" fontId="1" fillId="3" borderId="3" xfId="0" applyFont="1" applyFill="1" applyBorder="1" applyAlignment="1"/>
    <xf numFmtId="10" fontId="3" fillId="0" borderId="0" xfId="0" applyNumberFormat="1" applyFont="1" applyAlignment="1">
      <alignment horizontal="center" wrapText="1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3" fillId="0" borderId="3" xfId="0" applyFont="1" applyBorder="1" applyAlignment="1">
      <alignment wrapText="1"/>
    </xf>
    <xf numFmtId="0" fontId="3" fillId="0" borderId="0" xfId="0" applyFont="1" applyAlignment="1">
      <alignment wrapText="1"/>
    </xf>
    <xf numFmtId="0" fontId="2" fillId="2" borderId="2" xfId="0" applyFont="1" applyFill="1" applyBorder="1" applyAlignment="1">
      <alignment horizontal="right" wrapText="1"/>
    </xf>
    <xf numFmtId="0" fontId="3" fillId="2" borderId="2" xfId="0" applyFont="1" applyFill="1" applyBorder="1" applyAlignment="1">
      <alignment horizontal="right" wrapText="1"/>
    </xf>
    <xf numFmtId="0" fontId="1" fillId="4" borderId="3" xfId="0" applyFont="1" applyFill="1" applyBorder="1" applyAlignment="1"/>
    <xf numFmtId="0" fontId="5" fillId="0" borderId="7" xfId="0" applyFont="1" applyBorder="1" applyAlignment="1"/>
    <xf numFmtId="0" fontId="5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Alignment="1"/>
    <xf numFmtId="0" fontId="3" fillId="3" borderId="3" xfId="0" applyFont="1" applyFill="1" applyBorder="1" applyAlignment="1">
      <alignment horizontal="right" wrapText="1"/>
    </xf>
    <xf numFmtId="0" fontId="1" fillId="0" borderId="0" xfId="0" applyFont="1" applyAlignment="1"/>
    <xf numFmtId="0" fontId="1" fillId="3" borderId="3" xfId="0" applyFont="1" applyFill="1" applyBorder="1" applyAlignment="1"/>
    <xf numFmtId="0" fontId="1" fillId="0" borderId="3" xfId="0" applyFont="1" applyBorder="1" applyAlignment="1"/>
    <xf numFmtId="0" fontId="3" fillId="0" borderId="2" xfId="0" applyFont="1" applyBorder="1" applyAlignment="1">
      <alignment wrapText="1"/>
    </xf>
    <xf numFmtId="0" fontId="1" fillId="0" borderId="3" xfId="0" applyFont="1" applyBorder="1" applyAlignment="1"/>
    <xf numFmtId="0" fontId="5" fillId="0" borderId="7" xfId="0" applyFont="1" applyBorder="1"/>
    <xf numFmtId="0" fontId="2" fillId="2" borderId="0" xfId="0" applyFont="1" applyFill="1" applyAlignment="1">
      <alignment wrapText="1"/>
    </xf>
    <xf numFmtId="0" fontId="3" fillId="4" borderId="3" xfId="0" applyFont="1" applyFill="1" applyBorder="1" applyAlignment="1">
      <alignment horizontal="right" wrapText="1"/>
    </xf>
    <xf numFmtId="0" fontId="1" fillId="4" borderId="3" xfId="0" applyFont="1" applyFill="1" applyBorder="1" applyAlignment="1"/>
    <xf numFmtId="0" fontId="3" fillId="0" borderId="0" xfId="0" applyFont="1" applyAlignment="1"/>
    <xf numFmtId="0" fontId="3" fillId="4" borderId="3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7" fillId="0" borderId="3" xfId="0" applyFont="1" applyBorder="1" applyAlignment="1">
      <alignment horizontal="right"/>
    </xf>
    <xf numFmtId="10" fontId="3" fillId="0" borderId="7" xfId="0" applyNumberFormat="1" applyFont="1" applyBorder="1" applyAlignment="1">
      <alignment horizontal="right" wrapText="1"/>
    </xf>
    <xf numFmtId="0" fontId="1" fillId="0" borderId="7" xfId="0" applyFont="1" applyBorder="1" applyAlignment="1"/>
    <xf numFmtId="0" fontId="3" fillId="0" borderId="7" xfId="0" applyFont="1" applyBorder="1" applyAlignment="1">
      <alignment wrapText="1"/>
    </xf>
    <xf numFmtId="0" fontId="7" fillId="0" borderId="7" xfId="0" applyFont="1" applyBorder="1" applyAlignment="1">
      <alignment horizontal="right"/>
    </xf>
    <xf numFmtId="10" fontId="3" fillId="0" borderId="7" xfId="0" applyNumberFormat="1" applyFont="1" applyBorder="1" applyAlignment="1">
      <alignment horizontal="center" wrapText="1"/>
    </xf>
    <xf numFmtId="0" fontId="3" fillId="0" borderId="7" xfId="0" applyFont="1" applyBorder="1" applyAlignment="1"/>
    <xf numFmtId="0" fontId="2" fillId="2" borderId="0" xfId="0" applyFont="1" applyFill="1" applyAlignment="1">
      <alignment horizontal="right" wrapText="1"/>
    </xf>
    <xf numFmtId="0" fontId="3" fillId="0" borderId="7" xfId="0" applyFont="1" applyBorder="1" applyAlignment="1">
      <alignment wrapText="1"/>
    </xf>
    <xf numFmtId="0" fontId="2" fillId="2" borderId="4" xfId="0" applyFont="1" applyFill="1" applyBorder="1" applyAlignment="1">
      <alignment horizontal="right" wrapText="1"/>
    </xf>
    <xf numFmtId="0" fontId="2" fillId="2" borderId="7" xfId="0" applyFont="1" applyFill="1" applyBorder="1" applyAlignment="1">
      <alignment horizontal="right" wrapText="1"/>
    </xf>
    <xf numFmtId="0" fontId="3" fillId="0" borderId="7" xfId="0" applyFont="1" applyBorder="1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3" fillId="2" borderId="7" xfId="0" applyFont="1" applyFill="1" applyBorder="1" applyAlignment="1">
      <alignment horizontal="right" wrapText="1"/>
    </xf>
    <xf numFmtId="0" fontId="7" fillId="0" borderId="2" xfId="0" applyFont="1" applyBorder="1" applyAlignment="1"/>
    <xf numFmtId="0" fontId="1" fillId="4" borderId="7" xfId="0" applyFont="1" applyFill="1" applyBorder="1" applyAlignment="1"/>
    <xf numFmtId="1" fontId="1" fillId="4" borderId="3" xfId="0" applyNumberFormat="1" applyFont="1" applyFill="1" applyBorder="1" applyAlignment="1"/>
    <xf numFmtId="0" fontId="7" fillId="7" borderId="3" xfId="0" applyFont="1" applyFill="1" applyBorder="1" applyAlignment="1">
      <alignment horizontal="right"/>
    </xf>
    <xf numFmtId="0" fontId="1" fillId="3" borderId="7" xfId="0" applyFont="1" applyFill="1" applyBorder="1" applyAlignment="1"/>
    <xf numFmtId="0" fontId="1" fillId="0" borderId="7" xfId="0" applyFont="1" applyBorder="1" applyAlignment="1"/>
    <xf numFmtId="1" fontId="3" fillId="0" borderId="3" xfId="0" applyNumberFormat="1" applyFont="1" applyBorder="1" applyAlignment="1">
      <alignment horizontal="right" wrapText="1"/>
    </xf>
    <xf numFmtId="4" fontId="8" fillId="0" borderId="0" xfId="0" applyNumberFormat="1" applyFont="1" applyAlignment="1"/>
    <xf numFmtId="4" fontId="5" fillId="0" borderId="0" xfId="0" applyNumberFormat="1" applyFont="1" applyAlignment="1"/>
    <xf numFmtId="0" fontId="9" fillId="0" borderId="1" xfId="0" applyFont="1" applyBorder="1" applyAlignment="1"/>
    <xf numFmtId="0" fontId="9" fillId="0" borderId="0" xfId="0" applyFont="1" applyAlignment="1"/>
    <xf numFmtId="0" fontId="9" fillId="0" borderId="0" xfId="0" applyFont="1"/>
    <xf numFmtId="0" fontId="10" fillId="2" borderId="2" xfId="0" applyFont="1" applyFill="1" applyBorder="1" applyAlignment="1">
      <alignment wrapText="1"/>
    </xf>
    <xf numFmtId="0" fontId="10" fillId="2" borderId="3" xfId="0" applyFont="1" applyFill="1" applyBorder="1" applyAlignment="1">
      <alignment wrapText="1"/>
    </xf>
    <xf numFmtId="0" fontId="9" fillId="2" borderId="0" xfId="0" applyFont="1" applyFill="1" applyAlignment="1">
      <alignment wrapText="1"/>
    </xf>
    <xf numFmtId="0" fontId="9" fillId="0" borderId="7" xfId="0" applyFont="1" applyBorder="1" applyAlignment="1">
      <alignment wrapText="1"/>
    </xf>
    <xf numFmtId="0" fontId="9" fillId="0" borderId="7" xfId="0" applyFont="1" applyBorder="1" applyAlignment="1">
      <alignment horizontal="right" wrapText="1"/>
    </xf>
    <xf numFmtId="0" fontId="9" fillId="3" borderId="7" xfId="0" applyFont="1" applyFill="1" applyBorder="1" applyAlignment="1">
      <alignment horizontal="right" wrapText="1"/>
    </xf>
    <xf numFmtId="10" fontId="9" fillId="0" borderId="7" xfId="0" applyNumberFormat="1" applyFont="1" applyBorder="1" applyAlignment="1">
      <alignment horizontal="right" wrapText="1"/>
    </xf>
    <xf numFmtId="0" fontId="9" fillId="0" borderId="7" xfId="0" applyFont="1" applyBorder="1" applyAlignment="1"/>
    <xf numFmtId="0" fontId="9" fillId="0" borderId="7" xfId="0" applyFont="1" applyBorder="1" applyAlignment="1">
      <alignment wrapText="1"/>
    </xf>
    <xf numFmtId="0" fontId="9" fillId="3" borderId="7" xfId="0" applyFont="1" applyFill="1" applyBorder="1" applyAlignment="1"/>
    <xf numFmtId="10" fontId="9" fillId="0" borderId="7" xfId="0" applyNumberFormat="1" applyFont="1" applyBorder="1" applyAlignment="1">
      <alignment horizontal="center" wrapText="1"/>
    </xf>
    <xf numFmtId="0" fontId="5" fillId="9" borderId="7" xfId="0" applyFont="1" applyFill="1" applyBorder="1" applyAlignment="1"/>
    <xf numFmtId="0" fontId="9" fillId="0" borderId="7" xfId="0" applyFont="1" applyBorder="1" applyAlignment="1"/>
    <xf numFmtId="0" fontId="9" fillId="0" borderId="7" xfId="0" applyFont="1" applyBorder="1"/>
    <xf numFmtId="0" fontId="5" fillId="0" borderId="0" xfId="0" applyFont="1" applyAlignment="1">
      <alignment horizontal="center"/>
    </xf>
    <xf numFmtId="0" fontId="5" fillId="9" borderId="7" xfId="0" applyFont="1" applyFill="1" applyBorder="1" applyAlignment="1">
      <alignment horizontal="center" wrapText="1"/>
    </xf>
    <xf numFmtId="0" fontId="9" fillId="3" borderId="7" xfId="0" applyFont="1" applyFill="1" applyBorder="1" applyAlignment="1"/>
    <xf numFmtId="0" fontId="5" fillId="9" borderId="4" xfId="0" applyFont="1" applyFill="1" applyBorder="1" applyAlignment="1"/>
    <xf numFmtId="0" fontId="5" fillId="0" borderId="11" xfId="0" applyFont="1" applyBorder="1" applyAlignment="1">
      <alignment horizontal="center"/>
    </xf>
    <xf numFmtId="0" fontId="9" fillId="0" borderId="7" xfId="0" applyFont="1" applyBorder="1" applyAlignment="1"/>
    <xf numFmtId="0" fontId="10" fillId="2" borderId="7" xfId="0" applyFont="1" applyFill="1" applyBorder="1" applyAlignment="1">
      <alignment horizontal="right" wrapText="1"/>
    </xf>
    <xf numFmtId="0" fontId="10" fillId="2" borderId="2" xfId="0" applyFont="1" applyFill="1" applyBorder="1" applyAlignment="1">
      <alignment horizontal="right" wrapText="1"/>
    </xf>
    <xf numFmtId="0" fontId="5" fillId="0" borderId="11" xfId="0" applyFont="1" applyBorder="1"/>
    <xf numFmtId="0" fontId="9" fillId="0" borderId="3" xfId="0" applyFont="1" applyBorder="1" applyAlignment="1">
      <alignment horizontal="right" wrapText="1"/>
    </xf>
    <xf numFmtId="0" fontId="9" fillId="0" borderId="0" xfId="0" applyFont="1" applyAlignment="1"/>
    <xf numFmtId="0" fontId="9" fillId="2" borderId="2" xfId="0" applyFont="1" applyFill="1" applyBorder="1" applyAlignment="1">
      <alignment horizontal="right" wrapText="1"/>
    </xf>
    <xf numFmtId="0" fontId="9" fillId="4" borderId="3" xfId="0" applyFont="1" applyFill="1" applyBorder="1" applyAlignment="1"/>
    <xf numFmtId="0" fontId="9" fillId="3" borderId="3" xfId="0" applyFont="1" applyFill="1" applyBorder="1" applyAlignment="1"/>
    <xf numFmtId="0" fontId="4" fillId="0" borderId="4" xfId="0" applyFont="1" applyBorder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0" fontId="5" fillId="5" borderId="4" xfId="0" applyFont="1" applyFill="1" applyBorder="1"/>
    <xf numFmtId="0" fontId="6" fillId="0" borderId="0" xfId="0" applyFont="1" applyAlignment="1">
      <alignment horizontal="center" vertical="center" textRotation="45" wrapText="1"/>
    </xf>
    <xf numFmtId="0" fontId="0" fillId="0" borderId="0" xfId="0" applyFont="1" applyAlignment="1"/>
    <xf numFmtId="0" fontId="11" fillId="0" borderId="4" xfId="0" applyFont="1" applyBorder="1" applyAlignment="1">
      <alignment horizontal="center"/>
    </xf>
    <xf numFmtId="0" fontId="12" fillId="0" borderId="5" xfId="0" applyFont="1" applyBorder="1"/>
    <xf numFmtId="0" fontId="12" fillId="0" borderId="6" xfId="0" applyFont="1" applyBorder="1"/>
    <xf numFmtId="0" fontId="11" fillId="0" borderId="0" xfId="0" applyFont="1" applyAlignment="1">
      <alignment horizontal="center"/>
    </xf>
    <xf numFmtId="0" fontId="13" fillId="0" borderId="0" xfId="0" applyFont="1" applyAlignment="1"/>
    <xf numFmtId="0" fontId="12" fillId="0" borderId="7" xfId="0" applyFont="1" applyBorder="1" applyAlignment="1"/>
    <xf numFmtId="0" fontId="12" fillId="0" borderId="7" xfId="0" applyFont="1" applyBorder="1" applyAlignment="1">
      <alignment horizontal="center"/>
    </xf>
    <xf numFmtId="2" fontId="12" fillId="0" borderId="7" xfId="0" applyNumberFormat="1" applyFont="1" applyBorder="1" applyAlignment="1">
      <alignment horizontal="center"/>
    </xf>
    <xf numFmtId="164" fontId="12" fillId="0" borderId="7" xfId="0" applyNumberFormat="1" applyFont="1" applyBorder="1" applyAlignment="1">
      <alignment horizontal="center"/>
    </xf>
    <xf numFmtId="0" fontId="12" fillId="5" borderId="4" xfId="0" applyFont="1" applyFill="1" applyBorder="1"/>
    <xf numFmtId="0" fontId="12" fillId="5" borderId="7" xfId="0" applyFont="1" applyFill="1" applyBorder="1"/>
    <xf numFmtId="0" fontId="12" fillId="0" borderId="0" xfId="0" applyFont="1" applyAlignment="1"/>
    <xf numFmtId="0" fontId="12" fillId="0" borderId="11" xfId="0" applyFont="1" applyBorder="1"/>
    <xf numFmtId="0" fontId="12" fillId="10" borderId="7" xfId="0" applyFont="1" applyFill="1" applyBorder="1" applyAlignment="1"/>
    <xf numFmtId="0" fontId="12" fillId="10" borderId="7" xfId="0" applyFont="1" applyFill="1" applyBorder="1" applyAlignment="1">
      <alignment horizontal="center" wrapText="1"/>
    </xf>
    <xf numFmtId="0" fontId="12" fillId="10" borderId="4" xfId="0" applyFont="1" applyFill="1" applyBorder="1" applyAlignment="1"/>
    <xf numFmtId="0" fontId="12" fillId="6" borderId="11" xfId="0" applyFont="1" applyFill="1" applyBorder="1" applyAlignment="1"/>
    <xf numFmtId="0" fontId="12" fillId="0" borderId="7" xfId="0" applyFont="1" applyBorder="1"/>
    <xf numFmtId="0" fontId="12" fillId="0" borderId="1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9" xfId="0" applyFont="1" applyBorder="1"/>
    <xf numFmtId="0" fontId="12" fillId="0" borderId="9" xfId="0" applyFont="1" applyBorder="1" applyAlignment="1">
      <alignment horizontal="center"/>
    </xf>
    <xf numFmtId="0" fontId="12" fillId="0" borderId="1" xfId="0" applyFont="1" applyBorder="1" applyAlignment="1"/>
    <xf numFmtId="0" fontId="14" fillId="2" borderId="2" xfId="0" applyFont="1" applyFill="1" applyBorder="1" applyAlignment="1">
      <alignment wrapText="1"/>
    </xf>
    <xf numFmtId="0" fontId="14" fillId="2" borderId="3" xfId="0" applyFont="1" applyFill="1" applyBorder="1" applyAlignment="1">
      <alignment wrapText="1"/>
    </xf>
    <xf numFmtId="0" fontId="12" fillId="2" borderId="0" xfId="0" applyFont="1" applyFill="1" applyAlignment="1">
      <alignment wrapText="1"/>
    </xf>
    <xf numFmtId="0" fontId="12" fillId="0" borderId="2" xfId="0" applyFont="1" applyBorder="1" applyAlignment="1">
      <alignment wrapText="1"/>
    </xf>
    <xf numFmtId="0" fontId="12" fillId="0" borderId="3" xfId="0" applyFont="1" applyBorder="1" applyAlignment="1">
      <alignment horizontal="right" wrapText="1"/>
    </xf>
    <xf numFmtId="0" fontId="12" fillId="3" borderId="3" xfId="0" applyFont="1" applyFill="1" applyBorder="1" applyAlignment="1">
      <alignment horizontal="right" wrapText="1"/>
    </xf>
    <xf numFmtId="10" fontId="12" fillId="0" borderId="0" xfId="0" applyNumberFormat="1" applyFont="1" applyAlignment="1">
      <alignment horizontal="right" wrapText="1"/>
    </xf>
    <xf numFmtId="0" fontId="12" fillId="0" borderId="3" xfId="0" applyFont="1" applyBorder="1" applyAlignment="1">
      <alignment wrapText="1"/>
    </xf>
    <xf numFmtId="0" fontId="12" fillId="3" borderId="3" xfId="0" applyFont="1" applyFill="1" applyBorder="1" applyAlignment="1"/>
    <xf numFmtId="10" fontId="12" fillId="0" borderId="0" xfId="0" applyNumberFormat="1" applyFont="1" applyAlignment="1">
      <alignment horizontal="center" wrapText="1"/>
    </xf>
    <xf numFmtId="0" fontId="12" fillId="0" borderId="0" xfId="0" applyFont="1" applyAlignment="1">
      <alignment wrapText="1"/>
    </xf>
    <xf numFmtId="0" fontId="14" fillId="2" borderId="2" xfId="0" applyFont="1" applyFill="1" applyBorder="1" applyAlignment="1">
      <alignment horizontal="right" wrapText="1"/>
    </xf>
    <xf numFmtId="0" fontId="12" fillId="2" borderId="2" xfId="0" applyFont="1" applyFill="1" applyBorder="1" applyAlignment="1">
      <alignment horizontal="right" wrapText="1"/>
    </xf>
    <xf numFmtId="0" fontId="12" fillId="4" borderId="3" xfId="0" applyFont="1" applyFill="1" applyBorder="1" applyAlignment="1"/>
    <xf numFmtId="0" fontId="11" fillId="0" borderId="8" xfId="0" applyFont="1" applyBorder="1" applyAlignment="1">
      <alignment horizontal="center"/>
    </xf>
    <xf numFmtId="0" fontId="12" fillId="0" borderId="9" xfId="0" applyFont="1" applyBorder="1"/>
    <xf numFmtId="0" fontId="12" fillId="0" borderId="10" xfId="0" applyFont="1" applyBorder="1"/>
    <xf numFmtId="0" fontId="12" fillId="8" borderId="7" xfId="0" applyFont="1" applyFill="1" applyBorder="1" applyAlignment="1"/>
    <xf numFmtId="0" fontId="12" fillId="8" borderId="7" xfId="0" applyFont="1" applyFill="1" applyBorder="1" applyAlignment="1">
      <alignment horizontal="center" wrapText="1"/>
    </xf>
    <xf numFmtId="0" fontId="12" fillId="6" borderId="7" xfId="0" applyFont="1" applyFill="1" applyBorder="1" applyAlignment="1"/>
    <xf numFmtId="0" fontId="12" fillId="6" borderId="7" xfId="0" applyFont="1" applyFill="1" applyBorder="1" applyAlignment="1">
      <alignment horizontal="center" wrapText="1"/>
    </xf>
    <xf numFmtId="0" fontId="12" fillId="5" borderId="4" xfId="0" applyFont="1" applyFill="1" applyBorder="1"/>
    <xf numFmtId="0" fontId="12" fillId="5" borderId="5" xfId="0" applyFont="1" applyFill="1" applyBorder="1"/>
    <xf numFmtId="0" fontId="12" fillId="0" borderId="3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Bilan Massique : Prévisionnel vs Estimé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GLOBAL!$B$2</c:f>
              <c:strCache>
                <c:ptCount val="1"/>
                <c:pt idx="0">
                  <c:v>Vulcanix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GLOBAL!$A$3:$A$7</c:f>
              <c:strCache>
                <c:ptCount val="5"/>
                <c:pt idx="0">
                  <c:v>S1 LASMECA</c:v>
                </c:pt>
                <c:pt idx="1">
                  <c:v>S2 MOTORISATION INSTRUMENTEE</c:v>
                </c:pt>
                <c:pt idx="2">
                  <c:v>S3 CHASSIS EQUIPEE ET PACK AERO</c:v>
                </c:pt>
                <c:pt idx="3">
                  <c:v>S4 SEISM</c:v>
                </c:pt>
                <c:pt idx="4">
                  <c:v>AUTRE</c:v>
                </c:pt>
              </c:strCache>
            </c:strRef>
          </c:cat>
          <c:val>
            <c:numRef>
              <c:f>GLOBAL!$B$3:$B$7</c:f>
              <c:numCache>
                <c:formatCode>General</c:formatCode>
                <c:ptCount val="5"/>
                <c:pt idx="0">
                  <c:v>64.361999999999995</c:v>
                </c:pt>
                <c:pt idx="1">
                  <c:v>76.187000000000012</c:v>
                </c:pt>
                <c:pt idx="2">
                  <c:v>58.85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GLOBAL!$C$2</c:f>
              <c:strCache>
                <c:ptCount val="1"/>
                <c:pt idx="0">
                  <c:v>Prévisionnel (TOP Projet)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GLOBAL!$A$3:$A$7</c:f>
              <c:strCache>
                <c:ptCount val="5"/>
                <c:pt idx="0">
                  <c:v>S1 LASMECA</c:v>
                </c:pt>
                <c:pt idx="1">
                  <c:v>S2 MOTORISATION INSTRUMENTEE</c:v>
                </c:pt>
                <c:pt idx="2">
                  <c:v>S3 CHASSIS EQUIPEE ET PACK AERO</c:v>
                </c:pt>
                <c:pt idx="3">
                  <c:v>S4 SEISM</c:v>
                </c:pt>
                <c:pt idx="4">
                  <c:v>AUTRE</c:v>
                </c:pt>
              </c:strCache>
            </c:strRef>
          </c:cat>
          <c:val>
            <c:numRef>
              <c:f>GLOBAL!$C$3:$C$7</c:f>
              <c:numCache>
                <c:formatCode>General</c:formatCode>
                <c:ptCount val="5"/>
                <c:pt idx="0">
                  <c:v>60.199999999999996</c:v>
                </c:pt>
                <c:pt idx="1">
                  <c:v>76.180000000000007</c:v>
                </c:pt>
                <c:pt idx="2" formatCode="d\.m">
                  <c:v>44.34</c:v>
                </c:pt>
                <c:pt idx="3">
                  <c:v>11.5</c:v>
                </c:pt>
                <c:pt idx="4">
                  <c:v>9</c:v>
                </c:pt>
              </c:numCache>
            </c:numRef>
          </c:val>
        </c:ser>
        <c:ser>
          <c:idx val="2"/>
          <c:order val="2"/>
          <c:tx>
            <c:strRef>
              <c:f>GLOBAL!$D$2</c:f>
              <c:strCache>
                <c:ptCount val="1"/>
                <c:pt idx="0">
                  <c:v>Estimé (TOP Copeau)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GLOBAL!$A$3:$A$7</c:f>
              <c:strCache>
                <c:ptCount val="5"/>
                <c:pt idx="0">
                  <c:v>S1 LASMECA</c:v>
                </c:pt>
                <c:pt idx="1">
                  <c:v>S2 MOTORISATION INSTRUMENTEE</c:v>
                </c:pt>
                <c:pt idx="2">
                  <c:v>S3 CHASSIS EQUIPEE ET PACK AERO</c:v>
                </c:pt>
                <c:pt idx="3">
                  <c:v>S4 SEISM</c:v>
                </c:pt>
                <c:pt idx="4">
                  <c:v>AUTRE</c:v>
                </c:pt>
              </c:strCache>
            </c:strRef>
          </c:cat>
          <c:val>
            <c:numRef>
              <c:f>GLOBAL!$D$3:$D$7</c:f>
              <c:numCache>
                <c:formatCode>0.00</c:formatCode>
                <c:ptCount val="5"/>
                <c:pt idx="0">
                  <c:v>53.914978024691351</c:v>
                </c:pt>
                <c:pt idx="1">
                  <c:v>74.327000000000012</c:v>
                </c:pt>
                <c:pt idx="2" formatCode="d\.m">
                  <c:v>44.34</c:v>
                </c:pt>
                <c:pt idx="3" formatCode="General">
                  <c:v>0</c:v>
                </c:pt>
                <c:pt idx="4" formatCode="General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9365488"/>
        <c:axId val="629367120"/>
      </c:barChart>
      <c:catAx>
        <c:axId val="62936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Systèmes du véhicule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9367120"/>
        <c:crosses val="autoZero"/>
        <c:auto val="1"/>
        <c:lblAlgn val="ctr"/>
        <c:lblOffset val="100"/>
        <c:noMultiLvlLbl val="0"/>
      </c:catAx>
      <c:valAx>
        <c:axId val="6293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Masse (en kg)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936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LASMECA!$B$2</c:f>
              <c:strCache>
                <c:ptCount val="1"/>
                <c:pt idx="0">
                  <c:v>Vulcanix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LASMECA!$A$3:$A$9</c:f>
              <c:strCache>
                <c:ptCount val="7"/>
                <c:pt idx="0">
                  <c:v>Suspension</c:v>
                </c:pt>
                <c:pt idx="1">
                  <c:v>Barre anti roulis</c:v>
                </c:pt>
                <c:pt idx="2">
                  <c:v>Triangles</c:v>
                </c:pt>
                <c:pt idx="3">
                  <c:v>Système de freinage</c:v>
                </c:pt>
                <c:pt idx="4">
                  <c:v>Roue équipée</c:v>
                </c:pt>
                <c:pt idx="5">
                  <c:v>Direction</c:v>
                </c:pt>
                <c:pt idx="6">
                  <c:v>Pneumatique</c:v>
                </c:pt>
              </c:strCache>
            </c:strRef>
          </c:cat>
          <c:val>
            <c:numRef>
              <c:f>LASMECA!$B$3:$B$9</c:f>
              <c:numCache>
                <c:formatCode>General</c:formatCode>
                <c:ptCount val="7"/>
                <c:pt idx="0">
                  <c:v>2.7440000000000002</c:v>
                </c:pt>
                <c:pt idx="1">
                  <c:v>0</c:v>
                </c:pt>
                <c:pt idx="2">
                  <c:v>4.4139999999999997</c:v>
                </c:pt>
                <c:pt idx="3">
                  <c:v>2.5499999999999998</c:v>
                </c:pt>
                <c:pt idx="4">
                  <c:v>31.754000000000001</c:v>
                </c:pt>
                <c:pt idx="5">
                  <c:v>3.5</c:v>
                </c:pt>
                <c:pt idx="6">
                  <c:v>19.399999999999999</c:v>
                </c:pt>
              </c:numCache>
            </c:numRef>
          </c:val>
        </c:ser>
        <c:ser>
          <c:idx val="2"/>
          <c:order val="1"/>
          <c:tx>
            <c:strRef>
              <c:f>LASMECA!$C$2</c:f>
              <c:strCache>
                <c:ptCount val="1"/>
                <c:pt idx="0">
                  <c:v>Prévisionnelle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LASMECA!$C$3:$C$9</c:f>
              <c:numCache>
                <c:formatCode>General</c:formatCode>
                <c:ptCount val="7"/>
                <c:pt idx="0">
                  <c:v>2.8</c:v>
                </c:pt>
                <c:pt idx="1">
                  <c:v>2.5</c:v>
                </c:pt>
                <c:pt idx="2">
                  <c:v>3.5</c:v>
                </c:pt>
                <c:pt idx="3">
                  <c:v>4</c:v>
                </c:pt>
                <c:pt idx="4">
                  <c:v>25</c:v>
                </c:pt>
                <c:pt idx="5">
                  <c:v>3</c:v>
                </c:pt>
                <c:pt idx="6">
                  <c:v>19.399999999999999</c:v>
                </c:pt>
              </c:numCache>
            </c:numRef>
          </c:val>
        </c:ser>
        <c:ser>
          <c:idx val="1"/>
          <c:order val="2"/>
          <c:tx>
            <c:strRef>
              <c:f>LASMECA!$D$2</c:f>
              <c:strCache>
                <c:ptCount val="1"/>
                <c:pt idx="0">
                  <c:v>Estimée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LASMECA!$D$3:$D$9</c:f>
              <c:numCache>
                <c:formatCode>General</c:formatCode>
                <c:ptCount val="7"/>
                <c:pt idx="0">
                  <c:v>3.0380000000000003</c:v>
                </c:pt>
                <c:pt idx="1">
                  <c:v>0.56400000000000006</c:v>
                </c:pt>
                <c:pt idx="2">
                  <c:v>2.5753580246913579</c:v>
                </c:pt>
                <c:pt idx="3">
                  <c:v>2.0099999999999998</c:v>
                </c:pt>
                <c:pt idx="4">
                  <c:v>23.317619999999998</c:v>
                </c:pt>
                <c:pt idx="5">
                  <c:v>3.0100000000000002</c:v>
                </c:pt>
                <c:pt idx="6">
                  <c:v>19.399999999999999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17716240"/>
        <c:axId val="617717872"/>
      </c:barChart>
      <c:catAx>
        <c:axId val="61771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7717872"/>
        <c:crosses val="autoZero"/>
        <c:auto val="1"/>
        <c:lblAlgn val="ctr"/>
        <c:lblOffset val="100"/>
        <c:noMultiLvlLbl val="0"/>
      </c:catAx>
      <c:valAx>
        <c:axId val="6177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771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fr-FR"/>
              <a:t>Optimus</a:t>
            </a:r>
          </a:p>
        </c:rich>
      </c:tx>
      <c:layout/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'CHASSIS EQUIPE ET AERO'!$D$1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3366CC"/>
              </a:solidFill>
            </c:spPr>
          </c:dPt>
          <c:dPt>
            <c:idx val="1"/>
            <c:bubble3D val="0"/>
            <c:spPr>
              <a:solidFill>
                <a:srgbClr val="DC3912"/>
              </a:solidFill>
            </c:spPr>
          </c:dPt>
          <c:dPt>
            <c:idx val="2"/>
            <c:bubble3D val="0"/>
            <c:spPr>
              <a:solidFill>
                <a:srgbClr val="FF9900"/>
              </a:solidFill>
            </c:spPr>
          </c:dPt>
          <c:dPt>
            <c:idx val="3"/>
            <c:bubble3D val="0"/>
            <c:spPr>
              <a:solidFill>
                <a:srgbClr val="109618"/>
              </a:solidFill>
            </c:spPr>
          </c:dPt>
          <c:dPt>
            <c:idx val="4"/>
            <c:bubble3D val="0"/>
            <c:spPr>
              <a:solidFill>
                <a:srgbClr val="990099"/>
              </a:solidFill>
            </c:spPr>
          </c:dPt>
          <c:dPt>
            <c:idx val="5"/>
            <c:bubble3D val="0"/>
            <c:spPr>
              <a:solidFill>
                <a:srgbClr val="0099C6"/>
              </a:solidFill>
            </c:spPr>
          </c:dPt>
          <c:dPt>
            <c:idx val="6"/>
            <c:bubble3D val="0"/>
            <c:spPr>
              <a:solidFill>
                <a:srgbClr val="DD4477"/>
              </a:solidFill>
            </c:spPr>
          </c:dPt>
          <c:dPt>
            <c:idx val="7"/>
            <c:bubble3D val="0"/>
            <c:spPr>
              <a:solidFill>
                <a:srgbClr val="66AA00"/>
              </a:solidFill>
            </c:spPr>
          </c:dPt>
          <c:dPt>
            <c:idx val="8"/>
            <c:bubble3D val="0"/>
            <c:spPr>
              <a:solidFill>
                <a:srgbClr val="B82E2E"/>
              </a:solidFill>
            </c:spPr>
          </c:dPt>
          <c:cat>
            <c:strRef>
              <c:f>'CHASSIS EQUIPE ET AERO'!$A$2:$A$10</c:f>
              <c:strCache>
                <c:ptCount val="9"/>
                <c:pt idx="0">
                  <c:v>Systèmes</c:v>
                </c:pt>
                <c:pt idx="1">
                  <c:v>Châssis tubulaire</c:v>
                </c:pt>
                <c:pt idx="2">
                  <c:v>Equipements</c:v>
                </c:pt>
                <c:pt idx="3">
                  <c:v>Paroi pare feu</c:v>
                </c:pt>
                <c:pt idx="4">
                  <c:v>Fond plat</c:v>
                </c:pt>
                <c:pt idx="5">
                  <c:v>Plaque anti intrusion</c:v>
                </c:pt>
                <c:pt idx="6">
                  <c:v>Carrosserie</c:v>
                </c:pt>
                <c:pt idx="7">
                  <c:v>Apendices aéro</c:v>
                </c:pt>
                <c:pt idx="8">
                  <c:v>Commande d'embrayage</c:v>
                </c:pt>
              </c:strCache>
            </c:strRef>
          </c:cat>
          <c:val>
            <c:numRef>
              <c:f>'CHASSIS EQUIPE ET AERO'!$D$2:$D$10</c:f>
              <c:numCache>
                <c:formatCode>0.00</c:formatCode>
                <c:ptCount val="9"/>
                <c:pt idx="0" formatCode="General">
                  <c:v>0</c:v>
                </c:pt>
                <c:pt idx="1">
                  <c:v>31.5</c:v>
                </c:pt>
                <c:pt idx="2" formatCode="General">
                  <c:v>5.3</c:v>
                </c:pt>
                <c:pt idx="3" formatCode="General">
                  <c:v>1.7</c:v>
                </c:pt>
                <c:pt idx="4" formatCode="General">
                  <c:v>1.5</c:v>
                </c:pt>
                <c:pt idx="5" formatCode="General">
                  <c:v>1.5</c:v>
                </c:pt>
                <c:pt idx="6" formatCode="General">
                  <c:v>2.7</c:v>
                </c:pt>
                <c:pt idx="7" formatCode="General">
                  <c:v>0</c:v>
                </c:pt>
                <c:pt idx="8" formatCode="General">
                  <c:v>0.14000000000000001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lvl="0">
            <a:defRPr sz="2000"/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rPr lang="fr-FR"/>
              <a:t>Budget massique S2: MOTORISATION INSTRUMENTEE</a:t>
            </a:r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</c:dPt>
          <c:dPt>
            <c:idx val="1"/>
            <c:bubble3D val="0"/>
            <c:spPr>
              <a:solidFill>
                <a:srgbClr val="DC3912"/>
              </a:solidFill>
            </c:spPr>
          </c:dPt>
          <c:dPt>
            <c:idx val="2"/>
            <c:bubble3D val="0"/>
            <c:spPr>
              <a:solidFill>
                <a:srgbClr val="999999"/>
              </a:solidFill>
            </c:spPr>
          </c:dPt>
          <c:dPt>
            <c:idx val="3"/>
            <c:bubble3D val="0"/>
            <c:spPr>
              <a:solidFill>
                <a:srgbClr val="109618"/>
              </a:solidFill>
            </c:spPr>
          </c:dPt>
          <c:dPt>
            <c:idx val="4"/>
            <c:bubble3D val="0"/>
            <c:spPr>
              <a:solidFill>
                <a:srgbClr val="990099"/>
              </a:solidFill>
            </c:spPr>
          </c:dPt>
          <c:dPt>
            <c:idx val="5"/>
            <c:bubble3D val="0"/>
            <c:spPr>
              <a:solidFill>
                <a:srgbClr val="0099C6"/>
              </a:solidFill>
            </c:spPr>
          </c:dPt>
          <c:cat>
            <c:strRef>
              <c:f>'MOTORISATION INSTRUMENTEE'!$A$3:$A$8</c:f>
              <c:strCache>
                <c:ptCount val="6"/>
                <c:pt idx="0">
                  <c:v>Admission</c:v>
                </c:pt>
                <c:pt idx="1">
                  <c:v>Echappement</c:v>
                </c:pt>
                <c:pt idx="2">
                  <c:v>Moteur</c:v>
                </c:pt>
                <c:pt idx="3">
                  <c:v>Circuit de carburant</c:v>
                </c:pt>
                <c:pt idx="4">
                  <c:v>Refroidissement</c:v>
                </c:pt>
                <c:pt idx="5">
                  <c:v>Transmission secondaire</c:v>
                </c:pt>
              </c:strCache>
            </c:strRef>
          </c:cat>
          <c:val>
            <c:numRef>
              <c:f>'MOTORISATION INSTRUMENTEE'!$B$3:$B$8</c:f>
              <c:numCache>
                <c:formatCode>General</c:formatCode>
                <c:ptCount val="6"/>
                <c:pt idx="0">
                  <c:v>1.581</c:v>
                </c:pt>
                <c:pt idx="1">
                  <c:v>3.5</c:v>
                </c:pt>
                <c:pt idx="2">
                  <c:v>60</c:v>
                </c:pt>
                <c:pt idx="3">
                  <c:v>3</c:v>
                </c:pt>
                <c:pt idx="4">
                  <c:v>3.0840000000000001</c:v>
                </c:pt>
                <c:pt idx="5">
                  <c:v>5.0220000000000002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lvl="0">
            <a:defRPr sz="1600">
              <a:solidFill>
                <a:srgbClr val="000000"/>
              </a:solidFill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</c:dPt>
          <c:dPt>
            <c:idx val="1"/>
            <c:bubble3D val="0"/>
            <c:spPr>
              <a:solidFill>
                <a:srgbClr val="DC3912"/>
              </a:solidFill>
            </c:spPr>
          </c:dPt>
          <c:dPt>
            <c:idx val="2"/>
            <c:bubble3D val="0"/>
            <c:spPr>
              <a:solidFill>
                <a:srgbClr val="FF9900"/>
              </a:solidFill>
            </c:spPr>
          </c:dPt>
          <c:dPt>
            <c:idx val="3"/>
            <c:bubble3D val="0"/>
            <c:spPr>
              <a:solidFill>
                <a:srgbClr val="109618"/>
              </a:solidFill>
            </c:spPr>
          </c:dPt>
          <c:dPt>
            <c:idx val="4"/>
            <c:bubble3D val="0"/>
            <c:spPr>
              <a:solidFill>
                <a:srgbClr val="990099"/>
              </a:solidFill>
            </c:spPr>
          </c:dPt>
          <c:dPt>
            <c:idx val="5"/>
            <c:bubble3D val="0"/>
            <c:spPr>
              <a:solidFill>
                <a:srgbClr val="0099C6"/>
              </a:solidFill>
            </c:spPr>
          </c:dPt>
          <c:cat>
            <c:strRef>
              <c:f>SEISM!$A$2:$A$7</c:f>
              <c:strCache>
                <c:ptCount val="6"/>
                <c:pt idx="0">
                  <c:v>Système</c:v>
                </c:pt>
                <c:pt idx="1">
                  <c:v>Faisceau électrique</c:v>
                </c:pt>
                <c:pt idx="2">
                  <c:v>Batterie</c:v>
                </c:pt>
                <c:pt idx="3">
                  <c:v>Tableau de bord</c:v>
                </c:pt>
                <c:pt idx="4">
                  <c:v>Commande BV</c:v>
                </c:pt>
                <c:pt idx="5">
                  <c:v>Télémétrie</c:v>
                </c:pt>
              </c:strCache>
            </c:strRef>
          </c:cat>
          <c:val>
            <c:numRef>
              <c:f>SEISM!$C$2:$C$7</c:f>
              <c:numCache>
                <c:formatCode>General</c:formatCode>
                <c:ptCount val="6"/>
                <c:pt idx="0">
                  <c:v>0</c:v>
                </c:pt>
                <c:pt idx="1">
                  <c:v>3.5</c:v>
                </c:pt>
                <c:pt idx="2">
                  <c:v>3</c:v>
                </c:pt>
                <c:pt idx="3">
                  <c:v>1.5</c:v>
                </c:pt>
                <c:pt idx="4">
                  <c:v>2</c:v>
                </c:pt>
                <c:pt idx="5">
                  <c:v>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282574</xdr:colOff>
      <xdr:row>12</xdr:row>
      <xdr:rowOff>38100</xdr:rowOff>
    </xdr:from>
    <xdr:to>
      <xdr:col>3</xdr:col>
      <xdr:colOff>1174749</xdr:colOff>
      <xdr:row>28</xdr:row>
      <xdr:rowOff>69850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11</xdr:row>
      <xdr:rowOff>136524</xdr:rowOff>
    </xdr:from>
    <xdr:to>
      <xdr:col>3</xdr:col>
      <xdr:colOff>939799</xdr:colOff>
      <xdr:row>28</xdr:row>
      <xdr:rowOff>146049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257175</xdr:colOff>
      <xdr:row>0</xdr:row>
      <xdr:rowOff>142875</xdr:rowOff>
    </xdr:from>
    <xdr:ext cx="6515100" cy="4048125"/>
    <xdr:graphicFrame macro=""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552450</xdr:colOff>
      <xdr:row>0</xdr:row>
      <xdr:rowOff>133350</xdr:rowOff>
    </xdr:from>
    <xdr:ext cx="7400925" cy="4286250"/>
    <xdr:graphicFrame macro=""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190500</xdr:colOff>
      <xdr:row>0</xdr:row>
      <xdr:rowOff>180975</xdr:rowOff>
    </xdr:from>
    <xdr:ext cx="5715000" cy="3533775"/>
    <xdr:graphicFrame macro=""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0"/>
  <sheetViews>
    <sheetView showGridLines="0" workbookViewId="0">
      <selection activeCell="B7" sqref="B7"/>
    </sheetView>
  </sheetViews>
  <sheetFormatPr baseColWidth="10" defaultColWidth="14.453125" defaultRowHeight="15.75" customHeight="1"/>
  <cols>
    <col min="1" max="1" width="36" style="102" customWidth="1"/>
    <col min="2" max="2" width="14.453125" style="102"/>
    <col min="3" max="3" width="22.08984375" style="102" customWidth="1"/>
    <col min="4" max="4" width="19.453125" style="102" customWidth="1"/>
    <col min="5" max="16384" width="14.453125" style="102"/>
  </cols>
  <sheetData>
    <row r="1" spans="1:4" ht="15.75" customHeight="1">
      <c r="A1" s="98" t="s">
        <v>20</v>
      </c>
      <c r="B1" s="99"/>
      <c r="C1" s="100"/>
      <c r="D1" s="101"/>
    </row>
    <row r="2" spans="1:4" ht="15.75" customHeight="1">
      <c r="A2" s="103" t="s">
        <v>153</v>
      </c>
      <c r="B2" s="104" t="s">
        <v>21</v>
      </c>
      <c r="C2" s="104" t="s">
        <v>22</v>
      </c>
      <c r="D2" s="104" t="s">
        <v>23</v>
      </c>
    </row>
    <row r="3" spans="1:4" ht="15.75" customHeight="1">
      <c r="A3" s="103" t="s">
        <v>24</v>
      </c>
      <c r="B3" s="104">
        <f>LASMECA!B11</f>
        <v>64.361999999999995</v>
      </c>
      <c r="C3" s="104">
        <f>LASMECA!C11</f>
        <v>60.199999999999996</v>
      </c>
      <c r="D3" s="105">
        <f>LASMECA!D11</f>
        <v>53.914978024691351</v>
      </c>
    </row>
    <row r="4" spans="1:4" ht="15.75" customHeight="1">
      <c r="A4" s="103" t="s">
        <v>25</v>
      </c>
      <c r="B4" s="104">
        <f>'MOTORISATION INSTRUMENTEE'!B10</f>
        <v>76.187000000000012</v>
      </c>
      <c r="C4" s="104">
        <f>'MOTORISATION INSTRUMENTEE'!C10</f>
        <v>76.180000000000007</v>
      </c>
      <c r="D4" s="105">
        <f>'MOTORISATION INSTRUMENTEE'!D10</f>
        <v>74.327000000000012</v>
      </c>
    </row>
    <row r="5" spans="1:4" ht="15.75" customHeight="1">
      <c r="A5" s="103" t="s">
        <v>26</v>
      </c>
      <c r="B5" s="104">
        <f>'CHASSIS EQUIPE ET AERO'!B12</f>
        <v>58.85</v>
      </c>
      <c r="C5" s="106">
        <f>'CHASSIS EQUIPE ET AERO'!D12</f>
        <v>44.34</v>
      </c>
      <c r="D5" s="106">
        <f>'CHASSIS EQUIPE ET AERO'!D12</f>
        <v>44.34</v>
      </c>
    </row>
    <row r="6" spans="1:4" ht="15.75" customHeight="1">
      <c r="A6" s="103" t="s">
        <v>27</v>
      </c>
      <c r="B6" s="104">
        <f>SEISM!B9</f>
        <v>0</v>
      </c>
      <c r="C6" s="104">
        <f>SEISM!C9</f>
        <v>11.5</v>
      </c>
      <c r="D6" s="104">
        <f>SEISM!D9</f>
        <v>0</v>
      </c>
    </row>
    <row r="7" spans="1:4" ht="15.75" customHeight="1">
      <c r="A7" s="103" t="s">
        <v>28</v>
      </c>
      <c r="B7" s="104">
        <v>0</v>
      </c>
      <c r="C7" s="104">
        <v>9</v>
      </c>
      <c r="D7" s="104">
        <v>0</v>
      </c>
    </row>
    <row r="8" spans="1:4" ht="15.75" customHeight="1">
      <c r="A8" s="107"/>
      <c r="B8" s="99"/>
      <c r="C8" s="100"/>
      <c r="D8" s="108"/>
    </row>
    <row r="9" spans="1:4" ht="15.75" customHeight="1">
      <c r="A9" s="103" t="s">
        <v>29</v>
      </c>
      <c r="B9" s="104" t="s">
        <v>30</v>
      </c>
      <c r="C9" s="104">
        <f t="shared" ref="C9:D9" si="0">SUM(C3:C7)</f>
        <v>201.22</v>
      </c>
      <c r="D9" s="105">
        <f t="shared" si="0"/>
        <v>172.58197802469138</v>
      </c>
    </row>
    <row r="11" spans="1:4" ht="15.75" customHeight="1">
      <c r="A11" s="109" t="s">
        <v>31</v>
      </c>
    </row>
    <row r="19" spans="1:4" ht="15.75" customHeight="1">
      <c r="A19" s="109"/>
      <c r="B19" s="109"/>
      <c r="C19" s="109"/>
      <c r="D19" s="109"/>
    </row>
    <row r="20" spans="1:4" ht="15.75" customHeight="1">
      <c r="A20" s="109"/>
      <c r="B20" s="109"/>
      <c r="C20" s="109"/>
      <c r="D20" s="109"/>
    </row>
  </sheetData>
  <mergeCells count="2">
    <mergeCell ref="A1:C1"/>
    <mergeCell ref="A8:C8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  <outlinePr summaryBelow="0" summaryRight="0"/>
  </sheetPr>
  <dimension ref="A1:E13"/>
  <sheetViews>
    <sheetView workbookViewId="0"/>
  </sheetViews>
  <sheetFormatPr baseColWidth="10" defaultColWidth="14.453125" defaultRowHeight="15.75" customHeight="1"/>
  <sheetData>
    <row r="1" spans="1:5" ht="15.75" customHeight="1">
      <c r="A1" s="1"/>
      <c r="B1" s="1"/>
      <c r="C1" s="1"/>
      <c r="D1" s="2"/>
      <c r="E1" s="2"/>
    </row>
    <row r="2" spans="1:5" ht="15.75" customHeight="1">
      <c r="A2" s="3" t="s">
        <v>0</v>
      </c>
      <c r="B2" s="4" t="s">
        <v>121</v>
      </c>
      <c r="C2" s="4" t="s">
        <v>122</v>
      </c>
      <c r="D2" s="6" t="s">
        <v>7</v>
      </c>
      <c r="E2" s="6" t="s">
        <v>8</v>
      </c>
    </row>
    <row r="3" spans="1:5" ht="15.75" customHeight="1">
      <c r="A3" s="7" t="s">
        <v>123</v>
      </c>
      <c r="B3" s="9">
        <f>2*0.614</f>
        <v>1.228</v>
      </c>
      <c r="C3" s="9">
        <f>2*0.351</f>
        <v>0.70199999999999996</v>
      </c>
      <c r="D3" s="10">
        <f t="shared" ref="D3:D8" si="0">(C3-B3)/B3</f>
        <v>-0.42833876221498374</v>
      </c>
      <c r="E3" s="2"/>
    </row>
    <row r="4" spans="1:5" ht="15.75" customHeight="1">
      <c r="A4" s="7" t="s">
        <v>125</v>
      </c>
      <c r="B4" s="16">
        <v>37.5</v>
      </c>
      <c r="C4" s="28">
        <v>31.5</v>
      </c>
      <c r="D4" s="13">
        <f t="shared" si="0"/>
        <v>-0.16</v>
      </c>
      <c r="E4" s="2"/>
    </row>
    <row r="5" spans="1:5" ht="15.75" customHeight="1">
      <c r="A5" s="7" t="s">
        <v>127</v>
      </c>
      <c r="B5" s="11"/>
      <c r="C5" s="30"/>
      <c r="D5" s="13" t="e">
        <f t="shared" si="0"/>
        <v>#DIV/0!</v>
      </c>
      <c r="E5" s="14"/>
    </row>
    <row r="6" spans="1:5" ht="15.75" customHeight="1">
      <c r="A6" s="7" t="s">
        <v>130</v>
      </c>
      <c r="B6" s="11"/>
      <c r="C6" s="30"/>
      <c r="D6" s="13" t="e">
        <f t="shared" si="0"/>
        <v>#DIV/0!</v>
      </c>
      <c r="E6" s="14"/>
    </row>
    <row r="7" spans="1:5" ht="15.75" customHeight="1">
      <c r="A7" s="7" t="s">
        <v>131</v>
      </c>
      <c r="B7" s="11"/>
      <c r="C7" s="11"/>
      <c r="D7" s="13" t="e">
        <f t="shared" si="0"/>
        <v>#DIV/0!</v>
      </c>
      <c r="E7" s="15"/>
    </row>
    <row r="8" spans="1:5" ht="15.75" customHeight="1">
      <c r="A8" s="18" t="s">
        <v>16</v>
      </c>
      <c r="B8" s="9">
        <f t="shared" ref="B8:C8" si="1">SUM(B3:B7)</f>
        <v>38.728000000000002</v>
      </c>
      <c r="C8" s="9">
        <f t="shared" si="1"/>
        <v>32.201999999999998</v>
      </c>
      <c r="D8" s="10">
        <f t="shared" si="0"/>
        <v>-0.16850857260896518</v>
      </c>
      <c r="E8" s="2"/>
    </row>
    <row r="9" spans="1:5" ht="15.75" customHeight="1">
      <c r="A9" s="1"/>
      <c r="B9" s="1"/>
      <c r="C9" s="2"/>
      <c r="D9" s="2"/>
      <c r="E9" s="2"/>
    </row>
    <row r="10" spans="1:5" ht="15.75" customHeight="1">
      <c r="A10" s="18" t="s">
        <v>17</v>
      </c>
      <c r="B10" s="9">
        <f>B8-C8</f>
        <v>6.5260000000000034</v>
      </c>
      <c r="C10" s="2"/>
      <c r="D10" s="2"/>
      <c r="E10" s="2"/>
    </row>
    <row r="11" spans="1:5" ht="15.75" customHeight="1">
      <c r="A11" s="1"/>
      <c r="B11" s="1"/>
      <c r="C11" s="2"/>
      <c r="D11" s="2"/>
      <c r="E11" s="2"/>
    </row>
    <row r="12" spans="1:5" ht="15.75" customHeight="1">
      <c r="A12" s="19" t="s">
        <v>18</v>
      </c>
      <c r="B12" s="20"/>
      <c r="C12" s="2"/>
      <c r="D12" s="2"/>
      <c r="E12" s="2"/>
    </row>
    <row r="13" spans="1:5" ht="15.75" customHeight="1">
      <c r="A13" s="19" t="s">
        <v>19</v>
      </c>
      <c r="B13" s="12"/>
      <c r="C13" s="2"/>
      <c r="D13" s="2"/>
      <c r="E1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  <outlinePr summaryBelow="0" summaryRight="0"/>
  </sheetPr>
  <dimension ref="A1:E15"/>
  <sheetViews>
    <sheetView workbookViewId="0"/>
  </sheetViews>
  <sheetFormatPr baseColWidth="10" defaultColWidth="14.453125" defaultRowHeight="15.75" customHeight="1"/>
  <cols>
    <col min="1" max="1" width="19.08984375" customWidth="1"/>
  </cols>
  <sheetData>
    <row r="1" spans="1:5" ht="15.75" customHeight="1">
      <c r="A1" s="1"/>
      <c r="B1" s="1"/>
      <c r="C1" s="1"/>
      <c r="D1" s="2"/>
      <c r="E1" s="2"/>
    </row>
    <row r="2" spans="1:5" ht="15.75" customHeight="1">
      <c r="A2" s="3" t="s">
        <v>0</v>
      </c>
      <c r="B2" s="5" t="s">
        <v>5</v>
      </c>
      <c r="C2" s="5" t="s">
        <v>6</v>
      </c>
      <c r="D2" s="32" t="s">
        <v>7</v>
      </c>
      <c r="E2" s="32" t="s">
        <v>8</v>
      </c>
    </row>
    <row r="3" spans="1:5" ht="15.75" customHeight="1">
      <c r="A3" s="7" t="s">
        <v>124</v>
      </c>
      <c r="B3" s="8">
        <v>4200</v>
      </c>
      <c r="C3" s="27">
        <v>2700</v>
      </c>
      <c r="D3" s="39">
        <f t="shared" ref="D3:D10" si="0">(C3-B3)/B3</f>
        <v>-0.35714285714285715</v>
      </c>
      <c r="E3" s="40"/>
    </row>
    <row r="4" spans="1:5" ht="15.75" customHeight="1">
      <c r="A4" s="7" t="s">
        <v>126</v>
      </c>
      <c r="B4" s="16">
        <v>3400</v>
      </c>
      <c r="C4" s="34">
        <v>0</v>
      </c>
      <c r="D4" s="39">
        <f t="shared" si="0"/>
        <v>-1</v>
      </c>
      <c r="E4" s="40"/>
    </row>
    <row r="5" spans="1:5" ht="15.75" customHeight="1">
      <c r="A5" s="7" t="s">
        <v>128</v>
      </c>
      <c r="B5" s="16">
        <v>600</v>
      </c>
      <c r="C5" s="27">
        <v>1000</v>
      </c>
      <c r="D5" s="39">
        <f t="shared" si="0"/>
        <v>0.66666666666666663</v>
      </c>
      <c r="E5" s="44"/>
    </row>
    <row r="6" spans="1:5" ht="15.75" customHeight="1">
      <c r="A6" s="7" t="s">
        <v>129</v>
      </c>
      <c r="B6" s="16">
        <v>60</v>
      </c>
      <c r="C6" s="34">
        <v>60</v>
      </c>
      <c r="D6" s="39">
        <f t="shared" si="0"/>
        <v>0</v>
      </c>
      <c r="E6" s="44"/>
    </row>
    <row r="7" spans="1:5" ht="15.75" customHeight="1">
      <c r="A7" s="7" t="s">
        <v>132</v>
      </c>
      <c r="B7" s="16">
        <v>60</v>
      </c>
      <c r="C7" s="34">
        <v>0</v>
      </c>
      <c r="D7" s="39">
        <f t="shared" si="0"/>
        <v>-1</v>
      </c>
      <c r="E7" s="46"/>
    </row>
    <row r="8" spans="1:5" ht="15.75" customHeight="1">
      <c r="A8" s="7" t="s">
        <v>133</v>
      </c>
      <c r="B8" s="16">
        <v>4641</v>
      </c>
      <c r="C8" s="37">
        <v>1450</v>
      </c>
      <c r="D8" s="39">
        <f t="shared" si="0"/>
        <v>-0.68756733462615816</v>
      </c>
      <c r="E8" s="46"/>
    </row>
    <row r="9" spans="1:5" ht="15.75" customHeight="1">
      <c r="A9" s="7" t="s">
        <v>134</v>
      </c>
      <c r="B9" s="28">
        <v>4070</v>
      </c>
      <c r="C9" s="27">
        <v>2000</v>
      </c>
      <c r="D9" s="39">
        <f t="shared" si="0"/>
        <v>-0.50859950859950864</v>
      </c>
      <c r="E9" s="40"/>
    </row>
    <row r="10" spans="1:5" ht="15.75" customHeight="1">
      <c r="A10" s="18" t="s">
        <v>16</v>
      </c>
      <c r="B10" s="9">
        <f t="shared" ref="B10:C10" si="1">SUM(B3:B9)</f>
        <v>17031</v>
      </c>
      <c r="C10" s="9">
        <f t="shared" si="1"/>
        <v>7210</v>
      </c>
      <c r="D10" s="39">
        <f t="shared" si="0"/>
        <v>-0.57665433621043982</v>
      </c>
      <c r="E10" s="40"/>
    </row>
    <row r="11" spans="1:5" ht="15.75" customHeight="1">
      <c r="A11" s="1"/>
      <c r="B11" s="1"/>
      <c r="C11" s="2"/>
      <c r="D11" s="2"/>
      <c r="E11" s="2"/>
    </row>
    <row r="12" spans="1:5" ht="15.75" customHeight="1">
      <c r="A12" s="18" t="s">
        <v>17</v>
      </c>
      <c r="B12" s="9">
        <f>B10-C10</f>
        <v>9821</v>
      </c>
      <c r="C12" s="2"/>
      <c r="D12" s="2"/>
      <c r="E12" s="2"/>
    </row>
    <row r="13" spans="1:5" ht="15.75" customHeight="1">
      <c r="A13" s="1"/>
      <c r="B13" s="1"/>
      <c r="C13" s="2"/>
      <c r="D13" s="2"/>
      <c r="E13" s="2"/>
    </row>
    <row r="14" spans="1:5" ht="15.75" customHeight="1">
      <c r="A14" s="19" t="s">
        <v>18</v>
      </c>
      <c r="B14" s="20"/>
      <c r="C14" s="2"/>
      <c r="D14" s="2"/>
      <c r="E14" s="2"/>
    </row>
    <row r="15" spans="1:5" ht="15.75" customHeight="1">
      <c r="A15" s="19" t="s">
        <v>19</v>
      </c>
      <c r="B15" s="12"/>
      <c r="C15" s="2"/>
      <c r="D15" s="2"/>
      <c r="E15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E10"/>
  <sheetViews>
    <sheetView workbookViewId="0">
      <selection activeCell="I2" sqref="I2"/>
    </sheetView>
  </sheetViews>
  <sheetFormatPr baseColWidth="10" defaultColWidth="14.453125" defaultRowHeight="15.75" customHeight="1"/>
  <cols>
    <col min="1" max="1" width="39.81640625" customWidth="1"/>
  </cols>
  <sheetData>
    <row r="1" spans="1:5" ht="15.75" customHeight="1">
      <c r="A1" s="92" t="s">
        <v>154</v>
      </c>
      <c r="B1" s="93"/>
      <c r="C1" s="93"/>
      <c r="D1" s="94"/>
    </row>
    <row r="2" spans="1:5" ht="15.75" customHeight="1">
      <c r="A2" s="75" t="s">
        <v>45</v>
      </c>
      <c r="B2" s="79" t="s">
        <v>21</v>
      </c>
      <c r="C2" s="79" t="s">
        <v>46</v>
      </c>
      <c r="D2" s="81" t="s">
        <v>47</v>
      </c>
    </row>
    <row r="3" spans="1:5" ht="15.75" customHeight="1">
      <c r="A3" s="21" t="s">
        <v>164</v>
      </c>
      <c r="B3" s="22">
        <f>Admission!B10*0.001</f>
        <v>1.581</v>
      </c>
      <c r="C3" s="22">
        <v>3</v>
      </c>
      <c r="D3" s="22">
        <f>Admission!C10*0.001</f>
        <v>1.4530000000000001</v>
      </c>
      <c r="E3" s="82"/>
    </row>
    <row r="4" spans="1:5" ht="15.75" customHeight="1">
      <c r="A4" s="21" t="s">
        <v>167</v>
      </c>
      <c r="B4" s="22">
        <f>Echappement!B14</f>
        <v>3.5</v>
      </c>
      <c r="C4" s="22">
        <v>5</v>
      </c>
      <c r="D4" s="22">
        <f>Echappement!C14</f>
        <v>3.3</v>
      </c>
      <c r="E4" s="82"/>
    </row>
    <row r="5" spans="1:5" ht="15.75" customHeight="1">
      <c r="A5" s="21" t="s">
        <v>168</v>
      </c>
      <c r="B5" s="22">
        <v>60</v>
      </c>
      <c r="C5" s="22">
        <v>60</v>
      </c>
      <c r="D5" s="22">
        <v>60</v>
      </c>
      <c r="E5" s="82"/>
    </row>
    <row r="6" spans="1:5" ht="15.75" customHeight="1">
      <c r="A6" s="21" t="s">
        <v>169</v>
      </c>
      <c r="B6" s="22">
        <f>'Circuit carburant'!B14*0.001</f>
        <v>3</v>
      </c>
      <c r="C6" s="22">
        <v>3</v>
      </c>
      <c r="D6" s="22">
        <f>'Circuit carburant'!C14*0.001</f>
        <v>3</v>
      </c>
      <c r="E6" s="82"/>
    </row>
    <row r="7" spans="1:5" ht="15.75" customHeight="1">
      <c r="A7" s="21" t="s">
        <v>170</v>
      </c>
      <c r="B7" s="22">
        <f>Refroidissement!B8/1000</f>
        <v>3.0840000000000001</v>
      </c>
      <c r="C7" s="22">
        <f>Refroidissement!C8/1000</f>
        <v>3.18</v>
      </c>
      <c r="D7" s="22">
        <f>'Transmission secondaire'!C11*0.001</f>
        <v>3.2869999999999999</v>
      </c>
      <c r="E7" s="82"/>
    </row>
    <row r="8" spans="1:5" ht="15.75" customHeight="1">
      <c r="A8" s="21" t="s">
        <v>171</v>
      </c>
      <c r="B8" s="22">
        <f>'Transmission secondaire'!B11*0.001</f>
        <v>5.0220000000000002</v>
      </c>
      <c r="C8" s="22">
        <v>2</v>
      </c>
      <c r="D8" s="78">
        <f>'Transmission secondaire'!C11*0.001</f>
        <v>3.2869999999999999</v>
      </c>
      <c r="E8" s="82"/>
    </row>
    <row r="9" spans="1:5" ht="15.75" customHeight="1">
      <c r="A9" s="95"/>
      <c r="B9" s="94"/>
      <c r="C9" s="95"/>
      <c r="D9" s="94"/>
      <c r="E9" s="82"/>
    </row>
    <row r="10" spans="1:5" ht="15.75" customHeight="1">
      <c r="A10" s="21" t="s">
        <v>29</v>
      </c>
      <c r="B10" s="23">
        <f t="shared" ref="B10:D10" si="0">SUM(B3:B8)</f>
        <v>76.187000000000012</v>
      </c>
      <c r="C10" s="23">
        <f t="shared" si="0"/>
        <v>76.180000000000007</v>
      </c>
      <c r="D10" s="23">
        <f t="shared" si="0"/>
        <v>74.327000000000012</v>
      </c>
      <c r="E10" s="86"/>
    </row>
  </sheetData>
  <mergeCells count="3">
    <mergeCell ref="A1:D1"/>
    <mergeCell ref="C9:D9"/>
    <mergeCell ref="A9:B9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K16"/>
  <sheetViews>
    <sheetView workbookViewId="0"/>
  </sheetViews>
  <sheetFormatPr baseColWidth="10" defaultColWidth="14.453125" defaultRowHeight="15.75" customHeight="1"/>
  <cols>
    <col min="1" max="1" width="19.08984375" customWidth="1"/>
  </cols>
  <sheetData>
    <row r="1" spans="1:11" ht="15.75" customHeight="1">
      <c r="A1" s="1"/>
      <c r="B1" s="1"/>
      <c r="C1" s="1"/>
      <c r="D1" s="2"/>
      <c r="E1" s="2"/>
    </row>
    <row r="2" spans="1:11" ht="15.75" customHeight="1">
      <c r="A2" s="3" t="s">
        <v>0</v>
      </c>
      <c r="B2" s="5" t="s">
        <v>5</v>
      </c>
      <c r="C2" s="5" t="s">
        <v>6</v>
      </c>
      <c r="D2" s="6" t="s">
        <v>7</v>
      </c>
      <c r="E2" s="6" t="s">
        <v>8</v>
      </c>
    </row>
    <row r="3" spans="1:11" ht="15.75" customHeight="1">
      <c r="A3" s="29" t="s">
        <v>135</v>
      </c>
      <c r="B3" s="8">
        <v>1050</v>
      </c>
      <c r="C3" s="25">
        <v>350</v>
      </c>
      <c r="D3" s="10">
        <f t="shared" ref="D3:D6" si="0">(C3-B3)/B3</f>
        <v>-0.66666666666666663</v>
      </c>
      <c r="E3" s="2"/>
    </row>
    <row r="4" spans="1:11" ht="15.75" customHeight="1">
      <c r="A4" s="29" t="s">
        <v>136</v>
      </c>
      <c r="B4" s="9">
        <v>650</v>
      </c>
      <c r="C4" s="25">
        <v>350</v>
      </c>
      <c r="D4" s="10">
        <f t="shared" si="0"/>
        <v>-0.46153846153846156</v>
      </c>
      <c r="E4" s="2"/>
      <c r="H4" s="24" t="s">
        <v>137</v>
      </c>
    </row>
    <row r="5" spans="1:11" ht="15.75" customHeight="1">
      <c r="A5" s="29" t="s">
        <v>138</v>
      </c>
      <c r="B5" s="9">
        <v>642</v>
      </c>
      <c r="C5" s="25">
        <v>290</v>
      </c>
      <c r="D5" s="10">
        <f t="shared" si="0"/>
        <v>-0.54828660436137067</v>
      </c>
      <c r="E5" s="2"/>
      <c r="H5" s="24" t="s">
        <v>139</v>
      </c>
      <c r="I5" s="24" t="s">
        <v>140</v>
      </c>
      <c r="J5" s="24" t="s">
        <v>141</v>
      </c>
    </row>
    <row r="6" spans="1:11">
      <c r="A6" s="29" t="s">
        <v>142</v>
      </c>
      <c r="B6" s="9">
        <v>835</v>
      </c>
      <c r="C6" s="25">
        <v>470</v>
      </c>
      <c r="D6" s="10">
        <f t="shared" si="0"/>
        <v>-0.43712574850299402</v>
      </c>
      <c r="E6" s="2"/>
      <c r="G6" s="24" t="s">
        <v>21</v>
      </c>
      <c r="H6" s="24">
        <v>1050</v>
      </c>
      <c r="I6" s="59">
        <v>74.3</v>
      </c>
      <c r="J6">
        <f>I8/H8</f>
        <v>0.17568571428571428</v>
      </c>
      <c r="K6" s="24" t="s">
        <v>143</v>
      </c>
    </row>
    <row r="7" spans="1:11" ht="15.75" customHeight="1">
      <c r="A7" s="7" t="s">
        <v>144</v>
      </c>
      <c r="B7" s="9"/>
      <c r="C7" s="25"/>
      <c r="D7" s="10"/>
      <c r="E7" s="2"/>
      <c r="G7" s="24" t="s">
        <v>145</v>
      </c>
      <c r="H7" s="24">
        <v>350</v>
      </c>
      <c r="I7" s="24">
        <v>197.28</v>
      </c>
    </row>
    <row r="8" spans="1:11" ht="15.75" customHeight="1">
      <c r="A8" s="29" t="s">
        <v>146</v>
      </c>
      <c r="B8" s="9">
        <v>444</v>
      </c>
      <c r="C8" s="8">
        <v>426</v>
      </c>
      <c r="D8" s="10">
        <f t="shared" ref="D8:D11" si="1">(C8-B8)/B8</f>
        <v>-4.0540540540540543E-2</v>
      </c>
      <c r="E8" s="26" t="s">
        <v>147</v>
      </c>
      <c r="G8" s="24" t="s">
        <v>148</v>
      </c>
      <c r="H8">
        <f>1050-350</f>
        <v>700</v>
      </c>
      <c r="I8" s="60">
        <f>I7-I6</f>
        <v>122.98</v>
      </c>
    </row>
    <row r="9" spans="1:11" ht="15.75" customHeight="1">
      <c r="A9" s="7" t="s">
        <v>144</v>
      </c>
      <c r="B9" s="8">
        <v>520</v>
      </c>
      <c r="C9" s="8">
        <v>520</v>
      </c>
      <c r="D9" s="10">
        <f t="shared" si="1"/>
        <v>0</v>
      </c>
      <c r="E9" s="2"/>
    </row>
    <row r="10" spans="1:11" ht="15.75" customHeight="1">
      <c r="A10" s="7" t="s">
        <v>149</v>
      </c>
      <c r="B10" s="8">
        <v>881</v>
      </c>
      <c r="C10" s="8">
        <v>881</v>
      </c>
      <c r="D10" s="10">
        <f t="shared" si="1"/>
        <v>0</v>
      </c>
      <c r="E10" s="2"/>
    </row>
    <row r="11" spans="1:11" ht="15.75" customHeight="1">
      <c r="A11" s="18" t="s">
        <v>16</v>
      </c>
      <c r="B11" s="9">
        <f t="shared" ref="B11:C11" si="2">SUM(B3:B10)</f>
        <v>5022</v>
      </c>
      <c r="C11" s="9">
        <f t="shared" si="2"/>
        <v>3287</v>
      </c>
      <c r="D11" s="10">
        <f t="shared" si="1"/>
        <v>-0.34547988849064115</v>
      </c>
      <c r="E11" s="2"/>
    </row>
    <row r="12" spans="1:11" ht="15.75" customHeight="1">
      <c r="A12" s="1"/>
      <c r="B12" s="1"/>
      <c r="C12" s="2"/>
      <c r="D12" s="2"/>
      <c r="E12" s="2"/>
    </row>
    <row r="13" spans="1:11" ht="15.75" customHeight="1">
      <c r="A13" s="18" t="s">
        <v>17</v>
      </c>
      <c r="B13" s="9">
        <f>B11-C11</f>
        <v>1735</v>
      </c>
      <c r="C13" s="2"/>
      <c r="D13" s="2"/>
      <c r="E13" s="2"/>
    </row>
    <row r="14" spans="1:11" ht="15.75" customHeight="1">
      <c r="A14" s="1"/>
      <c r="B14" s="1"/>
      <c r="C14" s="2"/>
      <c r="D14" s="2"/>
      <c r="E14" s="2"/>
    </row>
    <row r="15" spans="1:11" ht="15.75" customHeight="1">
      <c r="A15" s="19" t="s">
        <v>18</v>
      </c>
      <c r="B15" s="20"/>
      <c r="C15" s="2"/>
      <c r="D15" s="2"/>
      <c r="E15" s="2"/>
    </row>
    <row r="16" spans="1:11" ht="15.75" customHeight="1">
      <c r="A16" s="19" t="s">
        <v>19</v>
      </c>
      <c r="B16" s="12"/>
      <c r="C16" s="2"/>
      <c r="D16" s="2"/>
      <c r="E16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Z996"/>
  <sheetViews>
    <sheetView workbookViewId="0"/>
  </sheetViews>
  <sheetFormatPr baseColWidth="10" defaultColWidth="14.453125" defaultRowHeight="15.75" customHeight="1"/>
  <cols>
    <col min="1" max="1" width="13.453125" customWidth="1"/>
    <col min="2" max="2" width="15.7265625" customWidth="1"/>
    <col min="3" max="3" width="14.54296875" customWidth="1"/>
    <col min="4" max="4" width="10.453125" customWidth="1"/>
    <col min="5" max="5" width="14.453125" customWidth="1"/>
  </cols>
  <sheetData>
    <row r="1" spans="1:26" ht="15.75" customHeight="1">
      <c r="A1" s="61"/>
      <c r="B1" s="61"/>
      <c r="C1" s="61"/>
      <c r="D1" s="62"/>
      <c r="E1" s="62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spans="1:26" ht="15.75" customHeight="1">
      <c r="A2" s="64" t="s">
        <v>0</v>
      </c>
      <c r="B2" s="65" t="s">
        <v>5</v>
      </c>
      <c r="C2" s="65" t="s">
        <v>6</v>
      </c>
      <c r="D2" s="66" t="s">
        <v>7</v>
      </c>
      <c r="E2" s="66" t="s">
        <v>8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spans="1:26" ht="15.75" customHeight="1">
      <c r="A3" s="67" t="s">
        <v>150</v>
      </c>
      <c r="B3" s="68">
        <v>383</v>
      </c>
      <c r="C3" s="69">
        <v>280</v>
      </c>
      <c r="D3" s="70">
        <f t="shared" ref="D3:D10" si="0">(C3-B3)/B3</f>
        <v>-0.2689295039164491</v>
      </c>
      <c r="E3" s="71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spans="1:26" ht="15.75" customHeight="1">
      <c r="A4" s="72" t="s">
        <v>152</v>
      </c>
      <c r="B4" s="72">
        <v>408</v>
      </c>
      <c r="C4" s="73">
        <v>399</v>
      </c>
      <c r="D4" s="74">
        <f t="shared" si="0"/>
        <v>-2.2058823529411766E-2</v>
      </c>
      <c r="E4" s="71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spans="1:26" ht="15.75" customHeight="1">
      <c r="A5" s="76" t="s">
        <v>162</v>
      </c>
      <c r="B5" s="77"/>
      <c r="C5" s="77"/>
      <c r="D5" s="74" t="e">
        <f t="shared" si="0"/>
        <v>#DIV/0!</v>
      </c>
      <c r="E5" s="71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spans="1:26" ht="15.75" customHeight="1">
      <c r="A6" s="76" t="s">
        <v>133</v>
      </c>
      <c r="B6" s="76">
        <v>582</v>
      </c>
      <c r="C6" s="76">
        <v>582</v>
      </c>
      <c r="D6" s="74">
        <f t="shared" si="0"/>
        <v>0</v>
      </c>
      <c r="E6" s="71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spans="1:26" ht="15.75" customHeight="1">
      <c r="A7" s="72" t="s">
        <v>163</v>
      </c>
      <c r="B7" s="72">
        <v>68</v>
      </c>
      <c r="C7" s="80">
        <f>26*2</f>
        <v>52</v>
      </c>
      <c r="D7" s="74">
        <f t="shared" si="0"/>
        <v>-0.23529411764705882</v>
      </c>
      <c r="E7" s="67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spans="1:26" ht="15.75" customHeight="1">
      <c r="A8" s="72" t="s">
        <v>165</v>
      </c>
      <c r="B8" s="72">
        <v>60</v>
      </c>
      <c r="C8" s="73">
        <v>60</v>
      </c>
      <c r="D8" s="74">
        <f t="shared" si="0"/>
        <v>0</v>
      </c>
      <c r="E8" s="67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1:26" ht="15.75" customHeight="1">
      <c r="A9" s="72" t="s">
        <v>166</v>
      </c>
      <c r="B9" s="83">
        <v>80</v>
      </c>
      <c r="C9" s="83">
        <v>80</v>
      </c>
      <c r="D9" s="74">
        <f t="shared" si="0"/>
        <v>0</v>
      </c>
      <c r="E9" s="71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 spans="1:26" ht="15.75" customHeight="1">
      <c r="A10" s="84" t="s">
        <v>16</v>
      </c>
      <c r="B10" s="68">
        <f t="shared" ref="B10:C10" si="1">SUM(B3:B9)</f>
        <v>1581</v>
      </c>
      <c r="C10" s="68">
        <f t="shared" si="1"/>
        <v>1453</v>
      </c>
      <c r="D10" s="74">
        <f t="shared" si="0"/>
        <v>-8.0961416824794435E-2</v>
      </c>
      <c r="E10" s="71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spans="1:26" ht="15.75" customHeight="1">
      <c r="A11" s="61"/>
      <c r="B11" s="61"/>
      <c r="C11" s="62"/>
      <c r="D11" s="62"/>
      <c r="E11" s="62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spans="1:26" ht="15.75" customHeight="1">
      <c r="A12" s="85" t="s">
        <v>17</v>
      </c>
      <c r="B12" s="87">
        <f>B10-C10</f>
        <v>128</v>
      </c>
      <c r="C12" s="62"/>
      <c r="D12" s="88"/>
      <c r="E12" s="62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spans="1:26" ht="15.75" customHeight="1">
      <c r="A13" s="61"/>
      <c r="B13" s="61"/>
      <c r="C13" s="62"/>
      <c r="D13" s="88"/>
      <c r="E13" s="62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spans="1:26" ht="15.75" customHeight="1">
      <c r="A14" s="89" t="s">
        <v>18</v>
      </c>
      <c r="B14" s="90"/>
      <c r="C14" s="62"/>
      <c r="D14" s="62"/>
      <c r="E14" s="62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spans="1:26" ht="15.75" customHeight="1">
      <c r="A15" s="89" t="s">
        <v>19</v>
      </c>
      <c r="B15" s="91"/>
      <c r="C15" s="62"/>
      <c r="D15" s="62"/>
      <c r="E15" s="62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spans="1:26" ht="15.75" customHeight="1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spans="1:26" ht="15.75" customHeight="1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spans="1:26" ht="15.75" customHeight="1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spans="1:26" ht="15.75" customHeight="1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spans="1:26" ht="15.75" customHeight="1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spans="1:26" ht="15.75" customHeight="1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spans="1:26" ht="15.75" customHeight="1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spans="1:26" ht="15.75" customHeight="1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spans="1:26" ht="15.75" customHeight="1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spans="1:26" ht="15.75" customHeight="1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spans="1:26" ht="15.75" customHeight="1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spans="1:26" ht="15.75" customHeight="1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spans="1:26" ht="15.75" customHeight="1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spans="1:26" ht="15.75" customHeight="1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spans="1:26" ht="15.75" customHeight="1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spans="1:26" ht="15.75" customHeight="1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spans="1:26" ht="15.75" customHeight="1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spans="1:26" ht="15.75" customHeight="1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spans="1:26" ht="15.75" customHeight="1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spans="1:26" ht="15.75" customHeight="1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spans="1:26" ht="15.75" customHeight="1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spans="1:26" ht="15.75" customHeight="1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spans="1:26" ht="15.75" customHeight="1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spans="1:26" ht="15.75" customHeight="1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spans="1:26" ht="12.5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spans="1:26" ht="12.5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spans="1:26" ht="12.5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spans="1:26" ht="12.5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spans="1:26" ht="12.5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spans="1:26" ht="12.5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spans="1:26" ht="12.5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spans="1:26" ht="12.5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spans="1:26" ht="12.5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spans="1:26" ht="12.5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spans="1:26" ht="12.5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spans="1:26" ht="12.5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spans="1:26" ht="12.5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spans="1:26" ht="12.5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spans="1:26" ht="12.5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spans="1:26" ht="12.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2.5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spans="1:26" ht="12.5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spans="1:26" ht="12.5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spans="1:26" ht="12.5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spans="1:26" ht="12.5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spans="1:26" ht="12.5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spans="1:26" ht="12.5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spans="1:26" ht="12.5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spans="1:26" ht="12.5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spans="1:26" ht="12.5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spans="1:26" ht="12.5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spans="1:26" ht="12.5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spans="1:26" ht="12.5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spans="1:26" ht="12.5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spans="1:26" ht="12.5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spans="1:26" ht="12.5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spans="1:26" ht="12.5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spans="1:26" ht="12.5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spans="1:26" ht="12.5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spans="1:26" ht="12.5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spans="1:26" ht="12.5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spans="1:26" ht="12.5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spans="1:26" ht="12.5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spans="1:26" ht="12.5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spans="1:26" ht="12.5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spans="1:26" ht="12.5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spans="1:26" ht="12.5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spans="1:26" ht="12.5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spans="1:26" ht="12.5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spans="1:26" ht="12.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spans="1:26" ht="12.5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spans="1:26" ht="12.5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spans="1:26" ht="12.5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spans="1:26" ht="12.5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spans="1:26" ht="12.5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spans="1:26" ht="12.5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spans="1:26" ht="12.5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spans="1:26" ht="12.5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spans="1:26" ht="12.5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spans="1:26" ht="12.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spans="1:26" ht="12.5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spans="1:26" ht="12.5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spans="1:26" ht="12.5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spans="1:26" ht="12.5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spans="1:26" ht="12.5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spans="1:26" ht="12.5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spans="1:26" ht="12.5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spans="1:26" ht="12.5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spans="1:26" ht="12.5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spans="1:26" ht="12.5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spans="1:26" ht="12.5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spans="1:26" ht="12.5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spans="1:26" ht="12.5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spans="1:26" ht="12.5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spans="1:26" ht="12.5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spans="1:26" ht="12.5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spans="1:26" ht="12.5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spans="1:26" ht="12.5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spans="1:26" ht="12.5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spans="1:26" ht="12.5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spans="1:26" ht="12.5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spans="1:26" ht="12.5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spans="1:26" ht="12.5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spans="1:26" ht="12.5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spans="1:26" ht="12.5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spans="1:26" ht="12.5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spans="1:26" ht="12.5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spans="1:26" ht="12.5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spans="1:26" ht="12.5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spans="1:26" ht="12.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spans="1:26" ht="12.5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spans="1:26" ht="12.5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spans="1:26" ht="12.5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spans="1:26" ht="12.5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spans="1:26" ht="12.5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spans="1:26" ht="12.5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spans="1:26" ht="12.5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spans="1:26" ht="12.5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spans="1:26" ht="12.5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spans="1:26" ht="12.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spans="1:26" ht="12.5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spans="1:26" ht="12.5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spans="1:26" ht="12.5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spans="1:26" ht="12.5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spans="1:26" ht="12.5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spans="1:26" ht="12.5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spans="1:26" ht="12.5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spans="1:26" ht="12.5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spans="1:26" ht="12.5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spans="1:26" ht="12.5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spans="1:26" ht="12.5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spans="1:26" ht="12.5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spans="1:26" ht="12.5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spans="1:26" ht="12.5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spans="1:26" ht="12.5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spans="1:26" ht="12.5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spans="1:26" ht="12.5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spans="1:26" ht="12.5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spans="1:26" ht="12.5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spans="1:26" ht="12.5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spans="1:26" ht="12.5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spans="1:26" ht="12.5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spans="1:26" ht="12.5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spans="1:26" ht="12.5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spans="1:26" ht="12.5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spans="1:26" ht="12.5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spans="1:26" ht="12.5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spans="1:26" ht="12.5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spans="1:26" ht="12.5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spans="1:26" ht="12.5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spans="1:26" ht="12.5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spans="1:26" ht="12.5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spans="1:26" ht="12.5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spans="1:26" ht="12.5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spans="1:26" ht="12.5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spans="1:26" ht="12.5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spans="1:26" ht="12.5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spans="1:26" ht="12.5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spans="1:26" ht="12.5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spans="1:26" ht="12.5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spans="1:26" ht="12.5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spans="1:26" ht="12.5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spans="1:26" ht="12.5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spans="1:26" ht="12.5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spans="1:26" ht="12.5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spans="1:26" ht="12.5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spans="1:26" ht="12.5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spans="1:26" ht="12.5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spans="1:26" ht="12.5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spans="1:26" ht="12.5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spans="1:26" ht="12.5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spans="1:26" ht="12.5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spans="1:26" ht="12.5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spans="1:26" ht="12.5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spans="1:26" ht="12.5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spans="1:26" ht="12.5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spans="1:26" ht="12.5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spans="1:26" ht="12.5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spans="1:26" ht="12.5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spans="1:26" ht="12.5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spans="1:26" ht="12.5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spans="1:26" ht="12.5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spans="1:26" ht="12.5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spans="1:26" ht="12.5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spans="1:26" ht="12.5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spans="1:26" ht="12.5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spans="1:26" ht="12.5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spans="1:26" ht="12.5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spans="1:26" ht="12.5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spans="1:26" ht="12.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spans="1:26" ht="12.5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spans="1:26" ht="12.5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spans="1:26" ht="12.5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spans="1:26" ht="12.5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spans="1:26" ht="12.5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spans="1:26" ht="12.5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spans="1:26" ht="12.5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spans="1:26" ht="12.5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spans="1:26" ht="12.5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spans="1:26" ht="12.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spans="1:26" ht="12.5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spans="1:26" ht="12.5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spans="1:26" ht="12.5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spans="1:26" ht="12.5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spans="1:26" ht="12.5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spans="1:26" ht="12.5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spans="1:26" ht="12.5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spans="1:26" ht="12.5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spans="1:26" ht="12.5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spans="1:26" ht="12.5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spans="1:26" ht="12.5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spans="1:26" ht="12.5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spans="1:26" ht="12.5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spans="1:26" ht="12.5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spans="1:26" ht="12.5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spans="1:26" ht="12.5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spans="1:26" ht="12.5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spans="1:26" ht="12.5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 spans="1:26" ht="12.5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spans="1:26" ht="12.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 spans="1:26" ht="12.5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spans="1:26" ht="12.5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 spans="1:26" ht="12.5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spans="1:26" ht="12.5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 spans="1:26" ht="12.5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spans="1:26" ht="12.5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 spans="1:26" ht="12.5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spans="1:26" ht="12.5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 spans="1:26" ht="12.5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spans="1:26" ht="12.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 spans="1:26" ht="12.5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spans="1:26" ht="12.5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spans="1:26" ht="12.5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spans="1:26" ht="12.5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 spans="1:26" ht="12.5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 spans="1:26" ht="12.5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 spans="1:26" ht="12.5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 spans="1:26" ht="12.5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 spans="1:26" ht="12.5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spans="1:26" ht="12.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 spans="1:26" ht="12.5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spans="1:26" ht="12.5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 spans="1:26" ht="12.5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spans="1:26" ht="12.5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 spans="1:26" ht="12.5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spans="1:26" ht="12.5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 spans="1:26" ht="12.5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spans="1:26" ht="12.5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spans="1:26" ht="12.5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 spans="1:26" ht="12.5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 spans="1:26" ht="12.5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 spans="1:26" ht="12.5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 spans="1:26" ht="12.5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 spans="1:26" ht="12.5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 spans="1:26" ht="12.5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 spans="1:26" ht="12.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 spans="1:26" ht="12.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 spans="1:26" ht="12.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 spans="1:26" ht="12.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 spans="1:26" ht="12.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 spans="1:26" ht="12.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 spans="1:26" ht="12.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 spans="1:26" ht="12.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spans="1:26" ht="12.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spans="1:26" ht="12.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 spans="1:26" ht="12.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spans="1:26" ht="12.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spans="1:26" ht="12.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spans="1:26" ht="12.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spans="1:26" ht="12.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spans="1:26" ht="12.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spans="1:26" ht="12.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spans="1:26" ht="12.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spans="1:26" ht="12.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spans="1:26" ht="12.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spans="1:26" ht="12.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spans="1:26" ht="12.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spans="1:26" ht="12.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spans="1:26" ht="12.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spans="1:26" ht="12.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spans="1:26" ht="12.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spans="1:26" ht="12.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spans="1:26" ht="12.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spans="1:26" ht="12.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spans="1:26" ht="12.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spans="1:26" ht="12.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spans="1:26" ht="12.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spans="1:26" ht="12.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spans="1:26" ht="12.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spans="1:26" ht="12.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spans="1:26" ht="12.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spans="1:26" ht="12.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spans="1:26" ht="12.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spans="1:26" ht="12.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spans="1:26" ht="12.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spans="1:26" ht="12.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spans="1:26" ht="12.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spans="1:26" ht="12.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 spans="1:26" ht="12.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spans="1:26" ht="12.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 spans="1:26" ht="12.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spans="1:26" ht="12.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 spans="1:26" ht="12.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spans="1:26" ht="12.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 spans="1:26" ht="12.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spans="1:26" ht="12.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 spans="1:26" ht="12.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spans="1:26" ht="12.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 spans="1:26" ht="12.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spans="1:26" ht="12.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 spans="1:26" ht="12.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spans="1:26" ht="12.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spans="1:26" ht="12.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spans="1:26" ht="12.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 spans="1:26" ht="12.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spans="1:26" ht="12.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 spans="1:26" ht="12.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spans="1:26" ht="12.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 spans="1:26" ht="12.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spans="1:26" ht="12.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 spans="1:26" ht="12.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spans="1:26" ht="12.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 spans="1:26" ht="12.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spans="1:26" ht="12.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 spans="1:26" ht="12.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spans="1:26" ht="12.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spans="1:26" ht="12.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spans="1:26" ht="12.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spans="1:26" ht="12.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spans="1:26" ht="12.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spans="1:26" ht="12.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spans="1:26" ht="12.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spans="1:26" ht="12.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spans="1:26" ht="12.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spans="1:26" ht="12.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spans="1:26" ht="12.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spans="1:26" ht="12.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spans="1:26" ht="12.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 spans="1:26" ht="12.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spans="1:26" ht="12.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 spans="1:26" ht="12.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spans="1:26" ht="12.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 spans="1:26" ht="12.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spans="1:26" ht="12.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spans="1:26" ht="12.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spans="1:26" ht="12.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 spans="1:26" ht="12.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spans="1:26" ht="12.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 spans="1:26" ht="12.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spans="1:26" ht="12.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 spans="1:26" ht="12.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spans="1:26" ht="12.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 spans="1:26" ht="12.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spans="1:26" ht="12.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 spans="1:26" ht="12.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spans="1:26" ht="12.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spans="1:26" ht="12.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spans="1:26" ht="12.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spans="1:26" ht="12.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spans="1:26" ht="12.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spans="1:26" ht="12.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spans="1:26" ht="12.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 spans="1:26" ht="12.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spans="1:26" ht="12.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 spans="1:26" ht="12.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spans="1:26" ht="12.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 spans="1:26" ht="12.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spans="1:26" ht="12.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 spans="1:26" ht="12.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spans="1:26" ht="12.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 spans="1:26" ht="12.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spans="1:26" ht="12.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 spans="1:26" ht="12.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spans="1:26" ht="12.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 spans="1:26" ht="12.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spans="1:26" ht="12.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spans="1:26" ht="12.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spans="1:26" ht="12.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 spans="1:26" ht="12.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spans="1:26" ht="12.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 spans="1:26" ht="12.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spans="1:26" ht="12.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 spans="1:26" ht="12.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spans="1:26" ht="12.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 spans="1:26" ht="12.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spans="1:26" ht="12.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 spans="1:26" ht="12.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spans="1:26" ht="12.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 spans="1:26" ht="12.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spans="1:26" ht="12.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 spans="1:26" ht="12.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spans="1:26" ht="12.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spans="1:26" ht="12.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spans="1:26" ht="12.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 spans="1:26" ht="12.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spans="1:26" ht="12.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 spans="1:26" ht="12.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spans="1:26" ht="12.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 spans="1:26" ht="12.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spans="1:26" ht="12.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 spans="1:26" ht="12.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spans="1:26" ht="12.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 spans="1:26" ht="12.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spans="1:26" ht="12.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 spans="1:26" ht="12.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spans="1:26" ht="12.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 spans="1:26" ht="12.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spans="1:26" ht="12.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spans="1:26" ht="12.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spans="1:26" ht="12.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 spans="1:26" ht="12.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spans="1:26" ht="12.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 spans="1:26" ht="12.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spans="1:26" ht="12.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 spans="1:26" ht="12.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spans="1:26" ht="12.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 spans="1:26" ht="12.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spans="1:26" ht="12.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 spans="1:26" ht="12.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spans="1:26" ht="12.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 spans="1:26" ht="12.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spans="1:26" ht="12.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 spans="1:26" ht="12.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spans="1:26" ht="12.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 spans="1:26" ht="12.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spans="1:26" ht="12.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 spans="1:26" ht="12.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spans="1:26" ht="12.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 spans="1:26" ht="12.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spans="1:26" ht="12.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 spans="1:26" ht="12.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spans="1:26" ht="12.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 spans="1:26" ht="12.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spans="1:26" ht="12.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 spans="1:26" ht="12.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spans="1:26" ht="12.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 spans="1:26" ht="12.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spans="1:26" ht="12.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 spans="1:26" ht="12.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spans="1:26" ht="12.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spans="1:26" ht="12.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spans="1:26" ht="12.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 spans="1:26" ht="12.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spans="1:26" ht="12.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 spans="1:26" ht="12.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spans="1:26" ht="12.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 spans="1:26" ht="12.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spans="1:26" ht="12.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 spans="1:26" ht="12.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spans="1:26" ht="12.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 spans="1:26" ht="12.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spans="1:26" ht="12.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 spans="1:26" ht="12.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spans="1:26" ht="12.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 spans="1:26" ht="12.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spans="1:26" ht="12.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 spans="1:26" ht="12.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spans="1:26" ht="12.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 spans="1:26" ht="12.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spans="1:26" ht="12.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 spans="1:26" ht="12.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spans="1:26" ht="12.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 spans="1:26" ht="12.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spans="1:26" ht="12.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 spans="1:26" ht="12.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spans="1:26" ht="12.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 spans="1:26" ht="12.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spans="1:26" ht="12.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 spans="1:26" ht="12.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spans="1:26" ht="12.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 spans="1:26" ht="12.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spans="1:26" ht="12.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 spans="1:26" ht="12.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spans="1:26" ht="12.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 spans="1:26" ht="12.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spans="1:26" ht="12.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 spans="1:26" ht="12.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spans="1:26" ht="12.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 spans="1:26" ht="12.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spans="1:26" ht="12.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 spans="1:26" ht="12.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spans="1:26" ht="12.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 spans="1:26" ht="12.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spans="1:26" ht="12.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 spans="1:26" ht="12.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spans="1:26" ht="12.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 spans="1:26" ht="12.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spans="1:26" ht="12.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spans="1:26" ht="12.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spans="1:26" ht="12.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 spans="1:26" ht="12.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spans="1:26" ht="12.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 spans="1:26" ht="12.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spans="1:26" ht="12.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 spans="1:26" ht="12.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spans="1:26" ht="12.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 spans="1:26" ht="12.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spans="1:26" ht="12.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 spans="1:26" ht="12.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spans="1:26" ht="12.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 spans="1:26" ht="12.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spans="1:26" ht="12.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spans="1:26" ht="12.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spans="1:26" ht="12.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spans="1:26" ht="12.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spans="1:26" ht="12.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 spans="1:26" ht="12.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spans="1:26" ht="12.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 spans="1:26" ht="12.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spans="1:26" ht="12.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 spans="1:26" ht="12.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spans="1:26" ht="12.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 spans="1:26" ht="12.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spans="1:26" ht="12.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 spans="1:26" ht="12.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spans="1:26" ht="12.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 spans="1:26" ht="12.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spans="1:26" ht="12.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 spans="1:26" ht="12.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spans="1:26" ht="12.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spans="1:26" ht="12.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spans="1:26" ht="12.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 spans="1:26" ht="12.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spans="1:26" ht="12.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 spans="1:26" ht="12.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spans="1:26" ht="12.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 spans="1:26" ht="12.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spans="1:26" ht="12.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 spans="1:26" ht="12.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spans="1:26" ht="12.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 spans="1:26" ht="12.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spans="1:26" ht="12.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 spans="1:26" ht="12.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spans="1:26" ht="12.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spans="1:26" ht="12.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spans="1:26" ht="12.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spans="1:26" ht="12.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spans="1:26" ht="12.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 spans="1:26" ht="12.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spans="1:26" ht="12.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 spans="1:26" ht="12.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spans="1:26" ht="12.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 spans="1:26" ht="12.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spans="1:26" ht="12.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 spans="1:26" ht="12.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spans="1:26" ht="12.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 spans="1:26" ht="12.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spans="1:26" ht="12.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 spans="1:26" ht="12.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spans="1:26" ht="12.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 spans="1:26" ht="12.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spans="1:26" ht="12.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spans="1:26" ht="12.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spans="1:26" ht="12.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 spans="1:26" ht="12.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spans="1:26" ht="12.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 spans="1:26" ht="12.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 spans="1:26" ht="12.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 spans="1:26" ht="12.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 spans="1:26" ht="12.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 spans="1:26" ht="12.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 spans="1:26" ht="12.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 spans="1:26" ht="12.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 spans="1:26" ht="12.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 spans="1:26" ht="12.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 spans="1:26" ht="12.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 spans="1:26" ht="12.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 spans="1:26" ht="12.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spans="1:26" ht="12.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 spans="1:26" ht="12.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 spans="1:26" ht="12.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 spans="1:26" ht="12.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 spans="1:26" ht="12.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 spans="1:26" ht="12.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 spans="1:26" ht="12.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 spans="1:26" ht="12.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 spans="1:26" ht="12.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 spans="1:26" ht="12.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 spans="1:26" ht="12.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 spans="1:26" ht="12.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 spans="1:26" ht="12.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 spans="1:26" ht="12.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 spans="1:26" ht="12.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 spans="1:26" ht="12.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spans="1:26" ht="12.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 spans="1:26" ht="12.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 spans="1:26" ht="12.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 spans="1:26" ht="12.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 spans="1:26" ht="12.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 spans="1:26" ht="12.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 spans="1:26" ht="12.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 spans="1:26" ht="12.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 spans="1:26" ht="12.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 spans="1:26" ht="12.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 spans="1:26" ht="12.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 spans="1:26" ht="12.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 spans="1:26" ht="12.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 spans="1:26" ht="12.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 spans="1:26" ht="12.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 spans="1:26" ht="12.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spans="1:26" ht="12.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 spans="1:26" ht="12.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 spans="1:26" ht="12.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 spans="1:26" ht="12.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 spans="1:26" ht="12.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 spans="1:26" ht="12.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 spans="1:26" ht="12.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 spans="1:26" ht="12.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 spans="1:26" ht="12.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 spans="1:26" ht="12.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 spans="1:26" ht="12.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 spans="1:26" ht="12.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 spans="1:26" ht="12.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 spans="1:26" ht="12.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 spans="1:26" ht="12.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 spans="1:26" ht="12.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spans="1:26" ht="12.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 spans="1:26" ht="12.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 spans="1:26" ht="12.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 spans="1:26" ht="12.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 spans="1:26" ht="12.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 spans="1:26" ht="12.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 spans="1:26" ht="12.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 spans="1:26" ht="12.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 spans="1:26" ht="12.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 spans="1:26" ht="12.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 spans="1:26" ht="12.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 spans="1:26" ht="12.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 spans="1:26" ht="12.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 spans="1:26" ht="12.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 spans="1:26" ht="12.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 spans="1:26" ht="12.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spans="1:26" ht="12.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 spans="1:26" ht="12.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 spans="1:26" ht="12.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 spans="1:26" ht="12.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 spans="1:26" ht="12.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 spans="1:26" ht="12.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 spans="1:26" ht="12.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 spans="1:26" ht="12.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 spans="1:26" ht="12.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 spans="1:26" ht="12.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 spans="1:26" ht="12.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 spans="1:26" ht="12.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 spans="1:26" ht="12.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 spans="1:26" ht="12.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 spans="1:26" ht="12.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 spans="1:26" ht="12.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 spans="1:26" ht="12.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 spans="1:26" ht="12.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 spans="1:26" ht="12.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 spans="1:26" ht="12.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 spans="1:26" ht="12.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 spans="1:26" ht="12.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 spans="1:26" ht="12.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 spans="1:26" ht="12.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 spans="1:26" ht="12.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 spans="1:26" ht="12.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 spans="1:26" ht="12.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 spans="1:26" ht="12.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 spans="1:26" ht="12.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 spans="1:26" ht="12.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 spans="1:26" ht="12.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 spans="1:26" ht="12.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spans="1:26" ht="12.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 spans="1:26" ht="12.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 spans="1:26" ht="12.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 spans="1:26" ht="12.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 spans="1:26" ht="12.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 spans="1:26" ht="12.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 spans="1:26" ht="12.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 spans="1:26" ht="12.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 spans="1:26" ht="12.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 spans="1:26" ht="12.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 spans="1:26" ht="12.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 spans="1:26" ht="12.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 spans="1:26" ht="12.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 spans="1:26" ht="12.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 spans="1:26" ht="12.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 spans="1:26" ht="12.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spans="1:26" ht="12.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 spans="1:26" ht="12.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 spans="1:26" ht="12.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 spans="1:26" ht="12.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 spans="1:26" ht="12.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 spans="1:26" ht="12.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 spans="1:26" ht="12.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 spans="1:26" ht="12.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 spans="1:26" ht="12.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 spans="1:26" ht="12.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 spans="1:26" ht="12.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 spans="1:26" ht="12.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 spans="1:26" ht="12.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 spans="1:26" ht="12.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 spans="1:26" ht="12.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 spans="1:26" ht="12.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spans="1:26" ht="12.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 spans="1:26" ht="12.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 spans="1:26" ht="12.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 spans="1:26" ht="12.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 spans="1:26" ht="12.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 spans="1:26" ht="12.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 spans="1:26" ht="12.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 spans="1:26" ht="12.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 spans="1:26" ht="12.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 spans="1:26" ht="12.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 spans="1:26" ht="12.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 spans="1:26" ht="12.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 spans="1:26" ht="12.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 spans="1:26" ht="12.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 spans="1:26" ht="12.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 spans="1:26" ht="12.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spans="1:26" ht="12.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 spans="1:26" ht="12.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 spans="1:26" ht="12.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 spans="1:26" ht="12.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 spans="1:26" ht="12.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 spans="1:26" ht="12.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 spans="1:26" ht="12.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 spans="1:26" ht="12.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 spans="1:26" ht="12.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 spans="1:26" ht="12.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 spans="1:26" ht="12.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 spans="1:26" ht="12.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 spans="1:26" ht="12.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 spans="1:26" ht="12.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 spans="1:26" ht="12.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 spans="1:26" ht="12.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spans="1:26" ht="12.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 spans="1:26" ht="12.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 spans="1:26" ht="12.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 spans="1:26" ht="12.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 spans="1:26" ht="12.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 spans="1:26" ht="12.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 spans="1:26" ht="12.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 spans="1:26" ht="12.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 spans="1:26" ht="12.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 spans="1:26" ht="12.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 spans="1:26" ht="12.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 spans="1:26" ht="12.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 spans="1:26" ht="12.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 spans="1:26" ht="12.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 spans="1:26" ht="12.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 spans="1:26" ht="12.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spans="1:26" ht="12.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 spans="1:26" ht="12.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 spans="1:26" ht="12.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 spans="1:26" ht="12.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 spans="1:26" ht="12.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 spans="1:26" ht="12.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 spans="1:26" ht="12.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 spans="1:26" ht="12.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 spans="1:26" ht="12.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 spans="1:26" ht="12.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 spans="1:26" ht="12.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 spans="1:26" ht="12.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 spans="1:26" ht="12.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 spans="1:26" ht="12.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 spans="1:26" ht="12.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 spans="1:26" ht="12.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spans="1:26" ht="12.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 spans="1:26" ht="12.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 spans="1:26" ht="12.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 spans="1:26" ht="12.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 spans="1:26" ht="12.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 spans="1:26" ht="12.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 spans="1:26" ht="12.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 spans="1:26" ht="12.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 spans="1:26" ht="12.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 spans="1:26" ht="12.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 spans="1:26" ht="12.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 spans="1:26" ht="12.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 spans="1:26" ht="12.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 spans="1:26" ht="12.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 spans="1:26" ht="12.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 spans="1:26" ht="12.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 spans="1:26" ht="12.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 spans="1:26" ht="12.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 spans="1:26" ht="12.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 spans="1:26" ht="12.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 spans="1:26" ht="12.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 spans="1:26" ht="12.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 spans="1:26" ht="12.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 spans="1:26" ht="12.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 spans="1:26" ht="12.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 spans="1:26" ht="12.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 spans="1:26" ht="12.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 spans="1:26" ht="12.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 spans="1:26" ht="12.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 spans="1:26" ht="12.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 spans="1:26" ht="12.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 spans="1:26" ht="12.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 spans="1:26" ht="12.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 spans="1:26" ht="12.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 spans="1:26" ht="12.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 spans="1:26" ht="12.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 spans="1:26" ht="12.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 spans="1:26" ht="12.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 spans="1:26" ht="12.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 spans="1:26" ht="12.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 spans="1:26" ht="12.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 spans="1:26" ht="12.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 spans="1:26" ht="12.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 spans="1:26" ht="12.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 spans="1:26" ht="12.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 spans="1:26" ht="12.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 spans="1:26" ht="12.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spans="1:26" ht="12.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 spans="1:26" ht="12.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 spans="1:26" ht="12.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 spans="1:26" ht="12.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 spans="1:26" ht="12.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 spans="1:26" ht="12.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 spans="1:26" ht="12.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 spans="1:26" ht="12.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 spans="1:26" ht="12.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 spans="1:26" ht="12.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 spans="1:26" ht="12.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 spans="1:26" ht="12.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 spans="1:26" ht="12.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 spans="1:26" ht="12.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 spans="1:26" ht="12.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 spans="1:26" ht="12.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 spans="1:26" ht="12.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 spans="1:26" ht="12.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 spans="1:26" ht="12.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 spans="1:26" ht="12.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 spans="1:26" ht="12.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 spans="1:26" ht="12.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 spans="1:26" ht="12.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 spans="1:26" ht="12.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 spans="1:26" ht="12.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 spans="1:26" ht="12.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 spans="1:26" ht="12.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 spans="1:26" ht="12.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 spans="1:26" ht="12.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 spans="1:26" ht="12.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 spans="1:26" ht="12.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 spans="1:26" ht="12.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 spans="1:26" ht="12.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 spans="1:26" ht="12.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 spans="1:26" ht="12.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 spans="1:26" ht="12.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 spans="1:26" ht="12.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 spans="1:26" ht="12.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 spans="1:26" ht="12.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 spans="1:26" ht="12.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 spans="1:26" ht="12.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 spans="1:26" ht="12.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 spans="1:26" ht="12.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 spans="1:26" ht="12.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 spans="1:26" ht="12.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 spans="1:26" ht="12.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 spans="1:26" ht="12.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 spans="1:26" ht="12.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 spans="1:26" ht="12.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 spans="1:26" ht="12.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 spans="1:26" ht="12.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 spans="1:26" ht="12.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 spans="1:26" ht="12.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 spans="1:26" ht="12.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 spans="1:26" ht="12.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 spans="1:26" ht="12.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 spans="1:26" ht="12.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 spans="1:26" ht="12.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 spans="1:26" ht="12.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 spans="1:26" ht="12.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 spans="1:26" ht="12.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 spans="1:26" ht="12.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 spans="1:26" ht="12.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 spans="1:26" ht="12.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 spans="1:26" ht="12.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 spans="1:26" ht="12.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 spans="1:26" ht="12.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 spans="1:26" ht="12.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 spans="1:26" ht="12.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 spans="1:26" ht="12.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 spans="1:26" ht="12.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 spans="1:26" ht="12.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 spans="1:26" ht="12.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 spans="1:26" ht="12.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 spans="1:26" ht="12.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 spans="1:26" ht="12.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 spans="1:26" ht="12.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 spans="1:26" ht="12.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 spans="1:26" ht="12.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 spans="1:26" ht="12.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 spans="1:26" ht="12.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 spans="1:26" ht="12.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 spans="1:26" ht="12.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 spans="1:26" ht="12.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 spans="1:26" ht="12.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 spans="1:26" ht="12.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 spans="1:26" ht="12.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 spans="1:26" ht="12.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 spans="1:26" ht="12.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 spans="1:26" ht="12.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 spans="1:26" ht="12.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 spans="1:26" ht="12.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 spans="1:26" ht="12.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 spans="1:26" ht="12.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 spans="1:26" ht="12.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 spans="1:26" ht="12.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 spans="1:26" ht="12.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 spans="1:26" ht="12.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 spans="1:26" ht="12.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 spans="1:26" ht="12.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 spans="1:26" ht="12.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 spans="1:26" ht="12.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 spans="1:26" ht="12.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 spans="1:26" ht="12.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 spans="1:26" ht="12.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 spans="1:26" ht="12.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 spans="1:26" ht="12.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 spans="1:26" ht="12.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 spans="1:26" ht="12.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 spans="1:26" ht="12.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 spans="1:26" ht="12.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 spans="1:26" ht="12.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 spans="1:26" ht="12.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 spans="1:26" ht="12.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 spans="1:26" ht="12.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 spans="1:26" ht="12.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 spans="1:26" ht="12.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 spans="1:26" ht="12.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 spans="1:26" ht="12.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 spans="1:26" ht="12.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 spans="1:26" ht="12.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 spans="1:26" ht="12.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 spans="1:26" ht="12.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 spans="1:26" ht="12.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 spans="1:26" ht="12.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 spans="1:26" ht="12.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 spans="1:26" ht="12.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 spans="1:26" ht="12.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 spans="1:26" ht="12.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 spans="1:26" ht="12.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 spans="1:26" ht="12.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 spans="1:26" ht="12.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 spans="1:26" ht="12.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 spans="1:26" ht="12.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 spans="1:26" ht="12.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 spans="1:26" ht="12.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 spans="1:26" ht="12.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 spans="1:26" ht="12.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 spans="1:26" ht="12.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 spans="1:26" ht="12.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 spans="1:26" ht="12.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 spans="1:26" ht="12.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 spans="1:26" ht="12.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 spans="1:26" ht="12.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 spans="1:26" ht="12.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 spans="1:26" ht="12.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 spans="1:26" ht="12.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 spans="1:26" ht="12.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 spans="1:26" ht="12.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 spans="1:26" ht="12.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 spans="1:26" ht="12.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 spans="1:26" ht="12.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 spans="1:26" ht="12.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 spans="1:26" ht="12.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 spans="1:26" ht="12.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 spans="1:26" ht="12.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 spans="1:26" ht="12.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 spans="1:26" ht="12.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 spans="1:26" ht="12.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 spans="1:26" ht="12.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 spans="1:26" ht="12.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 spans="1:26" ht="12.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 spans="1:26" ht="12.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 spans="1:26" ht="12.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 spans="1:26" ht="12.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 spans="1:26" ht="12.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 spans="1:26" ht="12.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 spans="1:26" ht="12.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 spans="1:26" ht="12.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  <row r="992" spans="1:26" ht="12.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</row>
    <row r="993" spans="1:26" ht="12.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</row>
    <row r="994" spans="1:26" ht="12.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</row>
    <row r="995" spans="1:26" ht="12.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</row>
    <row r="996" spans="1:26" ht="12.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E13"/>
  <sheetViews>
    <sheetView workbookViewId="0"/>
  </sheetViews>
  <sheetFormatPr baseColWidth="10" defaultColWidth="14.453125" defaultRowHeight="15.75" customHeight="1"/>
  <sheetData>
    <row r="1" spans="1:5" ht="15.75" customHeight="1">
      <c r="A1" s="1"/>
      <c r="B1" s="1"/>
      <c r="C1" s="1"/>
      <c r="D1" s="2"/>
      <c r="E1" s="2"/>
    </row>
    <row r="2" spans="1:5" ht="15.75" customHeight="1">
      <c r="A2" s="3" t="s">
        <v>0</v>
      </c>
      <c r="B2" s="5" t="s">
        <v>5</v>
      </c>
      <c r="C2" s="5" t="s">
        <v>6</v>
      </c>
      <c r="D2" s="6" t="s">
        <v>7</v>
      </c>
      <c r="E2" s="6" t="s">
        <v>8</v>
      </c>
    </row>
    <row r="3" spans="1:5" ht="15.75" customHeight="1">
      <c r="A3" s="7" t="s">
        <v>172</v>
      </c>
      <c r="B3" s="8">
        <v>1940</v>
      </c>
      <c r="C3" s="25">
        <v>1680</v>
      </c>
      <c r="D3" s="10">
        <f t="shared" ref="D3:D8" si="0">(C3-B3)/B3</f>
        <v>-0.13402061855670103</v>
      </c>
      <c r="E3" s="2"/>
    </row>
    <row r="4" spans="1:5" ht="15.75" customHeight="1">
      <c r="A4" s="7" t="s">
        <v>173</v>
      </c>
      <c r="B4" s="16">
        <v>1000</v>
      </c>
      <c r="C4" s="27">
        <v>1000</v>
      </c>
      <c r="D4" s="13">
        <f t="shared" si="0"/>
        <v>0</v>
      </c>
      <c r="E4" s="2"/>
    </row>
    <row r="5" spans="1:5" ht="15.75" customHeight="1">
      <c r="A5" s="7" t="s">
        <v>174</v>
      </c>
      <c r="B5" s="16">
        <v>44</v>
      </c>
      <c r="C5" s="27">
        <v>0</v>
      </c>
      <c r="D5" s="13">
        <f t="shared" si="0"/>
        <v>-1</v>
      </c>
      <c r="E5" s="14"/>
    </row>
    <row r="6" spans="1:5" ht="15.75" customHeight="1">
      <c r="A6" s="7" t="s">
        <v>175</v>
      </c>
      <c r="B6" s="16">
        <v>0</v>
      </c>
      <c r="C6" s="27">
        <v>400</v>
      </c>
      <c r="D6" s="13" t="e">
        <f t="shared" si="0"/>
        <v>#DIV/0!</v>
      </c>
      <c r="E6" s="14"/>
    </row>
    <row r="7" spans="1:5" ht="15.75" customHeight="1">
      <c r="A7" s="7" t="s">
        <v>176</v>
      </c>
      <c r="B7" s="16">
        <v>100</v>
      </c>
      <c r="C7" s="16">
        <v>100</v>
      </c>
      <c r="D7" s="13">
        <f t="shared" si="0"/>
        <v>0</v>
      </c>
      <c r="E7" s="15"/>
    </row>
    <row r="8" spans="1:5" ht="15.75" customHeight="1">
      <c r="A8" s="18" t="s">
        <v>16</v>
      </c>
      <c r="B8" s="9">
        <f t="shared" ref="B8:C8" si="1">SUM(B3:B7)</f>
        <v>3084</v>
      </c>
      <c r="C8" s="9">
        <f t="shared" si="1"/>
        <v>3180</v>
      </c>
      <c r="D8" s="10">
        <f t="shared" si="0"/>
        <v>3.1128404669260701E-2</v>
      </c>
      <c r="E8" s="2"/>
    </row>
    <row r="9" spans="1:5" ht="15.75" customHeight="1">
      <c r="A9" s="1"/>
      <c r="B9" s="1"/>
      <c r="C9" s="2"/>
      <c r="D9" s="2"/>
      <c r="E9" s="2"/>
    </row>
    <row r="10" spans="1:5" ht="15.75" customHeight="1">
      <c r="A10" s="18" t="s">
        <v>17</v>
      </c>
      <c r="B10" s="9">
        <f>B8-C8</f>
        <v>-96</v>
      </c>
      <c r="C10" s="2"/>
      <c r="D10" s="2"/>
      <c r="E10" s="2"/>
    </row>
    <row r="11" spans="1:5" ht="15.75" customHeight="1">
      <c r="A11" s="1"/>
      <c r="B11" s="1"/>
      <c r="C11" s="2"/>
      <c r="D11" s="2"/>
      <c r="E11" s="2"/>
    </row>
    <row r="12" spans="1:5" ht="15.75" customHeight="1">
      <c r="A12" s="19" t="s">
        <v>18</v>
      </c>
      <c r="B12" s="20"/>
      <c r="C12" s="2"/>
      <c r="D12" s="2"/>
      <c r="E12" s="2"/>
    </row>
    <row r="13" spans="1:5" ht="15.75" customHeight="1">
      <c r="A13" s="19" t="s">
        <v>19</v>
      </c>
      <c r="B13" s="12"/>
      <c r="C13" s="2"/>
      <c r="D13" s="2"/>
      <c r="E1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E19"/>
  <sheetViews>
    <sheetView workbookViewId="0"/>
  </sheetViews>
  <sheetFormatPr baseColWidth="10" defaultColWidth="14.453125" defaultRowHeight="15.75" customHeight="1"/>
  <cols>
    <col min="1" max="1" width="19.81640625" customWidth="1"/>
  </cols>
  <sheetData>
    <row r="1" spans="1:5" ht="15.75" customHeight="1">
      <c r="A1" s="1"/>
      <c r="B1" s="1"/>
      <c r="C1" s="1"/>
      <c r="D1" s="2"/>
      <c r="E1" s="2"/>
    </row>
    <row r="2" spans="1:5" ht="15.75" customHeight="1">
      <c r="A2" s="3" t="s">
        <v>0</v>
      </c>
      <c r="B2" s="5" t="s">
        <v>5</v>
      </c>
      <c r="C2" s="5" t="s">
        <v>6</v>
      </c>
      <c r="D2" s="6" t="s">
        <v>7</v>
      </c>
      <c r="E2" s="6" t="s">
        <v>8</v>
      </c>
    </row>
    <row r="3" spans="1:5" ht="15.75" customHeight="1">
      <c r="A3" s="7" t="s">
        <v>177</v>
      </c>
      <c r="B3" s="8">
        <v>3.5</v>
      </c>
      <c r="C3" s="25">
        <v>3.3</v>
      </c>
      <c r="D3" s="10">
        <f t="shared" ref="D3:D14" si="0">(C3-B3)/B3</f>
        <v>-5.7142857142857197E-2</v>
      </c>
      <c r="E3" s="2"/>
    </row>
    <row r="4" spans="1:5" ht="15.75" customHeight="1">
      <c r="A4" s="7"/>
      <c r="B4" s="16"/>
      <c r="C4" s="27"/>
      <c r="D4" s="13" t="e">
        <f t="shared" si="0"/>
        <v>#DIV/0!</v>
      </c>
      <c r="E4" s="2"/>
    </row>
    <row r="5" spans="1:5" ht="15.75" customHeight="1">
      <c r="A5" s="7"/>
      <c r="B5" s="16"/>
      <c r="C5" s="12"/>
      <c r="D5" s="13" t="e">
        <f t="shared" si="0"/>
        <v>#DIV/0!</v>
      </c>
      <c r="E5" s="14"/>
    </row>
    <row r="6" spans="1:5" ht="15.75" customHeight="1">
      <c r="A6" s="29"/>
      <c r="B6" s="11"/>
      <c r="C6" s="12"/>
      <c r="D6" s="13" t="e">
        <f t="shared" si="0"/>
        <v>#DIV/0!</v>
      </c>
      <c r="E6" s="14"/>
    </row>
    <row r="7" spans="1:5" ht="15.75" customHeight="1">
      <c r="A7" s="29"/>
      <c r="B7" s="11"/>
      <c r="C7" s="11"/>
      <c r="D7" s="13" t="e">
        <f t="shared" si="0"/>
        <v>#DIV/0!</v>
      </c>
      <c r="E7" s="15"/>
    </row>
    <row r="8" spans="1:5" ht="15.75" customHeight="1">
      <c r="A8" s="29"/>
      <c r="B8" s="11"/>
      <c r="C8" s="11"/>
      <c r="D8" s="13" t="e">
        <f t="shared" si="0"/>
        <v>#DIV/0!</v>
      </c>
      <c r="E8" s="15"/>
    </row>
    <row r="9" spans="1:5" ht="15.75" customHeight="1">
      <c r="A9" s="29"/>
      <c r="B9" s="30"/>
      <c r="C9" s="30"/>
      <c r="D9" s="13" t="e">
        <f t="shared" si="0"/>
        <v>#DIV/0!</v>
      </c>
      <c r="E9" s="2"/>
    </row>
    <row r="10" spans="1:5" ht="15.75" customHeight="1">
      <c r="A10" s="29"/>
      <c r="B10" s="30"/>
      <c r="C10" s="30"/>
      <c r="D10" s="13" t="e">
        <f t="shared" si="0"/>
        <v>#DIV/0!</v>
      </c>
      <c r="E10" s="2"/>
    </row>
    <row r="11" spans="1:5" ht="15.75" customHeight="1">
      <c r="A11" s="29"/>
      <c r="B11" s="30"/>
      <c r="C11" s="30"/>
      <c r="D11" s="13" t="e">
        <f t="shared" si="0"/>
        <v>#DIV/0!</v>
      </c>
      <c r="E11" s="2"/>
    </row>
    <row r="12" spans="1:5" ht="15.75" customHeight="1">
      <c r="A12" s="29"/>
      <c r="B12" s="11"/>
      <c r="C12" s="30"/>
      <c r="D12" s="13" t="e">
        <f t="shared" si="0"/>
        <v>#DIV/0!</v>
      </c>
      <c r="E12" s="2"/>
    </row>
    <row r="13" spans="1:5" ht="15.75" customHeight="1">
      <c r="A13" s="29"/>
      <c r="B13" s="30"/>
      <c r="C13" s="30"/>
      <c r="D13" s="13" t="e">
        <f t="shared" si="0"/>
        <v>#DIV/0!</v>
      </c>
      <c r="E13" s="2"/>
    </row>
    <row r="14" spans="1:5" ht="15.75" customHeight="1">
      <c r="A14" s="18" t="s">
        <v>16</v>
      </c>
      <c r="B14" s="9">
        <f t="shared" ref="B14:C14" si="1">SUM(B3:B11)</f>
        <v>3.5</v>
      </c>
      <c r="C14" s="9">
        <f t="shared" si="1"/>
        <v>3.3</v>
      </c>
      <c r="D14" s="10">
        <f t="shared" si="0"/>
        <v>-5.7142857142857197E-2</v>
      </c>
      <c r="E14" s="2"/>
    </row>
    <row r="15" spans="1:5" ht="15.75" customHeight="1">
      <c r="A15" s="1"/>
      <c r="B15" s="1"/>
      <c r="C15" s="2"/>
      <c r="D15" s="2"/>
      <c r="E15" s="2"/>
    </row>
    <row r="16" spans="1:5" ht="15.75" customHeight="1">
      <c r="A16" s="18" t="s">
        <v>17</v>
      </c>
      <c r="B16" s="9">
        <f>B14-C14</f>
        <v>0.20000000000000018</v>
      </c>
      <c r="C16" s="2"/>
      <c r="D16" s="2"/>
      <c r="E16" s="2"/>
    </row>
    <row r="17" spans="1:5" ht="15.75" customHeight="1">
      <c r="A17" s="1"/>
      <c r="B17" s="1"/>
      <c r="C17" s="2"/>
      <c r="D17" s="2"/>
      <c r="E17" s="2"/>
    </row>
    <row r="18" spans="1:5" ht="15.75" customHeight="1">
      <c r="A18" s="19" t="s">
        <v>18</v>
      </c>
      <c r="B18" s="20"/>
      <c r="C18" s="2"/>
      <c r="D18" s="2"/>
      <c r="E18" s="2"/>
    </row>
    <row r="19" spans="1:5" ht="15.75" customHeight="1">
      <c r="A19" s="19" t="s">
        <v>19</v>
      </c>
      <c r="B19" s="12"/>
      <c r="C19" s="2"/>
      <c r="D19" s="2"/>
      <c r="E19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E19"/>
  <sheetViews>
    <sheetView workbookViewId="0"/>
  </sheetViews>
  <sheetFormatPr baseColWidth="10" defaultColWidth="14.453125" defaultRowHeight="15.75" customHeight="1"/>
  <sheetData>
    <row r="1" spans="1:5" ht="15.75" customHeight="1">
      <c r="A1" s="1"/>
      <c r="B1" s="1"/>
      <c r="C1" s="1"/>
      <c r="D1" s="2"/>
      <c r="E1" s="2"/>
    </row>
    <row r="2" spans="1:5" ht="15.75" customHeight="1">
      <c r="A2" s="3" t="s">
        <v>0</v>
      </c>
      <c r="B2" s="5" t="s">
        <v>5</v>
      </c>
      <c r="C2" s="5" t="s">
        <v>6</v>
      </c>
      <c r="D2" s="6" t="s">
        <v>7</v>
      </c>
      <c r="E2" s="6" t="s">
        <v>8</v>
      </c>
    </row>
    <row r="3" spans="1:5" ht="15.75" customHeight="1">
      <c r="A3" s="7"/>
      <c r="B3" s="8">
        <v>3000</v>
      </c>
      <c r="C3" s="25">
        <v>3000</v>
      </c>
      <c r="D3" s="10">
        <f t="shared" ref="D3:D14" si="0">(C3-B3)/B3</f>
        <v>0</v>
      </c>
      <c r="E3" s="2"/>
    </row>
    <row r="4" spans="1:5" ht="15.75" customHeight="1">
      <c r="A4" s="7"/>
      <c r="B4" s="16"/>
      <c r="C4" s="27"/>
      <c r="D4" s="13" t="e">
        <f t="shared" si="0"/>
        <v>#DIV/0!</v>
      </c>
      <c r="E4" s="2"/>
    </row>
    <row r="5" spans="1:5" ht="15.75" customHeight="1">
      <c r="A5" s="7"/>
      <c r="B5" s="16"/>
      <c r="C5" s="12"/>
      <c r="D5" s="13" t="e">
        <f t="shared" si="0"/>
        <v>#DIV/0!</v>
      </c>
      <c r="E5" s="14"/>
    </row>
    <row r="6" spans="1:5" ht="15.75" customHeight="1">
      <c r="A6" s="29"/>
      <c r="B6" s="11"/>
      <c r="C6" s="12"/>
      <c r="D6" s="13" t="e">
        <f t="shared" si="0"/>
        <v>#DIV/0!</v>
      </c>
      <c r="E6" s="14"/>
    </row>
    <row r="7" spans="1:5" ht="15.75" customHeight="1">
      <c r="A7" s="29"/>
      <c r="B7" s="11"/>
      <c r="C7" s="11"/>
      <c r="D7" s="13" t="e">
        <f t="shared" si="0"/>
        <v>#DIV/0!</v>
      </c>
      <c r="E7" s="15"/>
    </row>
    <row r="8" spans="1:5" ht="15.75" customHeight="1">
      <c r="A8" s="29"/>
      <c r="B8" s="11"/>
      <c r="C8" s="11"/>
      <c r="D8" s="13" t="e">
        <f t="shared" si="0"/>
        <v>#DIV/0!</v>
      </c>
      <c r="E8" s="15"/>
    </row>
    <row r="9" spans="1:5" ht="15.75" customHeight="1">
      <c r="A9" s="29"/>
      <c r="B9" s="30"/>
      <c r="C9" s="30"/>
      <c r="D9" s="13" t="e">
        <f t="shared" si="0"/>
        <v>#DIV/0!</v>
      </c>
      <c r="E9" s="2"/>
    </row>
    <row r="10" spans="1:5" ht="15.75" customHeight="1">
      <c r="A10" s="29"/>
      <c r="B10" s="30"/>
      <c r="C10" s="30"/>
      <c r="D10" s="13" t="e">
        <f t="shared" si="0"/>
        <v>#DIV/0!</v>
      </c>
      <c r="E10" s="2"/>
    </row>
    <row r="11" spans="1:5" ht="15.75" customHeight="1">
      <c r="A11" s="29"/>
      <c r="B11" s="30"/>
      <c r="C11" s="30"/>
      <c r="D11" s="13" t="e">
        <f t="shared" si="0"/>
        <v>#DIV/0!</v>
      </c>
      <c r="E11" s="2"/>
    </row>
    <row r="12" spans="1:5" ht="15.75" customHeight="1">
      <c r="A12" s="29"/>
      <c r="B12" s="11"/>
      <c r="C12" s="30"/>
      <c r="D12" s="13" t="e">
        <f t="shared" si="0"/>
        <v>#DIV/0!</v>
      </c>
      <c r="E12" s="2"/>
    </row>
    <row r="13" spans="1:5" ht="15.75" customHeight="1">
      <c r="A13" s="29"/>
      <c r="B13" s="30"/>
      <c r="C13" s="30"/>
      <c r="D13" s="13" t="e">
        <f t="shared" si="0"/>
        <v>#DIV/0!</v>
      </c>
      <c r="E13" s="2"/>
    </row>
    <row r="14" spans="1:5" ht="15.75" customHeight="1">
      <c r="A14" s="18" t="s">
        <v>16</v>
      </c>
      <c r="B14" s="9">
        <f t="shared" ref="B14:C14" si="1">SUM(B3:B11)</f>
        <v>3000</v>
      </c>
      <c r="C14" s="9">
        <f t="shared" si="1"/>
        <v>3000</v>
      </c>
      <c r="D14" s="10">
        <f t="shared" si="0"/>
        <v>0</v>
      </c>
      <c r="E14" s="2"/>
    </row>
    <row r="15" spans="1:5" ht="15.75" customHeight="1">
      <c r="A15" s="1"/>
      <c r="B15" s="1"/>
      <c r="C15" s="2"/>
      <c r="D15" s="2"/>
      <c r="E15" s="2"/>
    </row>
    <row r="16" spans="1:5" ht="15.75" customHeight="1">
      <c r="A16" s="18" t="s">
        <v>17</v>
      </c>
      <c r="B16" s="9">
        <f>B14-C14</f>
        <v>0</v>
      </c>
      <c r="C16" s="2"/>
      <c r="D16" s="2"/>
      <c r="E16" s="2"/>
    </row>
    <row r="17" spans="1:5" ht="15.75" customHeight="1">
      <c r="A17" s="1"/>
      <c r="B17" s="1"/>
      <c r="C17" s="2"/>
      <c r="D17" s="2"/>
      <c r="E17" s="2"/>
    </row>
    <row r="18" spans="1:5" ht="15.75" customHeight="1">
      <c r="A18" s="19" t="s">
        <v>18</v>
      </c>
      <c r="B18" s="20"/>
      <c r="C18" s="2"/>
      <c r="D18" s="2"/>
      <c r="E18" s="2"/>
    </row>
    <row r="19" spans="1:5" ht="15.75" customHeight="1">
      <c r="A19" s="19" t="s">
        <v>19</v>
      </c>
      <c r="B19" s="12"/>
      <c r="C19" s="2"/>
      <c r="D19" s="2"/>
      <c r="E19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E11"/>
  <sheetViews>
    <sheetView workbookViewId="0">
      <selection activeCell="C27" sqref="C27"/>
    </sheetView>
  </sheetViews>
  <sheetFormatPr baseColWidth="10" defaultColWidth="14.453125" defaultRowHeight="15.75" customHeight="1"/>
  <cols>
    <col min="1" max="1" width="30.54296875" style="102" customWidth="1"/>
    <col min="2" max="16384" width="14.453125" style="102"/>
  </cols>
  <sheetData>
    <row r="1" spans="1:5" ht="15.75" customHeight="1">
      <c r="A1" s="98" t="s">
        <v>178</v>
      </c>
      <c r="B1" s="99"/>
      <c r="C1" s="99"/>
      <c r="D1" s="100"/>
      <c r="E1" s="110"/>
    </row>
    <row r="2" spans="1:5" ht="15.75" customHeight="1">
      <c r="A2" s="111" t="s">
        <v>179</v>
      </c>
      <c r="B2" s="112" t="s">
        <v>21</v>
      </c>
      <c r="C2" s="112" t="s">
        <v>46</v>
      </c>
      <c r="D2" s="113" t="s">
        <v>47</v>
      </c>
      <c r="E2" s="114"/>
    </row>
    <row r="3" spans="1:5" ht="15.75" customHeight="1">
      <c r="A3" s="103" t="s">
        <v>180</v>
      </c>
      <c r="B3" s="115"/>
      <c r="C3" s="104">
        <v>3.5</v>
      </c>
      <c r="D3" s="115"/>
      <c r="E3" s="110"/>
    </row>
    <row r="4" spans="1:5" ht="15.75" customHeight="1">
      <c r="A4" s="103" t="s">
        <v>181</v>
      </c>
      <c r="B4" s="115"/>
      <c r="C4" s="104">
        <v>3</v>
      </c>
      <c r="D4" s="104"/>
      <c r="E4" s="116"/>
    </row>
    <row r="5" spans="1:5" ht="15.75" customHeight="1">
      <c r="A5" s="103" t="s">
        <v>182</v>
      </c>
      <c r="B5" s="115"/>
      <c r="C5" s="104">
        <v>1.5</v>
      </c>
      <c r="D5" s="104"/>
      <c r="E5" s="116"/>
    </row>
    <row r="6" spans="1:5" ht="15.75" customHeight="1">
      <c r="A6" s="103" t="s">
        <v>183</v>
      </c>
      <c r="B6" s="115"/>
      <c r="C6" s="104">
        <v>2</v>
      </c>
      <c r="D6" s="104"/>
      <c r="E6" s="117"/>
    </row>
    <row r="7" spans="1:5" ht="15.75" customHeight="1">
      <c r="A7" s="103" t="s">
        <v>184</v>
      </c>
      <c r="B7" s="115"/>
      <c r="C7" s="104">
        <v>1.5</v>
      </c>
      <c r="D7" s="104"/>
      <c r="E7" s="117"/>
    </row>
    <row r="8" spans="1:5" ht="15.75" customHeight="1">
      <c r="A8" s="107"/>
      <c r="B8" s="100"/>
      <c r="C8" s="107"/>
      <c r="D8" s="100"/>
      <c r="E8" s="117"/>
    </row>
    <row r="9" spans="1:5" ht="15.75" customHeight="1">
      <c r="A9" s="103" t="s">
        <v>29</v>
      </c>
      <c r="B9" s="104"/>
      <c r="C9" s="104">
        <f>SUM(C3:C7)</f>
        <v>11.5</v>
      </c>
      <c r="D9" s="104">
        <f>SUM(E3:E7)</f>
        <v>0</v>
      </c>
      <c r="E9" s="117"/>
    </row>
    <row r="10" spans="1:5" ht="15.75" customHeight="1">
      <c r="B10" s="118"/>
      <c r="C10" s="119"/>
      <c r="D10" s="119"/>
    </row>
    <row r="11" spans="1:5" ht="15.75" customHeight="1">
      <c r="C11" s="117"/>
      <c r="D11" s="117"/>
    </row>
  </sheetData>
  <mergeCells count="3">
    <mergeCell ref="A8:B8"/>
    <mergeCell ref="C8:D8"/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A86E8"/>
    <outlinePr summaryBelow="0" summaryRight="0"/>
  </sheetPr>
  <dimension ref="A1:D11"/>
  <sheetViews>
    <sheetView showGridLines="0" workbookViewId="0">
      <selection activeCell="H20" sqref="H20"/>
    </sheetView>
  </sheetViews>
  <sheetFormatPr baseColWidth="10" defaultColWidth="14.453125" defaultRowHeight="15.75" customHeight="1"/>
  <cols>
    <col min="1" max="1" width="33.08984375" style="102" customWidth="1"/>
    <col min="2" max="3" width="17.54296875" style="102" customWidth="1"/>
    <col min="4" max="16384" width="14.453125" style="102"/>
  </cols>
  <sheetData>
    <row r="1" spans="1:4" ht="15.75" customHeight="1">
      <c r="A1" s="98" t="s">
        <v>44</v>
      </c>
      <c r="B1" s="99"/>
      <c r="C1" s="99"/>
      <c r="D1" s="100"/>
    </row>
    <row r="2" spans="1:4" ht="15.75" customHeight="1">
      <c r="A2" s="140" t="s">
        <v>45</v>
      </c>
      <c r="B2" s="141" t="s">
        <v>21</v>
      </c>
      <c r="C2" s="141" t="s">
        <v>46</v>
      </c>
      <c r="D2" s="140" t="s">
        <v>47</v>
      </c>
    </row>
    <row r="3" spans="1:4" ht="15.75" customHeight="1">
      <c r="A3" s="103" t="s">
        <v>48</v>
      </c>
      <c r="B3" s="104">
        <f>Suspension!B11*0.001</f>
        <v>2.7440000000000002</v>
      </c>
      <c r="C3" s="104">
        <f>4*0.7</f>
        <v>2.8</v>
      </c>
      <c r="D3" s="115">
        <f>Suspension!C11*0.001</f>
        <v>3.0380000000000003</v>
      </c>
    </row>
    <row r="4" spans="1:4" ht="15.75" customHeight="1">
      <c r="A4" s="103" t="s">
        <v>49</v>
      </c>
      <c r="B4" s="104">
        <v>0</v>
      </c>
      <c r="C4" s="104">
        <v>2.5</v>
      </c>
      <c r="D4" s="115">
        <f>BAR!C7*0.001</f>
        <v>0.56400000000000006</v>
      </c>
    </row>
    <row r="5" spans="1:4" ht="15.75" customHeight="1">
      <c r="A5" s="103" t="s">
        <v>50</v>
      </c>
      <c r="B5" s="104">
        <f>Triangles!B14*0.001</f>
        <v>4.4139999999999997</v>
      </c>
      <c r="C5" s="104">
        <v>3.5</v>
      </c>
      <c r="D5" s="115">
        <f>Triangles!C14*0.001</f>
        <v>2.5753580246913579</v>
      </c>
    </row>
    <row r="6" spans="1:4" ht="15.75" customHeight="1">
      <c r="A6" s="103" t="s">
        <v>51</v>
      </c>
      <c r="B6" s="104">
        <f>Freinage!F9/1000</f>
        <v>2.5499999999999998</v>
      </c>
      <c r="C6" s="104">
        <v>4</v>
      </c>
      <c r="D6" s="115">
        <f>Freinage!G9/1000</f>
        <v>2.0099999999999998</v>
      </c>
    </row>
    <row r="7" spans="1:4" ht="15.75" customHeight="1">
      <c r="A7" s="103" t="s">
        <v>52</v>
      </c>
      <c r="B7" s="104">
        <f>'Roue équipée'!E40*2*0.001</f>
        <v>31.754000000000001</v>
      </c>
      <c r="C7" s="104">
        <v>25</v>
      </c>
      <c r="D7" s="115">
        <f>'Roue équipée'!F40*2*0.001</f>
        <v>23.317619999999998</v>
      </c>
    </row>
    <row r="8" spans="1:4" ht="15.75" customHeight="1">
      <c r="A8" s="103" t="s">
        <v>53</v>
      </c>
      <c r="B8" s="104">
        <f>Direction!B11*0.001</f>
        <v>3.5</v>
      </c>
      <c r="C8" s="104">
        <f>0.5+0.5+1.5+0.5</f>
        <v>3</v>
      </c>
      <c r="D8" s="115">
        <f>Direction!C11*0.001</f>
        <v>3.0100000000000002</v>
      </c>
    </row>
    <row r="9" spans="1:4" ht="15.75" customHeight="1">
      <c r="A9" s="103" t="s">
        <v>56</v>
      </c>
      <c r="B9" s="104">
        <f t="shared" ref="B9:D9" si="0">4.85*4</f>
        <v>19.399999999999999</v>
      </c>
      <c r="C9" s="104">
        <f t="shared" si="0"/>
        <v>19.399999999999999</v>
      </c>
      <c r="D9" s="104">
        <f t="shared" si="0"/>
        <v>19.399999999999999</v>
      </c>
    </row>
    <row r="10" spans="1:4" ht="15.75" customHeight="1">
      <c r="A10" s="142"/>
      <c r="B10" s="143"/>
      <c r="C10" s="143"/>
      <c r="D10" s="143"/>
    </row>
    <row r="11" spans="1:4" ht="15.75" customHeight="1">
      <c r="A11" s="103" t="s">
        <v>29</v>
      </c>
      <c r="B11" s="104">
        <f t="shared" ref="B11:D11" si="1">SUM(B3:B9)</f>
        <v>64.361999999999995</v>
      </c>
      <c r="C11" s="104">
        <f>SUM(C3:C9)</f>
        <v>60.199999999999996</v>
      </c>
      <c r="D11" s="104">
        <f t="shared" si="1"/>
        <v>53.914978024691351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A86E8"/>
    <outlinePr summaryBelow="0" summaryRight="0"/>
  </sheetPr>
  <dimension ref="A1:I14"/>
  <sheetViews>
    <sheetView tabSelected="1" workbookViewId="0">
      <selection activeCell="E3" sqref="E3"/>
    </sheetView>
  </sheetViews>
  <sheetFormatPr baseColWidth="10" defaultColWidth="14.453125" defaultRowHeight="15.75" customHeight="1"/>
  <cols>
    <col min="1" max="1" width="17.26953125" style="102" customWidth="1"/>
    <col min="2" max="8" width="14.453125" style="102"/>
    <col min="9" max="9" width="52.81640625" style="102" customWidth="1"/>
    <col min="10" max="16384" width="14.453125" style="102"/>
  </cols>
  <sheetData>
    <row r="1" spans="1:9" ht="15.75" customHeight="1">
      <c r="A1" s="120"/>
      <c r="B1" s="120"/>
      <c r="C1" s="120"/>
      <c r="D1" s="120"/>
      <c r="E1" s="120"/>
      <c r="F1" s="120"/>
      <c r="G1" s="120"/>
      <c r="H1" s="109"/>
      <c r="I1" s="109"/>
    </row>
    <row r="2" spans="1:9" ht="17.5" customHeight="1">
      <c r="A2" s="121" t="s">
        <v>0</v>
      </c>
      <c r="B2" s="122" t="s">
        <v>1</v>
      </c>
      <c r="C2" s="122" t="s">
        <v>2</v>
      </c>
      <c r="D2" s="122" t="s">
        <v>3</v>
      </c>
      <c r="E2" s="122" t="s">
        <v>4</v>
      </c>
      <c r="F2" s="122" t="s">
        <v>5</v>
      </c>
      <c r="G2" s="122" t="s">
        <v>6</v>
      </c>
      <c r="H2" s="123" t="s">
        <v>7</v>
      </c>
      <c r="I2" s="123" t="s">
        <v>8</v>
      </c>
    </row>
    <row r="3" spans="1:9" ht="25">
      <c r="A3" s="124" t="s">
        <v>9</v>
      </c>
      <c r="B3" s="125">
        <v>495</v>
      </c>
      <c r="C3" s="125">
        <v>550</v>
      </c>
      <c r="D3" s="125">
        <v>601</v>
      </c>
      <c r="E3" s="125">
        <v>601</v>
      </c>
      <c r="F3" s="125"/>
      <c r="G3" s="126"/>
      <c r="H3" s="127" t="e">
        <f t="shared" ref="H3:H9" si="0">(G3-F3)/F3</f>
        <v>#DIV/0!</v>
      </c>
      <c r="I3" s="109"/>
    </row>
    <row r="4" spans="1:9" ht="25">
      <c r="A4" s="124" t="s">
        <v>10</v>
      </c>
      <c r="B4" s="128"/>
      <c r="C4" s="128"/>
      <c r="D4" s="128"/>
      <c r="E4" s="128"/>
      <c r="F4" s="128"/>
      <c r="G4" s="129"/>
      <c r="H4" s="130" t="e">
        <f t="shared" si="0"/>
        <v>#DIV/0!</v>
      </c>
      <c r="I4" s="109"/>
    </row>
    <row r="5" spans="1:9" ht="25">
      <c r="A5" s="124" t="s">
        <v>11</v>
      </c>
      <c r="B5" s="128"/>
      <c r="C5" s="128"/>
      <c r="D5" s="128"/>
      <c r="E5" s="128"/>
      <c r="F5" s="128"/>
      <c r="G5" s="129"/>
      <c r="H5" s="130" t="e">
        <f t="shared" si="0"/>
        <v>#DIV/0!</v>
      </c>
      <c r="I5" s="109"/>
    </row>
    <row r="6" spans="1:9" ht="15.75" customHeight="1">
      <c r="A6" s="124" t="s">
        <v>12</v>
      </c>
      <c r="B6" s="128"/>
      <c r="C6" s="128"/>
      <c r="D6" s="128"/>
      <c r="E6" s="128"/>
      <c r="F6" s="128"/>
      <c r="G6" s="129"/>
      <c r="H6" s="130" t="e">
        <f t="shared" si="0"/>
        <v>#DIV/0!</v>
      </c>
      <c r="I6" s="109"/>
    </row>
    <row r="7" spans="1:9" ht="15.75" customHeight="1">
      <c r="A7" s="124" t="s">
        <v>13</v>
      </c>
      <c r="B7" s="128"/>
      <c r="C7" s="128"/>
      <c r="D7" s="128"/>
      <c r="E7" s="128"/>
      <c r="F7" s="128"/>
      <c r="G7" s="128"/>
      <c r="H7" s="130" t="e">
        <f t="shared" si="0"/>
        <v>#DIV/0!</v>
      </c>
      <c r="I7" s="131"/>
    </row>
    <row r="8" spans="1:9" ht="25">
      <c r="A8" s="124" t="s">
        <v>14</v>
      </c>
      <c r="B8" s="128"/>
      <c r="C8" s="128"/>
      <c r="D8" s="128"/>
      <c r="E8" s="128"/>
      <c r="F8" s="128">
        <v>2550</v>
      </c>
      <c r="G8" s="128">
        <v>2010</v>
      </c>
      <c r="H8" s="130">
        <f t="shared" si="0"/>
        <v>-0.21176470588235294</v>
      </c>
      <c r="I8" s="131" t="s">
        <v>15</v>
      </c>
    </row>
    <row r="9" spans="1:9" ht="15.75" customHeight="1">
      <c r="A9" s="132" t="s">
        <v>16</v>
      </c>
      <c r="B9" s="125"/>
      <c r="C9" s="125"/>
      <c r="D9" s="125"/>
      <c r="E9" s="125"/>
      <c r="F9" s="125">
        <f t="shared" ref="F9:G9" si="1">SUM(F3:F8)</f>
        <v>2550</v>
      </c>
      <c r="G9" s="125">
        <f t="shared" si="1"/>
        <v>2010</v>
      </c>
      <c r="H9" s="127">
        <f t="shared" si="0"/>
        <v>-0.21176470588235294</v>
      </c>
      <c r="I9" s="109"/>
    </row>
    <row r="10" spans="1:9" ht="15.75" customHeight="1">
      <c r="A10" s="120"/>
      <c r="B10" s="120"/>
      <c r="C10" s="120"/>
      <c r="D10" s="120"/>
      <c r="E10" s="120"/>
      <c r="F10" s="120"/>
      <c r="G10" s="109"/>
      <c r="H10" s="109"/>
      <c r="I10" s="109"/>
    </row>
    <row r="11" spans="1:9" ht="15.75" customHeight="1">
      <c r="A11" s="132" t="s">
        <v>17</v>
      </c>
      <c r="B11" s="125"/>
      <c r="C11" s="125"/>
      <c r="D11" s="125"/>
      <c r="E11" s="125"/>
      <c r="F11" s="125">
        <f>F9-G9</f>
        <v>540</v>
      </c>
      <c r="G11" s="109"/>
      <c r="H11" s="109"/>
      <c r="I11" s="109"/>
    </row>
    <row r="12" spans="1:9" ht="15.75" customHeight="1">
      <c r="A12" s="120"/>
      <c r="B12" s="120"/>
      <c r="C12" s="120"/>
      <c r="D12" s="120"/>
      <c r="E12" s="120"/>
      <c r="F12" s="120"/>
      <c r="G12" s="109"/>
      <c r="H12" s="109"/>
      <c r="I12" s="109"/>
    </row>
    <row r="13" spans="1:9" ht="15.75" customHeight="1">
      <c r="A13" s="133" t="s">
        <v>18</v>
      </c>
      <c r="B13" s="134"/>
      <c r="C13" s="134"/>
      <c r="D13" s="134"/>
      <c r="E13" s="134"/>
      <c r="F13" s="134"/>
      <c r="G13" s="109"/>
      <c r="H13" s="109"/>
      <c r="I13" s="109"/>
    </row>
    <row r="14" spans="1:9" ht="15.75" customHeight="1">
      <c r="A14" s="133" t="s">
        <v>19</v>
      </c>
      <c r="B14" s="129"/>
      <c r="C14" s="129"/>
      <c r="D14" s="129"/>
      <c r="E14" s="129"/>
      <c r="F14" s="129"/>
      <c r="G14" s="109"/>
      <c r="H14" s="109"/>
      <c r="I14" s="10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A86E8"/>
    <outlinePr summaryBelow="0" summaryRight="0"/>
  </sheetPr>
  <dimension ref="A1:G16"/>
  <sheetViews>
    <sheetView workbookViewId="0">
      <selection activeCell="F28" sqref="F28"/>
    </sheetView>
  </sheetViews>
  <sheetFormatPr baseColWidth="10" defaultColWidth="14.453125" defaultRowHeight="15.75" customHeight="1"/>
  <cols>
    <col min="1" max="1" width="31.08984375" style="102" customWidth="1"/>
    <col min="2" max="2" width="16" style="102" customWidth="1"/>
    <col min="3" max="4" width="14.453125" style="102"/>
    <col min="5" max="5" width="31.453125" style="102" customWidth="1"/>
    <col min="6" max="6" width="14.453125" style="102"/>
    <col min="7" max="7" width="17.08984375" style="102" customWidth="1"/>
    <col min="8" max="16384" width="14.453125" style="102"/>
  </cols>
  <sheetData>
    <row r="1" spans="1:7" ht="15.75" customHeight="1">
      <c r="A1" s="120"/>
      <c r="B1" s="120"/>
      <c r="C1" s="120"/>
      <c r="D1" s="109"/>
      <c r="E1" s="109"/>
    </row>
    <row r="2" spans="1:7" ht="15.75" customHeight="1">
      <c r="A2" s="121" t="s">
        <v>0</v>
      </c>
      <c r="B2" s="122" t="s">
        <v>5</v>
      </c>
      <c r="C2" s="122" t="s">
        <v>6</v>
      </c>
      <c r="D2" s="123" t="s">
        <v>7</v>
      </c>
      <c r="E2" s="123" t="s">
        <v>8</v>
      </c>
      <c r="G2" s="109" t="s">
        <v>32</v>
      </c>
    </row>
    <row r="3" spans="1:7" ht="15.75" customHeight="1">
      <c r="A3" s="124" t="s">
        <v>33</v>
      </c>
      <c r="B3" s="125" t="s">
        <v>34</v>
      </c>
      <c r="C3" s="126">
        <v>118</v>
      </c>
      <c r="D3" s="127" t="e">
        <f>(C3-B3)/B3</f>
        <v>#VALUE!</v>
      </c>
      <c r="E3" s="109" t="s">
        <v>35</v>
      </c>
      <c r="G3" s="109" t="s">
        <v>36</v>
      </c>
    </row>
    <row r="4" spans="1:7" ht="15.75" customHeight="1">
      <c r="A4" s="124" t="s">
        <v>37</v>
      </c>
      <c r="B4" s="128"/>
      <c r="C4" s="129"/>
      <c r="D4" s="130"/>
      <c r="E4" s="109"/>
    </row>
    <row r="5" spans="1:7" ht="15.75" customHeight="1">
      <c r="A5" s="124" t="s">
        <v>38</v>
      </c>
      <c r="B5" s="128">
        <f>51*4</f>
        <v>204</v>
      </c>
      <c r="C5" s="129">
        <v>148</v>
      </c>
      <c r="D5" s="130">
        <f t="shared" ref="D5:D11" si="0">(C5-B5)/B5</f>
        <v>-0.27450980392156865</v>
      </c>
      <c r="E5" s="109"/>
    </row>
    <row r="6" spans="1:7" ht="15.75" customHeight="1">
      <c r="A6" s="124" t="s">
        <v>39</v>
      </c>
      <c r="B6" s="128">
        <f>41*4</f>
        <v>164</v>
      </c>
      <c r="C6" s="129">
        <v>212</v>
      </c>
      <c r="D6" s="130">
        <f t="shared" si="0"/>
        <v>0.29268292682926828</v>
      </c>
      <c r="E6" s="109"/>
    </row>
    <row r="7" spans="1:7" ht="15.75" customHeight="1">
      <c r="A7" s="124" t="s">
        <v>40</v>
      </c>
      <c r="B7" s="128"/>
      <c r="C7" s="129">
        <v>184</v>
      </c>
      <c r="D7" s="130" t="e">
        <f t="shared" si="0"/>
        <v>#DIV/0!</v>
      </c>
      <c r="E7" s="109"/>
    </row>
    <row r="8" spans="1:7" ht="15.75" customHeight="1">
      <c r="A8" s="124" t="s">
        <v>41</v>
      </c>
      <c r="B8" s="128"/>
      <c r="C8" s="128"/>
      <c r="D8" s="130" t="e">
        <f t="shared" si="0"/>
        <v>#DIV/0!</v>
      </c>
      <c r="E8" s="131"/>
    </row>
    <row r="9" spans="1:7" ht="15.75" customHeight="1">
      <c r="A9" s="124" t="s">
        <v>42</v>
      </c>
      <c r="B9" s="144">
        <v>1576</v>
      </c>
      <c r="C9" s="134">
        <v>1576</v>
      </c>
      <c r="D9" s="130">
        <f t="shared" si="0"/>
        <v>0</v>
      </c>
      <c r="E9" s="131"/>
    </row>
    <row r="10" spans="1:7" ht="15.75" customHeight="1">
      <c r="A10" s="124" t="s">
        <v>43</v>
      </c>
      <c r="B10" s="144">
        <v>800</v>
      </c>
      <c r="C10" s="134">
        <v>800</v>
      </c>
      <c r="D10" s="130">
        <f t="shared" si="0"/>
        <v>0</v>
      </c>
      <c r="E10" s="109"/>
    </row>
    <row r="11" spans="1:7" ht="15.75" customHeight="1">
      <c r="A11" s="132" t="s">
        <v>16</v>
      </c>
      <c r="B11" s="125">
        <f>SUM(B3:B10)</f>
        <v>2744</v>
      </c>
      <c r="C11" s="125">
        <f>SUM(C3:C10)</f>
        <v>3038</v>
      </c>
      <c r="D11" s="127">
        <f t="shared" si="0"/>
        <v>0.10714285714285714</v>
      </c>
      <c r="E11" s="109"/>
    </row>
    <row r="12" spans="1:7" ht="15.75" customHeight="1">
      <c r="A12" s="120"/>
      <c r="B12" s="120"/>
      <c r="C12" s="109"/>
      <c r="D12" s="109"/>
      <c r="E12" s="109"/>
    </row>
    <row r="13" spans="1:7" ht="15.75" customHeight="1">
      <c r="A13" s="132" t="s">
        <v>17</v>
      </c>
      <c r="B13" s="125">
        <f>B11-C11</f>
        <v>-294</v>
      </c>
      <c r="C13" s="109"/>
      <c r="D13" s="109"/>
      <c r="E13" s="109"/>
    </row>
    <row r="14" spans="1:7" ht="15.75" customHeight="1">
      <c r="A14" s="120"/>
      <c r="B14" s="120"/>
      <c r="C14" s="109"/>
      <c r="D14" s="109"/>
      <c r="E14" s="109"/>
    </row>
    <row r="15" spans="1:7" ht="15.75" customHeight="1">
      <c r="A15" s="133" t="s">
        <v>18</v>
      </c>
      <c r="B15" s="134"/>
      <c r="C15" s="109"/>
      <c r="D15" s="109"/>
      <c r="E15" s="109"/>
    </row>
    <row r="16" spans="1:7" ht="15.75" customHeight="1">
      <c r="A16" s="133" t="s">
        <v>19</v>
      </c>
      <c r="B16" s="129"/>
      <c r="C16" s="109"/>
      <c r="D16" s="109"/>
      <c r="E16" s="10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A86E8"/>
    <outlinePr summaryBelow="0" summaryRight="0"/>
  </sheetPr>
  <dimension ref="A1:H45"/>
  <sheetViews>
    <sheetView workbookViewId="0">
      <selection activeCell="B34" sqref="B34"/>
    </sheetView>
  </sheetViews>
  <sheetFormatPr baseColWidth="10" defaultColWidth="14.453125" defaultRowHeight="15.75" customHeight="1"/>
  <cols>
    <col min="1" max="1" width="16.08984375" customWidth="1"/>
    <col min="2" max="2" width="18.08984375" customWidth="1"/>
    <col min="8" max="8" width="73" customWidth="1"/>
  </cols>
  <sheetData>
    <row r="1" spans="1:8" ht="15.75" customHeight="1">
      <c r="A1" s="2"/>
      <c r="B1" s="1"/>
      <c r="C1" s="1"/>
      <c r="D1" s="1"/>
      <c r="E1" s="1"/>
      <c r="F1" s="1"/>
      <c r="G1" s="2"/>
      <c r="H1" s="2"/>
    </row>
    <row r="2" spans="1:8" ht="15.75" customHeight="1">
      <c r="A2" s="32"/>
      <c r="B2" s="3" t="s">
        <v>0</v>
      </c>
      <c r="C2" s="4" t="s">
        <v>1</v>
      </c>
      <c r="D2" s="4" t="s">
        <v>3</v>
      </c>
      <c r="E2" s="5" t="s">
        <v>5</v>
      </c>
      <c r="F2" s="5" t="s">
        <v>6</v>
      </c>
      <c r="G2" s="6" t="s">
        <v>7</v>
      </c>
      <c r="H2" s="6" t="s">
        <v>8</v>
      </c>
    </row>
    <row r="3" spans="1:8" ht="15.75" customHeight="1">
      <c r="A3" s="96" t="s">
        <v>54</v>
      </c>
      <c r="B3" s="7" t="s">
        <v>55</v>
      </c>
      <c r="C3" s="8">
        <f>180*2</f>
        <v>360</v>
      </c>
      <c r="D3" s="8">
        <f>190*2</f>
        <v>380</v>
      </c>
      <c r="E3" s="8">
        <v>700</v>
      </c>
      <c r="F3" s="33">
        <v>280</v>
      </c>
      <c r="G3" s="10">
        <f t="shared" ref="G3:G20" si="0">(F3-E3)/E3</f>
        <v>-0.6</v>
      </c>
      <c r="H3" s="26" t="s">
        <v>57</v>
      </c>
    </row>
    <row r="4" spans="1:8" ht="15.75" customHeight="1">
      <c r="A4" s="97"/>
      <c r="B4" s="7" t="s">
        <v>58</v>
      </c>
      <c r="C4" s="16">
        <f>160+24</f>
        <v>184</v>
      </c>
      <c r="D4" s="16">
        <f>22+150</f>
        <v>172</v>
      </c>
      <c r="E4" s="16">
        <v>70</v>
      </c>
      <c r="F4" s="34">
        <v>156</v>
      </c>
      <c r="G4" s="13">
        <f t="shared" si="0"/>
        <v>1.2285714285714286</v>
      </c>
      <c r="H4" s="26" t="s">
        <v>59</v>
      </c>
    </row>
    <row r="5" spans="1:8" ht="15.75" customHeight="1">
      <c r="A5" s="97"/>
      <c r="B5" s="7" t="s">
        <v>60</v>
      </c>
      <c r="C5" s="16"/>
      <c r="D5" s="16">
        <v>62</v>
      </c>
      <c r="E5" s="16">
        <v>112</v>
      </c>
      <c r="F5" s="34">
        <v>22</v>
      </c>
      <c r="G5" s="13">
        <f t="shared" si="0"/>
        <v>-0.8035714285714286</v>
      </c>
      <c r="H5" s="35" t="s">
        <v>61</v>
      </c>
    </row>
    <row r="6" spans="1:8" ht="15.75" customHeight="1">
      <c r="A6" s="97"/>
      <c r="B6" s="7" t="s">
        <v>62</v>
      </c>
      <c r="C6" s="16"/>
      <c r="D6" s="16">
        <v>12</v>
      </c>
      <c r="E6" s="16">
        <v>4</v>
      </c>
      <c r="F6" s="34">
        <v>0</v>
      </c>
      <c r="G6" s="13">
        <f t="shared" si="0"/>
        <v>-1</v>
      </c>
      <c r="H6" s="35" t="s">
        <v>63</v>
      </c>
    </row>
    <row r="7" spans="1:8" ht="15.75" customHeight="1">
      <c r="A7" s="97"/>
      <c r="B7" s="7" t="s">
        <v>64</v>
      </c>
      <c r="C7" s="16"/>
      <c r="D7" s="16">
        <v>6</v>
      </c>
      <c r="E7" s="16">
        <v>2</v>
      </c>
      <c r="F7" s="34">
        <v>14</v>
      </c>
      <c r="G7" s="13">
        <f t="shared" si="0"/>
        <v>6</v>
      </c>
      <c r="H7" s="17" t="s">
        <v>65</v>
      </c>
    </row>
    <row r="8" spans="1:8" ht="15.75" customHeight="1">
      <c r="A8" s="97"/>
      <c r="B8" s="7" t="s">
        <v>66</v>
      </c>
      <c r="C8" s="16">
        <f>1220+69</f>
        <v>1289</v>
      </c>
      <c r="D8" s="16">
        <f>710+289+145+111+70+50</f>
        <v>1375</v>
      </c>
      <c r="E8" s="16">
        <v>889</v>
      </c>
      <c r="F8" s="34">
        <v>718</v>
      </c>
      <c r="G8" s="13">
        <f t="shared" si="0"/>
        <v>-0.1923509561304837</v>
      </c>
      <c r="H8" s="35" t="s">
        <v>67</v>
      </c>
    </row>
    <row r="9" spans="1:8" ht="15.75" customHeight="1">
      <c r="A9" s="97"/>
      <c r="B9" s="7" t="s">
        <v>68</v>
      </c>
      <c r="C9" s="16">
        <v>717</v>
      </c>
      <c r="D9" s="16">
        <v>675</v>
      </c>
      <c r="E9" s="16">
        <v>403</v>
      </c>
      <c r="F9" s="34">
        <v>490</v>
      </c>
      <c r="G9" s="13">
        <f t="shared" si="0"/>
        <v>0.21588089330024815</v>
      </c>
      <c r="H9" s="35" t="s">
        <v>69</v>
      </c>
    </row>
    <row r="10" spans="1:8" ht="15.75" customHeight="1">
      <c r="A10" s="97"/>
      <c r="B10" s="7" t="s">
        <v>70</v>
      </c>
      <c r="C10" s="16">
        <v>167</v>
      </c>
      <c r="D10" s="16">
        <v>92</v>
      </c>
      <c r="E10" s="16">
        <v>243</v>
      </c>
      <c r="F10" s="36">
        <v>60</v>
      </c>
      <c r="G10" s="13">
        <f t="shared" si="0"/>
        <v>-0.75308641975308643</v>
      </c>
      <c r="H10" s="17" t="s">
        <v>71</v>
      </c>
    </row>
    <row r="11" spans="1:8" ht="15.75" customHeight="1">
      <c r="A11" s="97"/>
      <c r="B11" s="7" t="s">
        <v>72</v>
      </c>
      <c r="C11" s="16">
        <v>46</v>
      </c>
      <c r="D11" s="16">
        <v>46</v>
      </c>
      <c r="E11" s="16">
        <v>70</v>
      </c>
      <c r="F11" s="37">
        <v>100</v>
      </c>
      <c r="G11" s="13">
        <f t="shared" si="0"/>
        <v>0.42857142857142855</v>
      </c>
      <c r="H11" s="17" t="s">
        <v>73</v>
      </c>
    </row>
    <row r="12" spans="1:8" ht="15.75" customHeight="1">
      <c r="A12" s="97"/>
      <c r="B12" s="7" t="s">
        <v>74</v>
      </c>
      <c r="C12" s="28">
        <v>30</v>
      </c>
      <c r="D12" s="28">
        <v>70</v>
      </c>
      <c r="E12" s="28">
        <v>45</v>
      </c>
      <c r="F12" s="34">
        <v>30</v>
      </c>
      <c r="G12" s="13">
        <f t="shared" si="0"/>
        <v>-0.33333333333333331</v>
      </c>
      <c r="H12" s="26" t="s">
        <v>75</v>
      </c>
    </row>
    <row r="13" spans="1:8" ht="15.75" customHeight="1">
      <c r="A13" s="97"/>
      <c r="B13" s="7" t="s">
        <v>76</v>
      </c>
      <c r="C13" s="28">
        <v>345</v>
      </c>
      <c r="D13" s="28">
        <v>363</v>
      </c>
      <c r="E13" s="28">
        <v>467</v>
      </c>
      <c r="F13" s="34">
        <f>105.81+6*7.5</f>
        <v>150.81</v>
      </c>
      <c r="G13" s="13">
        <f t="shared" si="0"/>
        <v>-0.6770663811563169</v>
      </c>
      <c r="H13" s="26" t="s">
        <v>77</v>
      </c>
    </row>
    <row r="14" spans="1:8" ht="15.75" customHeight="1">
      <c r="A14" s="97"/>
      <c r="B14" s="7" t="s">
        <v>78</v>
      </c>
      <c r="C14" s="28">
        <v>676</v>
      </c>
      <c r="D14" s="28">
        <v>676</v>
      </c>
      <c r="E14" s="28">
        <v>676</v>
      </c>
      <c r="F14" s="34">
        <v>676</v>
      </c>
      <c r="G14" s="13">
        <f t="shared" si="0"/>
        <v>0</v>
      </c>
      <c r="H14" s="26" t="s">
        <v>80</v>
      </c>
    </row>
    <row r="15" spans="1:8" ht="15.75" customHeight="1">
      <c r="A15" s="97"/>
      <c r="B15" s="7" t="s">
        <v>81</v>
      </c>
      <c r="C15" s="28">
        <f>61*4</f>
        <v>244</v>
      </c>
      <c r="D15" s="28">
        <v>244</v>
      </c>
      <c r="E15" s="28">
        <v>244</v>
      </c>
      <c r="F15" s="34">
        <v>244</v>
      </c>
      <c r="G15" s="13">
        <f t="shared" si="0"/>
        <v>0</v>
      </c>
      <c r="H15" s="26"/>
    </row>
    <row r="16" spans="1:8" ht="15.75" customHeight="1">
      <c r="A16" s="97"/>
      <c r="B16" s="7" t="s">
        <v>83</v>
      </c>
      <c r="C16" s="28">
        <v>3400</v>
      </c>
      <c r="D16" s="28">
        <v>3400</v>
      </c>
      <c r="E16" s="28">
        <v>3400</v>
      </c>
      <c r="F16" s="34">
        <v>2450</v>
      </c>
      <c r="G16" s="13">
        <f t="shared" si="0"/>
        <v>-0.27941176470588236</v>
      </c>
      <c r="H16" s="26" t="s">
        <v>84</v>
      </c>
    </row>
    <row r="17" spans="1:8" ht="15.75" customHeight="1">
      <c r="A17" s="97"/>
      <c r="B17" s="7" t="s">
        <v>85</v>
      </c>
      <c r="C17" s="28">
        <v>0</v>
      </c>
      <c r="D17" s="28">
        <v>22</v>
      </c>
      <c r="E17" s="28">
        <v>26</v>
      </c>
      <c r="F17" s="34">
        <v>0</v>
      </c>
      <c r="G17" s="13">
        <f t="shared" si="0"/>
        <v>-1</v>
      </c>
      <c r="H17" s="26" t="s">
        <v>86</v>
      </c>
    </row>
    <row r="18" spans="1:8" ht="15.75" customHeight="1">
      <c r="A18" s="97"/>
      <c r="B18" s="7" t="s">
        <v>88</v>
      </c>
      <c r="C18" s="16">
        <v>0</v>
      </c>
      <c r="D18" s="16">
        <v>0</v>
      </c>
      <c r="E18" s="16">
        <v>17</v>
      </c>
      <c r="F18" s="27">
        <v>40</v>
      </c>
      <c r="G18" s="13">
        <f t="shared" si="0"/>
        <v>1.3529411764705883</v>
      </c>
      <c r="H18" s="26" t="s">
        <v>89</v>
      </c>
    </row>
    <row r="19" spans="1:8" ht="15.75" customHeight="1">
      <c r="A19" s="97"/>
      <c r="B19" s="7" t="s">
        <v>90</v>
      </c>
      <c r="C19" s="28">
        <v>0</v>
      </c>
      <c r="D19" s="28">
        <v>0</v>
      </c>
      <c r="E19" s="28">
        <v>162</v>
      </c>
      <c r="F19" s="34">
        <v>0</v>
      </c>
      <c r="G19" s="13">
        <f t="shared" si="0"/>
        <v>-1</v>
      </c>
      <c r="H19" s="26" t="s">
        <v>86</v>
      </c>
    </row>
    <row r="20" spans="1:8" ht="15.75" customHeight="1">
      <c r="A20" s="96" t="s">
        <v>91</v>
      </c>
      <c r="B20" s="7" t="s">
        <v>55</v>
      </c>
      <c r="C20" s="8">
        <f>180*2</f>
        <v>360</v>
      </c>
      <c r="D20" s="8">
        <v>380</v>
      </c>
      <c r="E20" s="8">
        <v>280</v>
      </c>
      <c r="F20" s="33">
        <v>280</v>
      </c>
      <c r="G20" s="10">
        <f t="shared" si="0"/>
        <v>0</v>
      </c>
      <c r="H20" s="26"/>
    </row>
    <row r="21" spans="1:8" ht="15.75" customHeight="1">
      <c r="A21" s="97"/>
      <c r="B21" s="7" t="s">
        <v>58</v>
      </c>
      <c r="C21" s="16">
        <f>160+24</f>
        <v>184</v>
      </c>
      <c r="D21" s="16">
        <f>22+150</f>
        <v>172</v>
      </c>
      <c r="E21" s="16">
        <v>0</v>
      </c>
      <c r="F21" s="34">
        <v>0</v>
      </c>
      <c r="G21" s="10"/>
      <c r="H21" s="35"/>
    </row>
    <row r="22" spans="1:8" ht="15.75" customHeight="1">
      <c r="A22" s="97"/>
      <c r="B22" s="7" t="s">
        <v>60</v>
      </c>
      <c r="C22" s="16"/>
      <c r="D22" s="16">
        <v>40</v>
      </c>
      <c r="E22" s="16">
        <v>78</v>
      </c>
      <c r="F22" s="34">
        <v>22</v>
      </c>
      <c r="G22" s="10">
        <f t="shared" ref="G22:G23" si="1">(F22-E22)/E22</f>
        <v>-0.71794871794871795</v>
      </c>
      <c r="H22" s="35" t="s">
        <v>92</v>
      </c>
    </row>
    <row r="23" spans="1:8" ht="15.75" customHeight="1">
      <c r="A23" s="97"/>
      <c r="B23" s="7" t="s">
        <v>62</v>
      </c>
      <c r="C23" s="16"/>
      <c r="D23" s="16">
        <v>10</v>
      </c>
      <c r="E23" s="16">
        <v>8</v>
      </c>
      <c r="F23" s="34">
        <v>0</v>
      </c>
      <c r="G23" s="10">
        <f t="shared" si="1"/>
        <v>-1</v>
      </c>
      <c r="H23" s="35"/>
    </row>
    <row r="24" spans="1:8" ht="15.75" customHeight="1">
      <c r="A24" s="97"/>
      <c r="B24" s="7" t="s">
        <v>64</v>
      </c>
      <c r="C24" s="16"/>
      <c r="D24" s="16">
        <v>10</v>
      </c>
      <c r="E24" s="16">
        <v>0</v>
      </c>
      <c r="F24" s="34">
        <v>14</v>
      </c>
      <c r="G24" s="10"/>
      <c r="H24" s="35"/>
    </row>
    <row r="25" spans="1:8" ht="15.75" customHeight="1">
      <c r="A25" s="97"/>
      <c r="B25" s="7" t="s">
        <v>66</v>
      </c>
      <c r="C25" s="31">
        <f>1140+167+46+30</f>
        <v>1383</v>
      </c>
      <c r="D25" s="16">
        <f>783+214+330+50+30</f>
        <v>1407</v>
      </c>
      <c r="E25" s="16">
        <v>823</v>
      </c>
      <c r="F25" s="27">
        <v>717</v>
      </c>
      <c r="G25" s="10">
        <f t="shared" ref="G25:G40" si="2">(F25-E25)/E25</f>
        <v>-0.12879708383961117</v>
      </c>
      <c r="H25" s="35" t="s">
        <v>67</v>
      </c>
    </row>
    <row r="26" spans="1:8" ht="15.75" customHeight="1">
      <c r="A26" s="97"/>
      <c r="B26" s="7" t="s">
        <v>68</v>
      </c>
      <c r="C26" s="21">
        <v>752</v>
      </c>
      <c r="D26" s="16">
        <v>717</v>
      </c>
      <c r="E26" s="16">
        <v>565</v>
      </c>
      <c r="F26" s="27">
        <v>572</v>
      </c>
      <c r="G26" s="13">
        <f t="shared" si="2"/>
        <v>1.2389380530973451E-2</v>
      </c>
      <c r="H26" s="35" t="s">
        <v>94</v>
      </c>
    </row>
    <row r="27" spans="1:8" ht="15.75" customHeight="1">
      <c r="A27" s="97"/>
      <c r="B27" s="7" t="s">
        <v>70</v>
      </c>
      <c r="C27" s="41">
        <v>167</v>
      </c>
      <c r="D27" s="16">
        <v>122</v>
      </c>
      <c r="E27" s="16">
        <v>328</v>
      </c>
      <c r="F27" s="36">
        <v>60</v>
      </c>
      <c r="G27" s="13">
        <f t="shared" si="2"/>
        <v>-0.81707317073170727</v>
      </c>
      <c r="H27" s="17" t="s">
        <v>71</v>
      </c>
    </row>
    <row r="28" spans="1:8" ht="15.75" customHeight="1">
      <c r="A28" s="97"/>
      <c r="B28" s="7" t="s">
        <v>72</v>
      </c>
      <c r="C28" s="16">
        <v>46</v>
      </c>
      <c r="D28" s="16">
        <v>51</v>
      </c>
      <c r="E28" s="16">
        <v>133</v>
      </c>
      <c r="F28" s="37">
        <v>73</v>
      </c>
      <c r="G28" s="13">
        <f t="shared" si="2"/>
        <v>-0.45112781954887216</v>
      </c>
      <c r="H28" s="17" t="s">
        <v>73</v>
      </c>
    </row>
    <row r="29" spans="1:8" ht="15.75" customHeight="1">
      <c r="A29" s="97"/>
      <c r="B29" s="7" t="s">
        <v>74</v>
      </c>
      <c r="C29" s="28">
        <v>30</v>
      </c>
      <c r="D29" s="28">
        <v>70</v>
      </c>
      <c r="E29" s="28">
        <v>45</v>
      </c>
      <c r="F29" s="34">
        <v>30</v>
      </c>
      <c r="G29" s="13">
        <f t="shared" si="2"/>
        <v>-0.33333333333333331</v>
      </c>
      <c r="H29" s="17" t="s">
        <v>75</v>
      </c>
    </row>
    <row r="30" spans="1:8" ht="15.75" customHeight="1">
      <c r="A30" s="97"/>
      <c r="B30" s="7" t="s">
        <v>76</v>
      </c>
      <c r="C30" s="28">
        <v>345</v>
      </c>
      <c r="D30" s="28">
        <v>363</v>
      </c>
      <c r="E30" s="28">
        <v>375</v>
      </c>
      <c r="F30" s="27">
        <f>63+25*4</f>
        <v>163</v>
      </c>
      <c r="G30" s="13">
        <f t="shared" si="2"/>
        <v>-0.56533333333333335</v>
      </c>
      <c r="H30" s="26" t="s">
        <v>96</v>
      </c>
    </row>
    <row r="31" spans="1:8" ht="15.75" customHeight="1">
      <c r="A31" s="97"/>
      <c r="B31" s="7" t="s">
        <v>78</v>
      </c>
      <c r="C31" s="28">
        <v>676</v>
      </c>
      <c r="D31" s="28">
        <v>676</v>
      </c>
      <c r="E31" s="28">
        <v>676</v>
      </c>
      <c r="F31" s="34">
        <v>580</v>
      </c>
      <c r="G31" s="13">
        <f t="shared" si="2"/>
        <v>-0.14201183431952663</v>
      </c>
      <c r="H31" s="26" t="s">
        <v>97</v>
      </c>
    </row>
    <row r="32" spans="1:8" ht="15.75" customHeight="1">
      <c r="A32" s="97"/>
      <c r="B32" s="7" t="s">
        <v>83</v>
      </c>
      <c r="C32" s="28">
        <v>3400</v>
      </c>
      <c r="D32" s="28">
        <v>3400</v>
      </c>
      <c r="E32" s="28">
        <v>3400</v>
      </c>
      <c r="F32" s="34">
        <v>2450</v>
      </c>
      <c r="G32" s="13">
        <f t="shared" si="2"/>
        <v>-0.27941176470588236</v>
      </c>
      <c r="H32" s="26" t="s">
        <v>84</v>
      </c>
    </row>
    <row r="33" spans="1:8" ht="15.75" customHeight="1">
      <c r="A33" s="97"/>
      <c r="B33" s="7" t="s">
        <v>81</v>
      </c>
      <c r="C33" s="28">
        <v>244</v>
      </c>
      <c r="D33" s="28">
        <v>244</v>
      </c>
      <c r="E33" s="28">
        <v>244</v>
      </c>
      <c r="F33" s="34">
        <v>244</v>
      </c>
      <c r="G33" s="13">
        <f t="shared" si="2"/>
        <v>0</v>
      </c>
      <c r="H33" s="26"/>
    </row>
    <row r="34" spans="1:8" ht="24" customHeight="1">
      <c r="A34" s="97"/>
      <c r="B34" s="7" t="s">
        <v>99</v>
      </c>
      <c r="C34" s="28">
        <v>0</v>
      </c>
      <c r="D34" s="28">
        <v>0</v>
      </c>
      <c r="E34" s="28">
        <v>48</v>
      </c>
      <c r="F34" s="27">
        <v>36</v>
      </c>
      <c r="G34" s="13">
        <f t="shared" si="2"/>
        <v>-0.25</v>
      </c>
      <c r="H34" s="26"/>
    </row>
    <row r="35" spans="1:8" ht="15.75" customHeight="1">
      <c r="A35" s="97"/>
      <c r="B35" s="7" t="s">
        <v>100</v>
      </c>
      <c r="C35" s="28">
        <v>526</v>
      </c>
      <c r="D35" s="28">
        <v>526</v>
      </c>
      <c r="E35" s="28">
        <v>544</v>
      </c>
      <c r="F35" s="27">
        <v>526</v>
      </c>
      <c r="G35" s="13">
        <f t="shared" si="2"/>
        <v>-3.3088235294117647E-2</v>
      </c>
      <c r="H35" s="26"/>
    </row>
    <row r="36" spans="1:8" ht="15.75" customHeight="1">
      <c r="A36" s="97"/>
      <c r="B36" s="7" t="s">
        <v>85</v>
      </c>
      <c r="C36" s="28">
        <v>0</v>
      </c>
      <c r="D36" s="28">
        <v>0</v>
      </c>
      <c r="E36" s="28">
        <v>26</v>
      </c>
      <c r="F36" s="34">
        <v>0</v>
      </c>
      <c r="G36" s="13">
        <f t="shared" si="2"/>
        <v>-1</v>
      </c>
      <c r="H36" s="26" t="s">
        <v>86</v>
      </c>
    </row>
    <row r="37" spans="1:8" ht="15.75" customHeight="1">
      <c r="A37" s="97"/>
      <c r="B37" s="7" t="s">
        <v>102</v>
      </c>
      <c r="C37" s="16">
        <v>405</v>
      </c>
      <c r="D37" s="16">
        <v>405</v>
      </c>
      <c r="E37" s="16">
        <v>606</v>
      </c>
      <c r="F37" s="34">
        <v>405</v>
      </c>
      <c r="G37" s="13">
        <f t="shared" si="2"/>
        <v>-0.3316831683168317</v>
      </c>
      <c r="H37" s="26" t="s">
        <v>103</v>
      </c>
    </row>
    <row r="38" spans="1:8" ht="15.75" customHeight="1">
      <c r="A38" s="97"/>
      <c r="B38" s="7" t="s">
        <v>88</v>
      </c>
      <c r="C38" s="16">
        <v>0</v>
      </c>
      <c r="D38" s="16">
        <v>0</v>
      </c>
      <c r="E38" s="16">
        <v>38</v>
      </c>
      <c r="F38" s="27">
        <v>56</v>
      </c>
      <c r="G38" s="13">
        <f t="shared" si="2"/>
        <v>0.47368421052631576</v>
      </c>
      <c r="H38" s="26"/>
    </row>
    <row r="39" spans="1:8" ht="15.75" customHeight="1">
      <c r="A39" s="97"/>
      <c r="B39" s="7" t="s">
        <v>90</v>
      </c>
      <c r="C39" s="28">
        <v>0</v>
      </c>
      <c r="D39" s="28">
        <v>0</v>
      </c>
      <c r="E39" s="28">
        <v>130</v>
      </c>
      <c r="F39" s="34">
        <v>0</v>
      </c>
      <c r="G39" s="13">
        <f t="shared" si="2"/>
        <v>-1</v>
      </c>
      <c r="H39" s="26" t="s">
        <v>86</v>
      </c>
    </row>
    <row r="40" spans="1:8" ht="13">
      <c r="A40" s="45"/>
      <c r="B40" s="18" t="s">
        <v>16</v>
      </c>
      <c r="C40" s="9">
        <f t="shared" ref="C40:F40" si="3">SUM(C3:C39)</f>
        <v>15976</v>
      </c>
      <c r="D40" s="9">
        <f t="shared" si="3"/>
        <v>16188</v>
      </c>
      <c r="E40" s="9">
        <f t="shared" si="3"/>
        <v>15877</v>
      </c>
      <c r="F40" s="9">
        <f t="shared" si="3"/>
        <v>11658.81</v>
      </c>
      <c r="G40" s="10">
        <f t="shared" si="2"/>
        <v>-0.26567928449959066</v>
      </c>
      <c r="H40" s="2"/>
    </row>
    <row r="41" spans="1:8" ht="12.5">
      <c r="A41" s="2"/>
      <c r="B41" s="2"/>
      <c r="C41" s="2"/>
      <c r="D41" s="2"/>
      <c r="E41" s="2"/>
      <c r="F41" s="2"/>
      <c r="G41" s="2"/>
      <c r="H41" s="2"/>
    </row>
    <row r="42" spans="1:8" ht="13">
      <c r="A42" s="45"/>
      <c r="B42" s="47" t="s">
        <v>106</v>
      </c>
      <c r="C42" s="48"/>
      <c r="D42" s="49">
        <f t="shared" ref="D42:F42" si="4">(C40-D40)*2</f>
        <v>-424</v>
      </c>
      <c r="E42" s="49">
        <f t="shared" si="4"/>
        <v>622</v>
      </c>
      <c r="F42" s="49">
        <f t="shared" si="4"/>
        <v>8436.380000000001</v>
      </c>
      <c r="G42" s="2"/>
      <c r="H42" s="2"/>
    </row>
    <row r="43" spans="1:8" ht="12.5">
      <c r="A43" s="2"/>
      <c r="B43" s="2"/>
      <c r="C43" s="2"/>
      <c r="D43" s="2"/>
      <c r="E43" s="2"/>
      <c r="F43" s="2"/>
      <c r="G43" s="2"/>
      <c r="H43" s="2"/>
    </row>
    <row r="44" spans="1:8" ht="12.5">
      <c r="A44" s="50"/>
      <c r="B44" s="51" t="s">
        <v>18</v>
      </c>
      <c r="C44" s="53"/>
      <c r="D44" s="2"/>
      <c r="E44" s="2"/>
      <c r="F44" s="2"/>
    </row>
    <row r="45" spans="1:8" ht="12.5">
      <c r="A45" s="50"/>
      <c r="B45" s="51" t="s">
        <v>19</v>
      </c>
      <c r="C45" s="56"/>
      <c r="D45" s="2"/>
      <c r="E45" s="2"/>
      <c r="F45" s="2"/>
    </row>
  </sheetData>
  <mergeCells count="2">
    <mergeCell ref="A3:A19"/>
    <mergeCell ref="A20:A3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A86E8"/>
    <outlinePr summaryBelow="0" summaryRight="0"/>
  </sheetPr>
  <dimension ref="A1:E12"/>
  <sheetViews>
    <sheetView workbookViewId="0"/>
  </sheetViews>
  <sheetFormatPr baseColWidth="10" defaultColWidth="14.453125" defaultRowHeight="15.75" customHeight="1"/>
  <sheetData>
    <row r="1" spans="1:5" ht="15.75" customHeight="1">
      <c r="A1" s="1"/>
      <c r="B1" s="1"/>
      <c r="C1" s="1"/>
      <c r="D1" s="2"/>
      <c r="E1" s="2"/>
    </row>
    <row r="2" spans="1:5" ht="15.75" customHeight="1">
      <c r="A2" s="3" t="s">
        <v>0</v>
      </c>
      <c r="B2" s="5" t="s">
        <v>5</v>
      </c>
      <c r="C2" s="5" t="s">
        <v>6</v>
      </c>
      <c r="D2" s="6" t="s">
        <v>7</v>
      </c>
      <c r="E2" s="6" t="s">
        <v>8</v>
      </c>
    </row>
    <row r="3" spans="1:5" ht="15.75" customHeight="1">
      <c r="A3" s="7" t="s">
        <v>79</v>
      </c>
      <c r="B3" s="8">
        <v>0</v>
      </c>
      <c r="C3" s="25">
        <v>167</v>
      </c>
      <c r="D3" s="10">
        <f t="shared" ref="D3:D7" si="0">(C3-B3)/C3</f>
        <v>1</v>
      </c>
      <c r="E3" s="2"/>
    </row>
    <row r="4" spans="1:5" ht="15.75" customHeight="1">
      <c r="A4" s="7" t="s">
        <v>87</v>
      </c>
      <c r="B4" s="8">
        <v>0</v>
      </c>
      <c r="C4" s="27">
        <v>397</v>
      </c>
      <c r="D4" s="10">
        <f t="shared" si="0"/>
        <v>1</v>
      </c>
      <c r="E4" s="2"/>
    </row>
    <row r="5" spans="1:5" ht="15.75" customHeight="1">
      <c r="A5" s="29"/>
      <c r="B5" s="11"/>
      <c r="C5" s="12"/>
      <c r="D5" s="10" t="e">
        <f t="shared" si="0"/>
        <v>#DIV/0!</v>
      </c>
      <c r="E5" s="14"/>
    </row>
    <row r="6" spans="1:5" ht="15.75" customHeight="1">
      <c r="A6" s="29"/>
      <c r="B6" s="11"/>
      <c r="C6" s="12"/>
      <c r="D6" s="10" t="e">
        <f t="shared" si="0"/>
        <v>#DIV/0!</v>
      </c>
      <c r="E6" s="14"/>
    </row>
    <row r="7" spans="1:5" ht="15.75" customHeight="1">
      <c r="A7" s="18" t="s">
        <v>16</v>
      </c>
      <c r="B7" s="9"/>
      <c r="C7" s="9">
        <f>SUM(C3:C6)</f>
        <v>564</v>
      </c>
      <c r="D7" s="10">
        <f t="shared" si="0"/>
        <v>1</v>
      </c>
      <c r="E7" s="2"/>
    </row>
    <row r="8" spans="1:5" ht="15.75" customHeight="1">
      <c r="A8" s="1"/>
      <c r="B8" s="1"/>
      <c r="C8" s="2"/>
      <c r="D8" s="2"/>
      <c r="E8" s="2"/>
    </row>
    <row r="9" spans="1:5" ht="15.75" customHeight="1">
      <c r="A9" s="18" t="s">
        <v>17</v>
      </c>
      <c r="B9" s="9">
        <f>B7-C7</f>
        <v>-564</v>
      </c>
      <c r="C9" s="2"/>
      <c r="D9" s="26"/>
      <c r="E9" s="2"/>
    </row>
    <row r="10" spans="1:5" ht="15.75" customHeight="1">
      <c r="A10" s="1"/>
      <c r="B10" s="1"/>
      <c r="C10" s="2"/>
      <c r="D10" s="2"/>
      <c r="E10" s="2"/>
    </row>
    <row r="11" spans="1:5" ht="15.75" customHeight="1">
      <c r="A11" s="19" t="s">
        <v>18</v>
      </c>
      <c r="B11" s="20"/>
      <c r="C11" s="2"/>
      <c r="D11" s="2"/>
      <c r="E11" s="2"/>
    </row>
    <row r="12" spans="1:5" ht="15.75" customHeight="1">
      <c r="A12" s="19" t="s">
        <v>19</v>
      </c>
      <c r="B12" s="12"/>
      <c r="C12" s="2"/>
      <c r="D12" s="2"/>
      <c r="E12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A86E8"/>
    <outlinePr summaryBelow="0" summaryRight="0"/>
  </sheetPr>
  <dimension ref="A1:K19"/>
  <sheetViews>
    <sheetView workbookViewId="0"/>
  </sheetViews>
  <sheetFormatPr baseColWidth="10" defaultColWidth="14.453125" defaultRowHeight="15.75" customHeight="1"/>
  <sheetData>
    <row r="1" spans="1:11" ht="15.75" customHeight="1">
      <c r="A1" s="1"/>
      <c r="B1" s="1"/>
      <c r="C1" s="1"/>
      <c r="D1" s="2"/>
      <c r="E1" s="2"/>
    </row>
    <row r="2" spans="1:11" ht="15.75" customHeight="1">
      <c r="A2" s="3" t="s">
        <v>0</v>
      </c>
      <c r="B2" s="5" t="s">
        <v>5</v>
      </c>
      <c r="C2" s="5" t="s">
        <v>6</v>
      </c>
      <c r="D2" s="6" t="s">
        <v>7</v>
      </c>
      <c r="E2" s="6" t="s">
        <v>8</v>
      </c>
    </row>
    <row r="3" spans="1:11">
      <c r="A3" s="7" t="s">
        <v>82</v>
      </c>
      <c r="B3" s="38">
        <f>17*16</f>
        <v>272</v>
      </c>
      <c r="C3" s="20">
        <f>13*16</f>
        <v>208</v>
      </c>
      <c r="D3" s="39">
        <f t="shared" ref="D3:D14" si="0">(C3-B3)/B3</f>
        <v>-0.23529411764705882</v>
      </c>
      <c r="E3" s="40"/>
    </row>
    <row r="4" spans="1:11">
      <c r="A4" s="7" t="s">
        <v>93</v>
      </c>
      <c r="B4" s="38">
        <f>12*8+4*10</f>
        <v>136</v>
      </c>
      <c r="C4" s="20">
        <f>16*10</f>
        <v>160</v>
      </c>
      <c r="D4" s="39">
        <f t="shared" si="0"/>
        <v>0.17647058823529413</v>
      </c>
      <c r="E4" s="40"/>
    </row>
    <row r="5" spans="1:11">
      <c r="A5" s="7" t="s">
        <v>95</v>
      </c>
      <c r="B5" s="42">
        <f>2*89</f>
        <v>178</v>
      </c>
      <c r="C5" s="20">
        <f>2*30</f>
        <v>60</v>
      </c>
      <c r="D5" s="43">
        <f t="shared" si="0"/>
        <v>-0.6629213483146067</v>
      </c>
      <c r="E5" s="40"/>
    </row>
    <row r="6" spans="1:11" ht="15.75" customHeight="1">
      <c r="A6" s="7" t="s">
        <v>98</v>
      </c>
      <c r="B6" s="16">
        <f>2*81</f>
        <v>162</v>
      </c>
      <c r="C6" s="20">
        <f>2*32</f>
        <v>64</v>
      </c>
      <c r="D6" s="43">
        <f t="shared" si="0"/>
        <v>-0.60493827160493829</v>
      </c>
      <c r="E6" s="44"/>
      <c r="G6" s="24" t="s">
        <v>30</v>
      </c>
    </row>
    <row r="7" spans="1:11" ht="15.75" customHeight="1">
      <c r="A7" s="7" t="s">
        <v>101</v>
      </c>
      <c r="B7" s="16">
        <f>2*205</f>
        <v>410</v>
      </c>
      <c r="C7" s="20">
        <f>2*57</f>
        <v>114</v>
      </c>
      <c r="D7" s="43">
        <f t="shared" si="0"/>
        <v>-0.7219512195121951</v>
      </c>
      <c r="E7" s="44"/>
    </row>
    <row r="8" spans="1:11" ht="15.75" customHeight="1">
      <c r="A8" s="7" t="s">
        <v>104</v>
      </c>
      <c r="B8" s="16">
        <f>2*144</f>
        <v>288</v>
      </c>
      <c r="C8" s="12">
        <f>2*74</f>
        <v>148</v>
      </c>
      <c r="D8" s="43">
        <f t="shared" si="0"/>
        <v>-0.4861111111111111</v>
      </c>
      <c r="E8" s="41"/>
    </row>
    <row r="9" spans="1:11" ht="15.75" customHeight="1">
      <c r="A9" s="7" t="s">
        <v>105</v>
      </c>
      <c r="B9" s="11">
        <f>32*16+38*12+36*4</f>
        <v>1112</v>
      </c>
      <c r="C9" s="12">
        <f>22*12+10*21</f>
        <v>474</v>
      </c>
      <c r="D9" s="43">
        <f t="shared" si="0"/>
        <v>-0.57374100719424459</v>
      </c>
      <c r="E9" s="46"/>
    </row>
    <row r="10" spans="1:11" ht="15.75" customHeight="1">
      <c r="A10" s="7" t="s">
        <v>107</v>
      </c>
      <c r="B10" s="30">
        <f>3*32+24*4</f>
        <v>192</v>
      </c>
      <c r="C10" s="20">
        <f>40*1+3*8</f>
        <v>64</v>
      </c>
      <c r="D10" s="43">
        <f t="shared" si="0"/>
        <v>-0.66666666666666663</v>
      </c>
      <c r="E10" s="40"/>
    </row>
    <row r="11" spans="1:11" ht="15.75" customHeight="1">
      <c r="A11" s="7" t="s">
        <v>108</v>
      </c>
      <c r="B11" s="30">
        <f>24*8</f>
        <v>192</v>
      </c>
      <c r="C11" s="20">
        <f>24*4</f>
        <v>96</v>
      </c>
      <c r="D11" s="43">
        <f t="shared" si="0"/>
        <v>-0.5</v>
      </c>
      <c r="E11" s="40"/>
    </row>
    <row r="12" spans="1:11">
      <c r="A12" s="7" t="s">
        <v>109</v>
      </c>
      <c r="B12" s="38">
        <f>12*29+4*17</f>
        <v>416</v>
      </c>
      <c r="C12" s="20">
        <f>16*17</f>
        <v>272</v>
      </c>
      <c r="D12" s="43">
        <f t="shared" si="0"/>
        <v>-0.34615384615384615</v>
      </c>
      <c r="E12" s="40"/>
    </row>
    <row r="13" spans="1:11">
      <c r="A13" s="7" t="s">
        <v>110</v>
      </c>
      <c r="B13" s="38">
        <f>2*478+2*50</f>
        <v>1056</v>
      </c>
      <c r="C13" s="54">
        <f>2*331*(0.008*0.008-0.006*0.006)/(0.0075*0.0075-0.006*0.006)</f>
        <v>915.35802469135797</v>
      </c>
      <c r="D13" s="43">
        <f t="shared" si="0"/>
        <v>-0.13318368873924435</v>
      </c>
      <c r="E13" s="57" t="s">
        <v>114</v>
      </c>
      <c r="F13" s="24" t="s">
        <v>120</v>
      </c>
      <c r="I13">
        <f>284+230+360+320+350+140+385+238+250+290+315</f>
        <v>3162</v>
      </c>
      <c r="J13">
        <f>I13*0.001*3.14*(0.008*0.008-0.006*0.006)</f>
        <v>2.7800303999999998E-4</v>
      </c>
      <c r="K13">
        <f>1570*J13</f>
        <v>0.43646477279999996</v>
      </c>
    </row>
    <row r="14" spans="1:11" ht="15.75" customHeight="1">
      <c r="A14" s="18" t="s">
        <v>16</v>
      </c>
      <c r="B14" s="9">
        <f t="shared" ref="B14:C14" si="1">SUM(B3:B13)</f>
        <v>4414</v>
      </c>
      <c r="C14" s="58">
        <f t="shared" si="1"/>
        <v>2575.358024691358</v>
      </c>
      <c r="D14" s="39">
        <f t="shared" si="0"/>
        <v>-0.41654779685288673</v>
      </c>
      <c r="E14" s="40"/>
      <c r="J14" s="24"/>
    </row>
    <row r="15" spans="1:11" ht="15.75" customHeight="1">
      <c r="A15" s="1"/>
      <c r="B15" s="1"/>
      <c r="C15" s="26"/>
      <c r="D15" s="2"/>
      <c r="E15" s="2"/>
    </row>
    <row r="16" spans="1:11" ht="15.75" customHeight="1">
      <c r="A16" s="18" t="s">
        <v>17</v>
      </c>
      <c r="B16" s="58">
        <f>B14-C14</f>
        <v>1838.641975308642</v>
      </c>
      <c r="C16" s="26"/>
      <c r="D16" s="2"/>
      <c r="E16" s="2"/>
    </row>
    <row r="17" spans="1:5" ht="15.75" customHeight="1">
      <c r="A17" s="1"/>
      <c r="B17" s="1"/>
      <c r="C17" s="2"/>
      <c r="D17" s="2"/>
      <c r="E17" s="2"/>
    </row>
    <row r="18" spans="1:5" ht="15.75" customHeight="1">
      <c r="A18" s="19" t="s">
        <v>18</v>
      </c>
      <c r="B18" s="20"/>
      <c r="C18" s="2"/>
      <c r="D18" s="2"/>
      <c r="E18" s="2"/>
    </row>
    <row r="19" spans="1:5" ht="15.75" customHeight="1">
      <c r="A19" s="19" t="s">
        <v>19</v>
      </c>
      <c r="B19" s="12"/>
      <c r="C19" s="2"/>
      <c r="D19" s="2"/>
      <c r="E1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A86E8"/>
    <outlinePr summaryBelow="0" summaryRight="0"/>
  </sheetPr>
  <dimension ref="A1:E16"/>
  <sheetViews>
    <sheetView workbookViewId="0"/>
  </sheetViews>
  <sheetFormatPr baseColWidth="10" defaultColWidth="14.453125" defaultRowHeight="15.75" customHeight="1"/>
  <cols>
    <col min="1" max="1" width="19.54296875" customWidth="1"/>
  </cols>
  <sheetData>
    <row r="1" spans="1:5" ht="15.75" customHeight="1">
      <c r="A1" s="1"/>
      <c r="B1" s="1"/>
      <c r="C1" s="1"/>
      <c r="D1" s="2"/>
      <c r="E1" s="2"/>
    </row>
    <row r="2" spans="1:5" ht="15.75" customHeight="1">
      <c r="A2" s="3" t="s">
        <v>0</v>
      </c>
      <c r="B2" s="5" t="s">
        <v>5</v>
      </c>
      <c r="C2" s="5" t="s">
        <v>6</v>
      </c>
      <c r="D2" s="6" t="s">
        <v>7</v>
      </c>
      <c r="E2" s="6" t="s">
        <v>8</v>
      </c>
    </row>
    <row r="3" spans="1:5">
      <c r="A3" s="52" t="s">
        <v>111</v>
      </c>
      <c r="B3" s="38">
        <v>1060</v>
      </c>
      <c r="C3" s="12">
        <v>1010</v>
      </c>
      <c r="D3" s="10">
        <f t="shared" ref="D3:D11" si="0">(C3-B3)/B3</f>
        <v>-4.716981132075472E-2</v>
      </c>
      <c r="E3" s="2"/>
    </row>
    <row r="4" spans="1:5">
      <c r="A4" s="52" t="s">
        <v>112</v>
      </c>
      <c r="B4" s="42">
        <v>100</v>
      </c>
      <c r="C4" s="38">
        <v>100</v>
      </c>
      <c r="D4" s="13">
        <f t="shared" si="0"/>
        <v>0</v>
      </c>
      <c r="E4" s="2"/>
    </row>
    <row r="5" spans="1:5">
      <c r="A5" s="52" t="s">
        <v>113</v>
      </c>
      <c r="B5" s="42">
        <v>440</v>
      </c>
      <c r="C5" s="55">
        <v>330</v>
      </c>
      <c r="D5" s="13">
        <f t="shared" si="0"/>
        <v>-0.25</v>
      </c>
      <c r="E5" s="14"/>
    </row>
    <row r="6" spans="1:5">
      <c r="A6" s="52" t="s">
        <v>115</v>
      </c>
      <c r="B6" s="42">
        <v>360</v>
      </c>
      <c r="C6" s="12">
        <v>360</v>
      </c>
      <c r="D6" s="13">
        <f t="shared" si="0"/>
        <v>0</v>
      </c>
      <c r="E6" s="14"/>
    </row>
    <row r="7" spans="1:5">
      <c r="A7" s="52" t="s">
        <v>116</v>
      </c>
      <c r="B7" s="42">
        <v>250</v>
      </c>
      <c r="C7" s="38">
        <v>230</v>
      </c>
      <c r="D7" s="13">
        <f t="shared" si="0"/>
        <v>-0.08</v>
      </c>
      <c r="E7" s="15"/>
    </row>
    <row r="8" spans="1:5">
      <c r="A8" s="52" t="s">
        <v>117</v>
      </c>
      <c r="B8" s="42">
        <v>800</v>
      </c>
      <c r="C8" s="38">
        <v>800</v>
      </c>
      <c r="D8" s="13">
        <f t="shared" si="0"/>
        <v>0</v>
      </c>
      <c r="E8" s="15"/>
    </row>
    <row r="9" spans="1:5">
      <c r="A9" s="52" t="s">
        <v>118</v>
      </c>
      <c r="B9" s="42">
        <v>270</v>
      </c>
      <c r="C9" s="55">
        <v>120</v>
      </c>
      <c r="D9" s="13">
        <f t="shared" si="0"/>
        <v>-0.55555555555555558</v>
      </c>
      <c r="E9" s="2"/>
    </row>
    <row r="10" spans="1:5">
      <c r="A10" s="52" t="s">
        <v>119</v>
      </c>
      <c r="B10" s="38">
        <v>220</v>
      </c>
      <c r="C10" s="12">
        <v>60</v>
      </c>
      <c r="D10" s="13">
        <f t="shared" si="0"/>
        <v>-0.72727272727272729</v>
      </c>
      <c r="E10" s="2"/>
    </row>
    <row r="11" spans="1:5" ht="15.75" customHeight="1">
      <c r="A11" s="18" t="s">
        <v>16</v>
      </c>
      <c r="B11" s="9">
        <f t="shared" ref="B11:C11" si="1">SUM(B3:B10)</f>
        <v>3500</v>
      </c>
      <c r="C11" s="9">
        <f t="shared" si="1"/>
        <v>3010</v>
      </c>
      <c r="D11" s="10">
        <f t="shared" si="0"/>
        <v>-0.14000000000000001</v>
      </c>
      <c r="E11" s="2"/>
    </row>
    <row r="12" spans="1:5" ht="15.75" customHeight="1">
      <c r="A12" s="1"/>
      <c r="B12" s="1"/>
      <c r="C12" s="2"/>
      <c r="D12" s="2"/>
      <c r="E12" s="2"/>
    </row>
    <row r="13" spans="1:5" ht="15.75" customHeight="1">
      <c r="A13" s="18" t="s">
        <v>17</v>
      </c>
      <c r="B13" s="9">
        <f>B11-C11</f>
        <v>490</v>
      </c>
      <c r="C13" s="2"/>
      <c r="D13" s="2"/>
      <c r="E13" s="2"/>
    </row>
    <row r="14" spans="1:5" ht="15.75" customHeight="1">
      <c r="A14" s="1"/>
      <c r="B14" s="1"/>
      <c r="C14" s="2"/>
      <c r="D14" s="2"/>
      <c r="E14" s="2"/>
    </row>
    <row r="15" spans="1:5" ht="15.75" customHeight="1">
      <c r="A15" s="19" t="s">
        <v>18</v>
      </c>
      <c r="B15" s="20"/>
      <c r="C15" s="2"/>
      <c r="D15" s="2"/>
      <c r="E15" s="2"/>
    </row>
    <row r="16" spans="1:5" ht="15.75" customHeight="1">
      <c r="A16" s="19" t="s">
        <v>19</v>
      </c>
      <c r="B16" s="12"/>
      <c r="C16" s="2"/>
      <c r="D16" s="2"/>
      <c r="E1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  <outlinePr summaryBelow="0" summaryRight="0"/>
  </sheetPr>
  <dimension ref="A1:E13"/>
  <sheetViews>
    <sheetView workbookViewId="0">
      <selection activeCell="B21" sqref="B21"/>
    </sheetView>
  </sheetViews>
  <sheetFormatPr baseColWidth="10" defaultColWidth="14.453125" defaultRowHeight="15.75" customHeight="1"/>
  <cols>
    <col min="1" max="1" width="43.7265625" style="102" customWidth="1"/>
    <col min="2" max="2" width="12.81640625" style="102" customWidth="1"/>
    <col min="3" max="16384" width="14.453125" style="102"/>
  </cols>
  <sheetData>
    <row r="1" spans="1:5" ht="15.75" customHeight="1">
      <c r="A1" s="135" t="s">
        <v>151</v>
      </c>
      <c r="B1" s="136"/>
      <c r="C1" s="136"/>
      <c r="D1" s="137"/>
    </row>
    <row r="2" spans="1:5" ht="15.75" customHeight="1">
      <c r="A2" s="138" t="s">
        <v>153</v>
      </c>
      <c r="B2" s="139" t="s">
        <v>21</v>
      </c>
      <c r="C2" s="139" t="s">
        <v>46</v>
      </c>
      <c r="D2" s="138" t="s">
        <v>47</v>
      </c>
    </row>
    <row r="3" spans="1:5" ht="15.75" customHeight="1">
      <c r="A3" s="103" t="s">
        <v>155</v>
      </c>
      <c r="B3" s="103">
        <v>37.6</v>
      </c>
      <c r="C3" s="104">
        <v>35</v>
      </c>
      <c r="D3" s="105">
        <v>31.5</v>
      </c>
    </row>
    <row r="4" spans="1:5" ht="15.75" customHeight="1">
      <c r="A4" s="103" t="s">
        <v>156</v>
      </c>
      <c r="B4" s="103">
        <v>6.6</v>
      </c>
      <c r="C4" s="104">
        <v>5</v>
      </c>
      <c r="D4" s="104">
        <v>5.3</v>
      </c>
    </row>
    <row r="5" spans="1:5" ht="15.75" customHeight="1">
      <c r="A5" s="103" t="s">
        <v>157</v>
      </c>
      <c r="B5" s="103">
        <v>3</v>
      </c>
      <c r="C5" s="104">
        <v>3</v>
      </c>
      <c r="D5" s="104">
        <v>1.7</v>
      </c>
    </row>
    <row r="6" spans="1:5" ht="15.75" customHeight="1">
      <c r="A6" s="103" t="s">
        <v>133</v>
      </c>
      <c r="B6" s="103">
        <v>2</v>
      </c>
      <c r="C6" s="104">
        <v>1.5</v>
      </c>
      <c r="D6" s="104">
        <v>1.5</v>
      </c>
    </row>
    <row r="7" spans="1:5" ht="15.75" customHeight="1">
      <c r="A7" s="103" t="s">
        <v>158</v>
      </c>
      <c r="B7" s="103">
        <v>1.5</v>
      </c>
      <c r="C7" s="104">
        <v>1.5</v>
      </c>
      <c r="D7" s="104">
        <v>1.5</v>
      </c>
    </row>
    <row r="8" spans="1:5" ht="15.75" customHeight="1">
      <c r="A8" s="103" t="s">
        <v>159</v>
      </c>
      <c r="B8" s="103">
        <v>7.6</v>
      </c>
      <c r="C8" s="104">
        <v>2.7</v>
      </c>
      <c r="D8" s="104">
        <v>2.7</v>
      </c>
    </row>
    <row r="9" spans="1:5" ht="15.75" customHeight="1">
      <c r="A9" s="103" t="s">
        <v>160</v>
      </c>
      <c r="B9" s="103">
        <v>0</v>
      </c>
      <c r="C9" s="104">
        <v>0</v>
      </c>
      <c r="D9" s="104">
        <v>0</v>
      </c>
    </row>
    <row r="10" spans="1:5" ht="15.75" customHeight="1">
      <c r="A10" s="103" t="s">
        <v>161</v>
      </c>
      <c r="B10" s="103">
        <v>0.55000000000000004</v>
      </c>
      <c r="C10" s="104">
        <v>0.2</v>
      </c>
      <c r="D10" s="104">
        <v>0.14000000000000001</v>
      </c>
    </row>
    <row r="11" spans="1:5" ht="15.75" customHeight="1">
      <c r="A11" s="107"/>
      <c r="B11" s="100"/>
      <c r="C11" s="107"/>
      <c r="D11" s="100"/>
    </row>
    <row r="12" spans="1:5" ht="15.75" customHeight="1">
      <c r="A12" s="103" t="s">
        <v>29</v>
      </c>
      <c r="B12" s="104">
        <f>SUM(B3:B10)</f>
        <v>58.85</v>
      </c>
      <c r="C12" s="104">
        <f t="shared" ref="C12:D12" si="0">SUM(C3:C10)</f>
        <v>48.900000000000006</v>
      </c>
      <c r="D12" s="104">
        <f t="shared" si="0"/>
        <v>44.34</v>
      </c>
    </row>
    <row r="13" spans="1:5" ht="15.75" customHeight="1">
      <c r="C13" s="117"/>
      <c r="D13" s="117"/>
      <c r="E13" s="117"/>
    </row>
  </sheetData>
  <mergeCells count="3">
    <mergeCell ref="A11:B11"/>
    <mergeCell ref="C11:D11"/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GLOBAL</vt:lpstr>
      <vt:lpstr>LASMECA</vt:lpstr>
      <vt:lpstr>Freinage</vt:lpstr>
      <vt:lpstr>Suspension</vt:lpstr>
      <vt:lpstr>Roue équipée</vt:lpstr>
      <vt:lpstr>BAR</vt:lpstr>
      <vt:lpstr>Triangles</vt:lpstr>
      <vt:lpstr>Direction</vt:lpstr>
      <vt:lpstr>CHASSIS EQUIPE ET AERO</vt:lpstr>
      <vt:lpstr>Chassis</vt:lpstr>
      <vt:lpstr>Carrosserie</vt:lpstr>
      <vt:lpstr>MOTORISATION INSTRUMENTEE</vt:lpstr>
      <vt:lpstr>Transmission secondaire</vt:lpstr>
      <vt:lpstr>Admission</vt:lpstr>
      <vt:lpstr>Refroidissement</vt:lpstr>
      <vt:lpstr>Echappement</vt:lpstr>
      <vt:lpstr>Circuit carburant</vt:lpstr>
      <vt:lpstr>SEISM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Gameiro Nicolas</dc:creator>
  <cp:lastModifiedBy>Gameiro Nicolas</cp:lastModifiedBy>
  <dcterms:created xsi:type="dcterms:W3CDTF">2018-11-26T13:25:33Z</dcterms:created>
  <dcterms:modified xsi:type="dcterms:W3CDTF">2018-11-26T14:04:19Z</dcterms:modified>
</cp:coreProperties>
</file>