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75\Documents\FSAEinvictus\Ressources2020\CR_CostReport\"/>
    </mc:Choice>
  </mc:AlternateContent>
  <xr:revisionPtr revIDLastSave="0" documentId="13_ncr:1_{5D0AA157-FBCB-4351-9228-BE4A17BAE6E9}" xr6:coauthVersionLast="45" xr6:coauthVersionMax="45" xr10:uidLastSave="{00000000-0000-0000-0000-000000000000}"/>
  <bookViews>
    <workbookView xWindow="6600" yWindow="2925" windowWidth="17805" windowHeight="11505" tabRatio="678" xr2:uid="{00000000-000D-0000-FFFF-FFFF00000000}"/>
  </bookViews>
  <sheets>
    <sheet name="Overhead Summary" sheetId="19" r:id="rId1"/>
    <sheet name="Manufacting Summary" sheetId="16" r:id="rId2"/>
    <sheet name="General Data" sheetId="20" r:id="rId3"/>
    <sheet name="Overhead Cost" sheetId="18" r:id="rId4"/>
    <sheet name="Manufacturing Cost" sheetId="17" r:id="rId5"/>
    <sheet name="Manpower &amp; time" sheetId="11" r:id="rId6"/>
    <sheet name="Energies" sheetId="13" r:id="rId7"/>
    <sheet name="Metrology" sheetId="12" r:id="rId8"/>
    <sheet name="IT" sheetId="9" r:id="rId9"/>
    <sheet name="Office" sheetId="14" r:id="rId10"/>
    <sheet name="Manufacturing" sheetId="8" r:id="rId11"/>
    <sheet name="CNC mill" sheetId="3" r:id="rId12"/>
    <sheet name="CNC lathe" sheetId="4" r:id="rId13"/>
    <sheet name="Laser cutter" sheetId="5" r:id="rId14"/>
    <sheet name="Welding" sheetId="10" r:id="rId15"/>
    <sheet name="Conventionnal machinning" sheetId="15" r:id="rId16"/>
    <sheet name="Material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8" i="20"/>
  <c r="C11" i="20"/>
  <c r="C12" i="20"/>
  <c r="C38" i="18"/>
  <c r="E38" i="18" s="1"/>
  <c r="C37" i="18"/>
  <c r="E37" i="18" s="1"/>
  <c r="C36" i="18"/>
  <c r="E36" i="18" s="1"/>
  <c r="C35" i="18"/>
  <c r="E35" i="18" s="1"/>
  <c r="C34" i="18"/>
  <c r="E34" i="18" s="1"/>
  <c r="E33" i="18"/>
  <c r="C33" i="18"/>
  <c r="E32" i="18"/>
  <c r="E31" i="18"/>
  <c r="C28" i="18"/>
  <c r="E28" i="18" s="1"/>
  <c r="C27" i="18"/>
  <c r="E27" i="18" s="1"/>
  <c r="C25" i="18"/>
  <c r="E25" i="18" s="1"/>
  <c r="E24" i="18"/>
  <c r="C23" i="18"/>
  <c r="E23" i="18" s="1"/>
  <c r="E22" i="18"/>
  <c r="C22" i="18"/>
  <c r="C20" i="18"/>
  <c r="E20" i="18" s="1"/>
  <c r="C14" i="18"/>
  <c r="E14" i="18" s="1"/>
  <c r="C13" i="18"/>
  <c r="E13" i="18" s="1"/>
  <c r="C11" i="18"/>
  <c r="E11" i="18" s="1"/>
  <c r="E10" i="18"/>
  <c r="C10" i="18"/>
  <c r="C9" i="18"/>
  <c r="E9" i="18" s="1"/>
  <c r="C6" i="18"/>
  <c r="E6" i="18" s="1"/>
  <c r="F41" i="17"/>
  <c r="B41" i="17"/>
  <c r="F40" i="17"/>
  <c r="H40" i="17" s="1"/>
  <c r="F38" i="17"/>
  <c r="H38" i="17" s="1"/>
  <c r="F37" i="17"/>
  <c r="H37" i="17" s="1"/>
  <c r="G49" i="16" s="1"/>
  <c r="F36" i="17"/>
  <c r="F35" i="17"/>
  <c r="F34" i="17"/>
  <c r="F33" i="17"/>
  <c r="H31" i="17"/>
  <c r="F31" i="17"/>
  <c r="F30" i="17"/>
  <c r="H30" i="17" s="1"/>
  <c r="B30" i="17"/>
  <c r="F29" i="17"/>
  <c r="H29" i="17" s="1"/>
  <c r="B29" i="17"/>
  <c r="F28" i="17"/>
  <c r="H28" i="17" s="1"/>
  <c r="F27" i="17"/>
  <c r="H27" i="17" s="1"/>
  <c r="F21" i="17"/>
  <c r="H17" i="17"/>
  <c r="F17" i="17"/>
  <c r="F15" i="17"/>
  <c r="B15" i="17"/>
  <c r="B17" i="17" s="1"/>
  <c r="H14" i="17"/>
  <c r="F14" i="17"/>
  <c r="F13" i="17"/>
  <c r="H13" i="17" s="1"/>
  <c r="B13" i="17"/>
  <c r="F12" i="17"/>
  <c r="H12" i="17" s="1"/>
  <c r="F11" i="17"/>
  <c r="H11" i="17" s="1"/>
  <c r="G16" i="16" s="1"/>
  <c r="F9" i="17"/>
  <c r="H9" i="17" s="1"/>
  <c r="B9" i="17"/>
  <c r="B8" i="17"/>
  <c r="F7" i="17"/>
  <c r="B7" i="17"/>
  <c r="F5" i="17"/>
  <c r="F39" i="17" s="1"/>
  <c r="H39" i="17" s="1"/>
  <c r="B5" i="17"/>
  <c r="F4" i="17"/>
  <c r="H4" i="17" s="1"/>
  <c r="F3" i="17"/>
  <c r="F6" i="17" s="1"/>
  <c r="H6" i="17" s="1"/>
  <c r="B32" i="16"/>
  <c r="F32" i="17" l="1"/>
  <c r="H32" i="17" s="1"/>
  <c r="G42" i="16" s="1"/>
  <c r="H3" i="17"/>
  <c r="G2" i="16" s="1"/>
  <c r="B16" i="17"/>
  <c r="H5" i="17"/>
  <c r="B6" i="13"/>
  <c r="B7" i="13" l="1"/>
  <c r="C36" i="11"/>
  <c r="C16" i="18" s="1"/>
  <c r="E16" i="18" s="1"/>
  <c r="G9" i="11"/>
  <c r="G10" i="11"/>
  <c r="G11" i="11"/>
  <c r="G8" i="11"/>
  <c r="E9" i="11"/>
  <c r="E10" i="11"/>
  <c r="E11" i="11"/>
  <c r="E8" i="1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G27" i="8" l="1"/>
  <c r="J14" i="5" l="1"/>
  <c r="L29" i="11" l="1"/>
  <c r="B32" i="10"/>
  <c r="G12" i="11" l="1"/>
  <c r="C15" i="18" s="1"/>
  <c r="E15" i="18" s="1"/>
  <c r="B28" i="10" l="1"/>
  <c r="B29" i="10" s="1"/>
  <c r="B22" i="10"/>
  <c r="B23" i="10" s="1"/>
  <c r="B15" i="10"/>
  <c r="B17" i="10" s="1"/>
  <c r="C12" i="13" l="1"/>
  <c r="C13" i="20" s="1"/>
  <c r="R7" i="5"/>
  <c r="G5" i="5"/>
  <c r="F22" i="17" s="1"/>
  <c r="S5" i="5"/>
  <c r="R5" i="5"/>
  <c r="C12" i="18" l="1"/>
  <c r="E12" i="18" s="1"/>
  <c r="R8" i="5"/>
  <c r="G6" i="8" l="1"/>
  <c r="B2" i="4" l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F19" i="17" s="1"/>
  <c r="F20" i="17" l="1"/>
  <c r="H20" i="17" s="1"/>
  <c r="H19" i="17"/>
  <c r="G30" i="16" s="1"/>
  <c r="F13" i="4"/>
  <c r="F14" i="4"/>
  <c r="F12" i="4"/>
  <c r="E12" i="4"/>
  <c r="B7" i="4"/>
  <c r="F12" i="11" l="1"/>
  <c r="L28" i="11"/>
  <c r="L27" i="11"/>
  <c r="E29" i="3" l="1"/>
  <c r="F29" i="3" s="1"/>
  <c r="G4" i="8"/>
  <c r="G12" i="8"/>
  <c r="C29" i="18" s="1"/>
  <c r="G5" i="8"/>
  <c r="G3" i="8"/>
  <c r="C26" i="18" s="1"/>
  <c r="E26" i="18" s="1"/>
  <c r="B22" i="3"/>
  <c r="B2" i="3"/>
  <c r="E29" i="18" l="1"/>
  <c r="C30" i="18"/>
  <c r="E30" i="18" s="1"/>
  <c r="F31" i="3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C4" i="18" s="1"/>
  <c r="E4" i="18" s="1"/>
  <c r="E2" i="12"/>
  <c r="D21" i="12"/>
  <c r="E21" i="12" s="1"/>
  <c r="C8" i="18" s="1"/>
  <c r="E8" i="18" s="1"/>
  <c r="E3" i="9"/>
  <c r="C21" i="18" s="1"/>
  <c r="E21" i="18" s="1"/>
  <c r="E7" i="9"/>
  <c r="E8" i="9"/>
  <c r="E12" i="9"/>
  <c r="C17" i="18" s="1"/>
  <c r="E17" i="18" s="1"/>
  <c r="E13" i="9"/>
  <c r="E14" i="9"/>
  <c r="E16" i="9"/>
  <c r="E17" i="9"/>
  <c r="E18" i="9"/>
  <c r="E19" i="9"/>
  <c r="E6" i="9"/>
  <c r="C18" i="18" s="1"/>
  <c r="E18" i="18" s="1"/>
  <c r="C20" i="11"/>
  <c r="C21" i="11" s="1"/>
  <c r="C7" i="18" l="1"/>
  <c r="E7" i="18" s="1"/>
  <c r="C5" i="18"/>
  <c r="E5" i="18" s="1"/>
  <c r="C19" i="18"/>
  <c r="E19" i="18" s="1"/>
  <c r="C3" i="18"/>
  <c r="E3" i="18" s="1"/>
  <c r="C22" i="11"/>
  <c r="K32" i="11"/>
  <c r="H32" i="11"/>
  <c r="G32" i="11"/>
  <c r="E32" i="11"/>
  <c r="E33" i="11" s="1"/>
  <c r="C32" i="11"/>
  <c r="D32" i="11"/>
  <c r="F32" i="11"/>
  <c r="E2" i="19" l="1"/>
  <c r="H10" i="11"/>
  <c r="E6" i="19" s="1"/>
  <c r="H9" i="11"/>
  <c r="E5" i="19" s="1"/>
  <c r="H11" i="11"/>
  <c r="E7" i="19" s="1"/>
  <c r="H8" i="11"/>
  <c r="E4" i="19" s="1"/>
  <c r="J32" i="11"/>
  <c r="I32" i="11"/>
  <c r="J31" i="11"/>
  <c r="E31" i="11"/>
  <c r="L30" i="11" s="1"/>
  <c r="G31" i="11"/>
  <c r="K31" i="11"/>
  <c r="H31" i="11"/>
  <c r="D31" i="11"/>
  <c r="C31" i="11"/>
  <c r="F31" i="11"/>
  <c r="I31" i="11"/>
  <c r="E3" i="19" l="1"/>
  <c r="G9" i="16"/>
  <c r="L32" i="11"/>
  <c r="B33" i="10"/>
  <c r="B34" i="10" s="1"/>
  <c r="L31" i="11"/>
  <c r="G10" i="16" l="1"/>
  <c r="G38" i="16"/>
  <c r="G24" i="16"/>
  <c r="G40" i="16"/>
  <c r="G27" i="16"/>
  <c r="G13" i="16"/>
  <c r="G14" i="16"/>
  <c r="G25" i="16"/>
  <c r="G28" i="16"/>
  <c r="G50" i="16"/>
  <c r="G51" i="16" s="1"/>
  <c r="G53" i="16" s="1"/>
  <c r="G43" i="16"/>
  <c r="G44" i="16" s="1"/>
  <c r="G3" i="16"/>
  <c r="G17" i="16"/>
  <c r="G18" i="16" s="1"/>
  <c r="G20" i="16" s="1"/>
  <c r="G21" i="16" s="1"/>
  <c r="G31" i="16"/>
  <c r="G32" i="16" s="1"/>
  <c r="G34" i="16" s="1"/>
  <c r="G35" i="16" s="1"/>
  <c r="G11" i="16"/>
  <c r="G39" i="16"/>
  <c r="G26" i="16"/>
  <c r="G37" i="16"/>
  <c r="G23" i="16"/>
  <c r="G12" i="16"/>
  <c r="G41" i="16" l="1"/>
  <c r="G47" i="16"/>
  <c r="G46" i="16"/>
  <c r="G4" i="16"/>
  <c r="G6" i="16" s="1"/>
  <c r="G7" i="16" s="1"/>
  <c r="G15" i="16"/>
  <c r="G54" i="16"/>
  <c r="G29" i="16"/>
</calcChain>
</file>

<file path=xl/sharedStrings.xml><?xml version="1.0" encoding="utf-8"?>
<sst xmlns="http://schemas.openxmlformats.org/spreadsheetml/2006/main" count="805" uniqueCount="553">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</sst>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1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166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5">
    <cellStyle name="Comma" xfId="4" builtinId="3"/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9233-4E09-4E54-BED2-E4BF9030CFBD}">
  <sheetPr>
    <tabColor theme="5"/>
  </sheetPr>
  <dimension ref="A1:E7"/>
  <sheetViews>
    <sheetView tabSelected="1" workbookViewId="0">
      <selection activeCell="D20" sqref="D20"/>
    </sheetView>
  </sheetViews>
  <sheetFormatPr defaultRowHeight="15" x14ac:dyDescent="0.25"/>
  <cols>
    <col min="1" max="1" width="14.85546875" bestFit="1" customWidth="1"/>
    <col min="4" max="4" width="41.7109375" customWidth="1"/>
    <col min="5" max="5" width="11.5703125" bestFit="1" customWidth="1"/>
  </cols>
  <sheetData>
    <row r="1" spans="1:5" ht="15.75" thickBot="1" x14ac:dyDescent="0.3">
      <c r="A1" s="255" t="s">
        <v>511</v>
      </c>
      <c r="B1" s="256"/>
      <c r="C1" s="256"/>
      <c r="D1" s="256"/>
      <c r="E1" s="257"/>
    </row>
    <row r="2" spans="1:5" x14ac:dyDescent="0.25">
      <c r="A2" s="236" t="s">
        <v>309</v>
      </c>
      <c r="B2" s="259" t="s">
        <v>470</v>
      </c>
      <c r="C2" s="259"/>
      <c r="D2" s="260"/>
      <c r="E2" s="79">
        <f>SUM('Overhead Cost'!E3:E38)*1.05</f>
        <v>129206.09501598139</v>
      </c>
    </row>
    <row r="3" spans="1:5" ht="15.75" thickBot="1" x14ac:dyDescent="0.3">
      <c r="A3" s="237"/>
      <c r="B3" s="258" t="s">
        <v>271</v>
      </c>
      <c r="C3" s="258"/>
      <c r="D3" s="244"/>
      <c r="E3" s="80">
        <f>E2/SUM('Manpower &amp; time'!C32:J32)</f>
        <v>11.853030729824322</v>
      </c>
    </row>
    <row r="4" spans="1:5" x14ac:dyDescent="0.25">
      <c r="A4" s="238" t="s">
        <v>310</v>
      </c>
      <c r="B4" s="260" t="s">
        <v>311</v>
      </c>
      <c r="C4" s="262"/>
      <c r="D4" s="262"/>
      <c r="E4" s="81">
        <f>'Manpower &amp; time'!H8</f>
        <v>12.723809523809523</v>
      </c>
    </row>
    <row r="5" spans="1:5" x14ac:dyDescent="0.25">
      <c r="A5" s="239"/>
      <c r="B5" s="234" t="s">
        <v>322</v>
      </c>
      <c r="C5" s="235"/>
      <c r="D5" s="235"/>
      <c r="E5" s="82">
        <f>'Manpower &amp; time'!H9</f>
        <v>23.695833333333333</v>
      </c>
    </row>
    <row r="6" spans="1:5" x14ac:dyDescent="0.25">
      <c r="A6" s="239"/>
      <c r="B6" s="234" t="s">
        <v>464</v>
      </c>
      <c r="C6" s="235"/>
      <c r="D6" s="235"/>
      <c r="E6" s="82">
        <f>'Manpower &amp; time'!H10</f>
        <v>29.85654761904761</v>
      </c>
    </row>
    <row r="7" spans="1:5" ht="15.75" thickBot="1" x14ac:dyDescent="0.3">
      <c r="A7" s="240"/>
      <c r="B7" s="244" t="s">
        <v>312</v>
      </c>
      <c r="C7" s="245"/>
      <c r="D7" s="245"/>
      <c r="E7" s="83">
        <f>'Manpower &amp; time'!H11</f>
        <v>41.573214285714279</v>
      </c>
    </row>
  </sheetData>
  <mergeCells count="9">
    <mergeCell ref="A1:E1"/>
    <mergeCell ref="B3:D3"/>
    <mergeCell ref="B2:D2"/>
    <mergeCell ref="B4:D4"/>
    <mergeCell ref="B5:D5"/>
    <mergeCell ref="B6:D6"/>
    <mergeCell ref="A2:A3"/>
    <mergeCell ref="A4:A7"/>
    <mergeCell ref="B7:D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defaultColWidth="11.42578125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59" t="s">
        <v>16</v>
      </c>
      <c r="B1" s="170" t="s">
        <v>179</v>
      </c>
      <c r="C1" s="170" t="s">
        <v>543</v>
      </c>
      <c r="D1" s="170" t="s">
        <v>544</v>
      </c>
      <c r="E1" s="160" t="s">
        <v>283</v>
      </c>
    </row>
    <row r="2" spans="1:5" x14ac:dyDescent="0.25">
      <c r="A2" s="157" t="s">
        <v>285</v>
      </c>
      <c r="B2" s="162"/>
      <c r="C2" s="162"/>
      <c r="D2" s="161">
        <v>619</v>
      </c>
      <c r="E2" s="158" t="s">
        <v>284</v>
      </c>
    </row>
    <row r="3" spans="1:5" x14ac:dyDescent="0.25">
      <c r="A3" s="153" t="s">
        <v>286</v>
      </c>
      <c r="B3" s="19"/>
      <c r="C3" s="19"/>
      <c r="D3" s="20">
        <v>248</v>
      </c>
      <c r="E3" s="154" t="s">
        <v>284</v>
      </c>
    </row>
    <row r="4" spans="1:5" x14ac:dyDescent="0.25">
      <c r="A4" s="153" t="s">
        <v>551</v>
      </c>
      <c r="B4" s="19"/>
      <c r="C4" s="19"/>
      <c r="D4" s="20">
        <v>320</v>
      </c>
      <c r="E4" s="154" t="s">
        <v>284</v>
      </c>
    </row>
    <row r="5" spans="1:5" x14ac:dyDescent="0.25">
      <c r="A5" s="153" t="s">
        <v>552</v>
      </c>
      <c r="B5" s="19"/>
      <c r="C5" s="19"/>
      <c r="D5" s="20">
        <v>515</v>
      </c>
      <c r="E5" s="154" t="s">
        <v>284</v>
      </c>
    </row>
    <row r="6" spans="1:5" x14ac:dyDescent="0.25">
      <c r="A6" s="153" t="s">
        <v>287</v>
      </c>
      <c r="B6" s="19"/>
      <c r="C6" s="19"/>
      <c r="D6" s="20">
        <v>1125</v>
      </c>
      <c r="E6" s="154" t="s">
        <v>288</v>
      </c>
    </row>
    <row r="7" spans="1:5" x14ac:dyDescent="0.25">
      <c r="A7" s="153" t="s">
        <v>289</v>
      </c>
      <c r="B7" s="19"/>
      <c r="C7" s="19"/>
      <c r="D7" s="20">
        <v>1851</v>
      </c>
      <c r="E7" s="154" t="s">
        <v>290</v>
      </c>
    </row>
    <row r="8" spans="1:5" ht="15.75" thickBot="1" x14ac:dyDescent="0.3">
      <c r="A8" s="155" t="s">
        <v>291</v>
      </c>
      <c r="B8" s="54"/>
      <c r="C8" s="54"/>
      <c r="D8" s="144">
        <v>417</v>
      </c>
      <c r="E8" s="156" t="s">
        <v>292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defaultColWidth="11.42578125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59" t="s">
        <v>28</v>
      </c>
      <c r="B1" s="170" t="s">
        <v>25</v>
      </c>
      <c r="C1" s="170" t="s">
        <v>221</v>
      </c>
      <c r="D1" s="170" t="s">
        <v>534</v>
      </c>
      <c r="E1" s="170" t="s">
        <v>545</v>
      </c>
      <c r="F1" s="170" t="s">
        <v>533</v>
      </c>
      <c r="G1" s="170" t="s">
        <v>535</v>
      </c>
      <c r="H1" s="160" t="s">
        <v>204</v>
      </c>
    </row>
    <row r="2" spans="1:8" ht="15.75" thickBot="1" x14ac:dyDescent="0.3"/>
    <row r="3" spans="1:8" x14ac:dyDescent="0.25">
      <c r="A3" s="308" t="s">
        <v>546</v>
      </c>
      <c r="B3" s="92" t="s">
        <v>82</v>
      </c>
      <c r="C3" s="50"/>
      <c r="D3" s="50"/>
      <c r="E3" s="212">
        <v>1295</v>
      </c>
      <c r="F3" s="50"/>
      <c r="G3" s="136">
        <f>E3/'General Data'!C14</f>
        <v>1146.3829184518961</v>
      </c>
      <c r="H3" s="176" t="s">
        <v>83</v>
      </c>
    </row>
    <row r="4" spans="1:8" x14ac:dyDescent="0.25">
      <c r="A4" s="310"/>
      <c r="B4" s="93" t="s">
        <v>86</v>
      </c>
      <c r="C4" s="19"/>
      <c r="D4" s="19"/>
      <c r="E4" s="196">
        <v>13995</v>
      </c>
      <c r="F4" s="19"/>
      <c r="G4" s="20">
        <f>E4/'General Data'!C14</f>
        <v>12388.902659254276</v>
      </c>
      <c r="H4" s="154" t="s">
        <v>84</v>
      </c>
    </row>
    <row r="5" spans="1:8" x14ac:dyDescent="0.25">
      <c r="A5" s="310"/>
      <c r="B5" s="93" t="s">
        <v>91</v>
      </c>
      <c r="C5" s="19"/>
      <c r="D5" s="19"/>
      <c r="E5" s="196">
        <v>395</v>
      </c>
      <c r="F5" s="19"/>
      <c r="G5" s="20">
        <f>E5/'General Data'!C14</f>
        <v>349.66892107220002</v>
      </c>
      <c r="H5" s="154" t="s">
        <v>90</v>
      </c>
    </row>
    <row r="6" spans="1:8" x14ac:dyDescent="0.25">
      <c r="A6" s="310"/>
      <c r="B6" s="93" t="s">
        <v>355</v>
      </c>
      <c r="C6" s="19"/>
      <c r="D6" s="19"/>
      <c r="E6" s="196">
        <v>3795</v>
      </c>
      <c r="F6" s="19"/>
      <c r="G6" s="20">
        <f>E6/'General Data'!C14</f>
        <v>3359.4773556177188</v>
      </c>
      <c r="H6" s="154" t="s">
        <v>354</v>
      </c>
    </row>
    <row r="7" spans="1:8" x14ac:dyDescent="0.25">
      <c r="A7" s="310"/>
      <c r="B7" s="93" t="s">
        <v>384</v>
      </c>
      <c r="C7" s="19"/>
      <c r="D7" s="19"/>
      <c r="E7" s="196"/>
      <c r="F7" s="19"/>
      <c r="G7" s="20">
        <v>119</v>
      </c>
      <c r="H7" s="154" t="s">
        <v>385</v>
      </c>
    </row>
    <row r="8" spans="1:8" x14ac:dyDescent="0.25">
      <c r="A8" s="310"/>
      <c r="B8" s="93" t="s">
        <v>382</v>
      </c>
      <c r="C8" s="19"/>
      <c r="D8" s="19"/>
      <c r="E8" s="196"/>
      <c r="F8" s="19"/>
      <c r="G8" s="20">
        <v>379</v>
      </c>
      <c r="H8" s="154" t="s">
        <v>383</v>
      </c>
    </row>
    <row r="9" spans="1:8" ht="15.75" thickBot="1" x14ac:dyDescent="0.3">
      <c r="A9" s="309"/>
      <c r="B9" s="94" t="s">
        <v>387</v>
      </c>
      <c r="C9" s="54"/>
      <c r="D9" s="54"/>
      <c r="E9" s="213"/>
      <c r="F9" s="54"/>
      <c r="G9" s="144">
        <v>425</v>
      </c>
      <c r="H9" s="156" t="s">
        <v>386</v>
      </c>
    </row>
    <row r="10" spans="1:8" ht="15.75" thickBot="1" x14ac:dyDescent="0.3">
      <c r="A10" s="177"/>
      <c r="G10" s="2"/>
    </row>
    <row r="11" spans="1:8" x14ac:dyDescent="0.25">
      <c r="A11" s="308" t="s">
        <v>547</v>
      </c>
      <c r="B11" s="92" t="s">
        <v>222</v>
      </c>
      <c r="C11" s="50" t="s">
        <v>223</v>
      </c>
      <c r="D11" s="214"/>
      <c r="E11" s="50"/>
      <c r="F11" s="50"/>
      <c r="G11" s="136">
        <v>1079.0999999999999</v>
      </c>
      <c r="H11" s="176" t="s">
        <v>95</v>
      </c>
    </row>
    <row r="12" spans="1:8" ht="15.75" thickBot="1" x14ac:dyDescent="0.3">
      <c r="A12" s="309"/>
      <c r="B12" s="94" t="s">
        <v>222</v>
      </c>
      <c r="C12" s="54" t="s">
        <v>224</v>
      </c>
      <c r="D12" s="215"/>
      <c r="E12" s="54"/>
      <c r="F12" s="144">
        <v>2041.73</v>
      </c>
      <c r="G12" s="144">
        <f>F12*(1-'General Data'!C15)</f>
        <v>1633.384</v>
      </c>
      <c r="H12" s="156" t="s">
        <v>202</v>
      </c>
    </row>
    <row r="13" spans="1:8" ht="15.75" thickBot="1" x14ac:dyDescent="0.3">
      <c r="A13" s="177"/>
    </row>
    <row r="14" spans="1:8" ht="15.75" thickBot="1" x14ac:dyDescent="0.3">
      <c r="A14" s="188" t="s">
        <v>349</v>
      </c>
      <c r="B14" s="200" t="s">
        <v>347</v>
      </c>
      <c r="C14" s="165" t="s">
        <v>348</v>
      </c>
      <c r="D14" s="165"/>
      <c r="E14" s="165"/>
      <c r="F14" s="165"/>
      <c r="G14" s="211">
        <v>12999</v>
      </c>
      <c r="H14" s="216" t="s">
        <v>346</v>
      </c>
    </row>
    <row r="15" spans="1:8" ht="15.75" thickBot="1" x14ac:dyDescent="0.3">
      <c r="A15" s="177"/>
    </row>
    <row r="16" spans="1:8" x14ac:dyDescent="0.25">
      <c r="A16" s="308" t="s">
        <v>548</v>
      </c>
      <c r="B16" s="92" t="s">
        <v>359</v>
      </c>
      <c r="C16" s="50">
        <v>5</v>
      </c>
      <c r="D16" s="50"/>
      <c r="E16" s="50"/>
      <c r="F16" s="50"/>
      <c r="G16" s="136">
        <v>69.400000000000006</v>
      </c>
      <c r="H16" s="176" t="s">
        <v>358</v>
      </c>
    </row>
    <row r="17" spans="1:8" x14ac:dyDescent="0.25">
      <c r="A17" s="310"/>
      <c r="B17" s="93" t="s">
        <v>361</v>
      </c>
      <c r="C17" s="19">
        <v>1</v>
      </c>
      <c r="D17" s="19"/>
      <c r="E17" s="19"/>
      <c r="F17" s="19"/>
      <c r="G17" s="20">
        <v>1433.25</v>
      </c>
      <c r="H17" s="154" t="s">
        <v>360</v>
      </c>
    </row>
    <row r="18" spans="1:8" x14ac:dyDescent="0.25">
      <c r="A18" s="310"/>
      <c r="B18" s="93" t="s">
        <v>363</v>
      </c>
      <c r="C18" s="19">
        <v>1</v>
      </c>
      <c r="D18" s="19"/>
      <c r="E18" s="19"/>
      <c r="F18" s="19"/>
      <c r="G18" s="20">
        <v>1866.02</v>
      </c>
      <c r="H18" s="154" t="s">
        <v>362</v>
      </c>
    </row>
    <row r="19" spans="1:8" x14ac:dyDescent="0.25">
      <c r="A19" s="310"/>
      <c r="B19" s="93" t="s">
        <v>365</v>
      </c>
      <c r="C19" s="19">
        <v>1</v>
      </c>
      <c r="D19" s="19"/>
      <c r="E19" s="19"/>
      <c r="F19" s="19"/>
      <c r="G19" s="20">
        <v>859.65</v>
      </c>
      <c r="H19" s="154" t="s">
        <v>364</v>
      </c>
    </row>
    <row r="20" spans="1:8" x14ac:dyDescent="0.25">
      <c r="A20" s="310"/>
      <c r="B20" s="93" t="s">
        <v>367</v>
      </c>
      <c r="C20" s="19">
        <v>3</v>
      </c>
      <c r="D20" s="19"/>
      <c r="E20" s="19"/>
      <c r="F20" s="19"/>
      <c r="G20" s="20">
        <v>699.07</v>
      </c>
      <c r="H20" s="154" t="s">
        <v>366</v>
      </c>
    </row>
    <row r="21" spans="1:8" x14ac:dyDescent="0.25">
      <c r="A21" s="310"/>
      <c r="B21" s="93" t="s">
        <v>370</v>
      </c>
      <c r="C21" s="19">
        <v>30</v>
      </c>
      <c r="D21" s="19"/>
      <c r="E21" s="19"/>
      <c r="F21" s="19"/>
      <c r="G21" s="20">
        <v>16.899999999999999</v>
      </c>
      <c r="H21" s="154" t="s">
        <v>371</v>
      </c>
    </row>
    <row r="22" spans="1:8" x14ac:dyDescent="0.25">
      <c r="A22" s="310"/>
      <c r="B22" s="93" t="s">
        <v>296</v>
      </c>
      <c r="C22" s="19"/>
      <c r="D22" s="19"/>
      <c r="E22" s="19"/>
      <c r="F22" s="19"/>
      <c r="G22" s="20">
        <v>1001.67</v>
      </c>
      <c r="H22" s="154" t="s">
        <v>293</v>
      </c>
    </row>
    <row r="23" spans="1:8" x14ac:dyDescent="0.25">
      <c r="A23" s="310"/>
      <c r="B23" s="93" t="s">
        <v>294</v>
      </c>
      <c r="C23" s="19"/>
      <c r="D23" s="19"/>
      <c r="E23" s="19"/>
      <c r="F23" s="19"/>
      <c r="G23" s="20">
        <v>352.31</v>
      </c>
      <c r="H23" s="154" t="s">
        <v>295</v>
      </c>
    </row>
    <row r="24" spans="1:8" ht="15.75" thickBot="1" x14ac:dyDescent="0.3">
      <c r="A24" s="309"/>
      <c r="B24" s="94" t="s">
        <v>357</v>
      </c>
      <c r="C24" s="54" t="s">
        <v>372</v>
      </c>
      <c r="D24" s="54"/>
      <c r="E24" s="54"/>
      <c r="F24" s="54"/>
      <c r="G24" s="144">
        <v>2302.5700000000002</v>
      </c>
      <c r="H24" s="156" t="s">
        <v>356</v>
      </c>
    </row>
    <row r="25" spans="1:8" ht="15.75" thickBot="1" x14ac:dyDescent="0.3">
      <c r="A25" s="177"/>
    </row>
    <row r="26" spans="1:8" x14ac:dyDescent="0.25">
      <c r="A26" s="308" t="s">
        <v>549</v>
      </c>
      <c r="B26" s="92" t="s">
        <v>378</v>
      </c>
      <c r="C26" s="50" t="s">
        <v>379</v>
      </c>
      <c r="D26" s="50"/>
      <c r="E26" s="50"/>
      <c r="F26" s="50"/>
      <c r="G26" s="136">
        <v>3259</v>
      </c>
      <c r="H26" s="176" t="s">
        <v>377</v>
      </c>
    </row>
    <row r="27" spans="1:8" ht="15.75" thickBot="1" x14ac:dyDescent="0.3">
      <c r="A27" s="309"/>
      <c r="B27" s="94" t="s">
        <v>482</v>
      </c>
      <c r="C27" s="54"/>
      <c r="D27" s="54"/>
      <c r="E27" s="54"/>
      <c r="F27" s="54"/>
      <c r="G27" s="144">
        <f>1031.54</f>
        <v>1031.54</v>
      </c>
      <c r="H27" s="156" t="s">
        <v>483</v>
      </c>
    </row>
    <row r="28" spans="1:8" ht="15.75" thickBot="1" x14ac:dyDescent="0.3">
      <c r="A28" s="177"/>
    </row>
    <row r="29" spans="1:8" ht="15.75" thickBot="1" x14ac:dyDescent="0.3">
      <c r="A29" s="188" t="s">
        <v>550</v>
      </c>
      <c r="B29" s="200" t="s">
        <v>380</v>
      </c>
      <c r="C29" s="165"/>
      <c r="D29" s="165"/>
      <c r="E29" s="165"/>
      <c r="F29" s="165"/>
      <c r="G29" s="211">
        <v>1075</v>
      </c>
      <c r="H29" s="216" t="s">
        <v>381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E15" sqref="E15"/>
    </sheetView>
  </sheetViews>
  <sheetFormatPr defaultColWidth="11.42578125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106</v>
      </c>
      <c r="B19" t="s">
        <v>107</v>
      </c>
      <c r="C19" t="s">
        <v>108</v>
      </c>
    </row>
    <row r="21" spans="1:6" x14ac:dyDescent="0.25">
      <c r="B21" t="s">
        <v>194</v>
      </c>
      <c r="C21" t="s">
        <v>203</v>
      </c>
      <c r="D21" t="s">
        <v>204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205</v>
      </c>
    </row>
    <row r="23" spans="1:6" x14ac:dyDescent="0.25">
      <c r="A23" t="s">
        <v>106</v>
      </c>
      <c r="B23" s="2">
        <v>100</v>
      </c>
      <c r="C23">
        <v>40</v>
      </c>
      <c r="D23" s="3" t="s">
        <v>107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defaultColWidth="11.42578125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9" t="s">
        <v>344</v>
      </c>
      <c r="B2" s="2">
        <f>133720</f>
        <v>133720</v>
      </c>
      <c r="C2" t="s">
        <v>343</v>
      </c>
    </row>
    <row r="3" spans="1:6" x14ac:dyDescent="0.25">
      <c r="A3" s="9"/>
      <c r="B3" s="2"/>
    </row>
    <row r="4" spans="1:6" x14ac:dyDescent="0.25">
      <c r="A4" s="9" t="s">
        <v>321</v>
      </c>
      <c r="B4">
        <v>208</v>
      </c>
    </row>
    <row r="5" spans="1:6" x14ac:dyDescent="0.25">
      <c r="B5" t="s">
        <v>178</v>
      </c>
      <c r="C5" t="s">
        <v>204</v>
      </c>
    </row>
    <row r="6" spans="1:6" x14ac:dyDescent="0.25">
      <c r="A6" t="s">
        <v>106</v>
      </c>
      <c r="B6" s="2">
        <v>600</v>
      </c>
      <c r="C6" t="s">
        <v>319</v>
      </c>
    </row>
    <row r="7" spans="1:6" x14ac:dyDescent="0.25">
      <c r="A7" t="s">
        <v>317</v>
      </c>
      <c r="B7" s="2">
        <f>(2500+1500)/2</f>
        <v>2000</v>
      </c>
      <c r="C7" t="s">
        <v>319</v>
      </c>
    </row>
    <row r="8" spans="1:6" x14ac:dyDescent="0.25">
      <c r="A8" t="s">
        <v>318</v>
      </c>
      <c r="B8" s="2">
        <v>160</v>
      </c>
      <c r="C8" t="s">
        <v>320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345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R8" sqref="R8"/>
    </sheetView>
  </sheetViews>
  <sheetFormatPr defaultColWidth="11.42578125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221</v>
      </c>
      <c r="D3" t="s">
        <v>220</v>
      </c>
      <c r="E3" t="s">
        <v>219</v>
      </c>
      <c r="F3" t="s">
        <v>193</v>
      </c>
      <c r="G3" t="s">
        <v>194</v>
      </c>
    </row>
    <row r="4" spans="1:19" x14ac:dyDescent="0.25">
      <c r="A4" t="s">
        <v>87</v>
      </c>
      <c r="B4" t="s">
        <v>324</v>
      </c>
      <c r="C4" t="s">
        <v>323</v>
      </c>
      <c r="E4">
        <v>208995</v>
      </c>
      <c r="G4" s="2">
        <f>E4/'General Data'!C14</f>
        <v>185010.26875818847</v>
      </c>
      <c r="H4" s="3" t="s">
        <v>88</v>
      </c>
      <c r="P4" t="s">
        <v>394</v>
      </c>
      <c r="Q4" t="s">
        <v>393</v>
      </c>
      <c r="R4" t="s">
        <v>395</v>
      </c>
      <c r="S4" t="s">
        <v>396</v>
      </c>
    </row>
    <row r="5" spans="1:19" x14ac:dyDescent="0.25">
      <c r="A5" t="s">
        <v>398</v>
      </c>
      <c r="B5" t="s">
        <v>400</v>
      </c>
      <c r="C5" t="s">
        <v>401</v>
      </c>
      <c r="F5">
        <v>126.82</v>
      </c>
      <c r="G5" s="2">
        <f>(1-'General Data'!C15)*'Laser cutter'!F5</f>
        <v>101.456</v>
      </c>
      <c r="H5" s="3" t="s">
        <v>397</v>
      </c>
      <c r="O5" t="s">
        <v>392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399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336</v>
      </c>
      <c r="C9" t="s">
        <v>335</v>
      </c>
      <c r="D9" t="s">
        <v>337</v>
      </c>
      <c r="E9" t="s">
        <v>338</v>
      </c>
    </row>
    <row r="10" spans="1:19" x14ac:dyDescent="0.25">
      <c r="A10" t="s">
        <v>325</v>
      </c>
      <c r="B10" t="s">
        <v>326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327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328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471</v>
      </c>
      <c r="J12" t="s">
        <v>472</v>
      </c>
    </row>
    <row r="13" spans="1:19" x14ac:dyDescent="0.25">
      <c r="B13" t="s">
        <v>329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330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473</v>
      </c>
      <c r="J14" s="27">
        <f>J13/I13</f>
        <v>0.71739130434782605</v>
      </c>
    </row>
    <row r="15" spans="1:19" x14ac:dyDescent="0.25">
      <c r="B15" t="s">
        <v>331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332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333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334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339</v>
      </c>
      <c r="B19" t="s">
        <v>326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327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328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329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330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341</v>
      </c>
      <c r="B24" t="s">
        <v>340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327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328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zoomScaleNormal="100" workbookViewId="0">
      <selection activeCell="C17" sqref="C17"/>
    </sheetView>
  </sheetViews>
  <sheetFormatPr defaultColWidth="11.42578125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221</v>
      </c>
      <c r="C1" t="s">
        <v>220</v>
      </c>
      <c r="D1" t="s">
        <v>219</v>
      </c>
      <c r="E1" t="s">
        <v>193</v>
      </c>
      <c r="F1" t="s">
        <v>194</v>
      </c>
      <c r="G1" t="s">
        <v>204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239</v>
      </c>
      <c r="F3" s="2">
        <v>922.6</v>
      </c>
      <c r="G3" t="s">
        <v>240</v>
      </c>
    </row>
    <row r="4" spans="1:7" x14ac:dyDescent="0.25">
      <c r="A4" t="s">
        <v>38</v>
      </c>
      <c r="F4" s="2">
        <v>3859.6</v>
      </c>
      <c r="G4" s="3" t="s">
        <v>241</v>
      </c>
    </row>
    <row r="5" spans="1:7" x14ac:dyDescent="0.25">
      <c r="A5" t="s">
        <v>176</v>
      </c>
      <c r="F5" s="2">
        <v>8579</v>
      </c>
      <c r="G5" s="3" t="s">
        <v>177</v>
      </c>
    </row>
    <row r="6" spans="1:7" x14ac:dyDescent="0.25">
      <c r="A6" t="s">
        <v>101</v>
      </c>
      <c r="F6" s="2">
        <v>146</v>
      </c>
      <c r="G6" t="s">
        <v>100</v>
      </c>
    </row>
    <row r="7" spans="1:7" x14ac:dyDescent="0.25">
      <c r="A7" t="s">
        <v>103</v>
      </c>
      <c r="F7" s="2">
        <v>50</v>
      </c>
      <c r="G7" t="s">
        <v>102</v>
      </c>
    </row>
    <row r="8" spans="1:7" x14ac:dyDescent="0.25">
      <c r="F8" s="2"/>
    </row>
    <row r="9" spans="1:7" x14ac:dyDescent="0.25">
      <c r="A9" t="s">
        <v>105</v>
      </c>
      <c r="F9" s="2"/>
      <c r="G9" s="3" t="s">
        <v>104</v>
      </c>
    </row>
    <row r="12" spans="1:7" x14ac:dyDescent="0.25">
      <c r="A12" s="18" t="s">
        <v>407</v>
      </c>
      <c r="B12" s="18"/>
      <c r="C12" s="18" t="s">
        <v>204</v>
      </c>
    </row>
    <row r="13" spans="1:7" x14ac:dyDescent="0.25">
      <c r="A13" s="19" t="s">
        <v>408</v>
      </c>
      <c r="B13" s="20">
        <v>200</v>
      </c>
      <c r="C13" s="19" t="s">
        <v>409</v>
      </c>
    </row>
    <row r="14" spans="1:7" x14ac:dyDescent="0.25">
      <c r="A14" s="19" t="s">
        <v>410</v>
      </c>
      <c r="B14" s="19">
        <v>18</v>
      </c>
      <c r="C14" s="19" t="s">
        <v>409</v>
      </c>
    </row>
    <row r="15" spans="1:7" x14ac:dyDescent="0.25">
      <c r="A15" s="19" t="s">
        <v>411</v>
      </c>
      <c r="B15" s="21">
        <f>B14*5/228</f>
        <v>0.39473684210526316</v>
      </c>
      <c r="C15" s="19"/>
    </row>
    <row r="16" spans="1:7" x14ac:dyDescent="0.25">
      <c r="A16" s="19" t="s">
        <v>412</v>
      </c>
      <c r="B16" s="19">
        <v>5.5</v>
      </c>
      <c r="C16" s="19"/>
    </row>
    <row r="17" spans="1:4" x14ac:dyDescent="0.25">
      <c r="A17" s="19" t="s">
        <v>413</v>
      </c>
      <c r="B17" s="22">
        <f>B15*B13/B16</f>
        <v>14.354066985645932</v>
      </c>
      <c r="C17" s="19"/>
      <c r="D17" s="5"/>
    </row>
    <row r="19" spans="1:4" x14ac:dyDescent="0.25">
      <c r="A19" s="18" t="s">
        <v>414</v>
      </c>
      <c r="B19" s="18"/>
      <c r="C19" s="18" t="s">
        <v>204</v>
      </c>
    </row>
    <row r="20" spans="1:4" x14ac:dyDescent="0.25">
      <c r="A20" s="19" t="s">
        <v>415</v>
      </c>
      <c r="B20" s="19">
        <v>12.8</v>
      </c>
      <c r="C20" s="19" t="s">
        <v>409</v>
      </c>
    </row>
    <row r="21" spans="1:4" x14ac:dyDescent="0.25">
      <c r="A21" s="19" t="s">
        <v>416</v>
      </c>
      <c r="B21" s="19">
        <v>11</v>
      </c>
      <c r="C21" s="19" t="s">
        <v>409</v>
      </c>
    </row>
    <row r="22" spans="1:4" x14ac:dyDescent="0.25">
      <c r="A22" s="19" t="s">
        <v>417</v>
      </c>
      <c r="B22" s="19">
        <f>PI()*0.04*0.04*100*7.8</f>
        <v>3.9207076316800622</v>
      </c>
      <c r="C22" s="19"/>
    </row>
    <row r="23" spans="1:4" x14ac:dyDescent="0.25">
      <c r="A23" s="19" t="s">
        <v>418</v>
      </c>
      <c r="B23" s="20">
        <f>B20*B22/1000</f>
        <v>5.0185057685504804E-2</v>
      </c>
      <c r="C23" s="19"/>
    </row>
    <row r="25" spans="1:4" x14ac:dyDescent="0.25">
      <c r="A25" s="18" t="s">
        <v>419</v>
      </c>
      <c r="B25" s="18"/>
      <c r="C25" s="18" t="s">
        <v>204</v>
      </c>
    </row>
    <row r="26" spans="1:4" x14ac:dyDescent="0.25">
      <c r="A26" s="19" t="s">
        <v>415</v>
      </c>
      <c r="B26" s="19">
        <v>10.050000000000001</v>
      </c>
      <c r="C26" s="23" t="s">
        <v>420</v>
      </c>
    </row>
    <row r="27" spans="1:4" x14ac:dyDescent="0.25">
      <c r="A27" s="19" t="s">
        <v>421</v>
      </c>
      <c r="B27" s="19">
        <v>2</v>
      </c>
      <c r="C27" s="19" t="s">
        <v>409</v>
      </c>
    </row>
    <row r="28" spans="1:4" x14ac:dyDescent="0.25">
      <c r="A28" s="19" t="s">
        <v>417</v>
      </c>
      <c r="B28" s="19">
        <f>PI()*0.1*0.1*100*2.7</f>
        <v>8.4823001646924432</v>
      </c>
      <c r="C28" s="19"/>
    </row>
    <row r="29" spans="1:4" x14ac:dyDescent="0.25">
      <c r="A29" s="19" t="s">
        <v>418</v>
      </c>
      <c r="B29" s="20">
        <f>B26*B28/1000</f>
        <v>8.5247116655159064E-2</v>
      </c>
      <c r="C29" s="19"/>
    </row>
    <row r="30" spans="1:4" x14ac:dyDescent="0.25">
      <c r="C30" s="18"/>
    </row>
    <row r="31" spans="1:4" x14ac:dyDescent="0.25">
      <c r="A31" s="19" t="s">
        <v>443</v>
      </c>
      <c r="B31" s="19"/>
      <c r="C31" s="18" t="s">
        <v>204</v>
      </c>
    </row>
    <row r="32" spans="1:4" x14ac:dyDescent="0.25">
      <c r="A32" s="19" t="s">
        <v>444</v>
      </c>
      <c r="B32" s="24">
        <f>30/(2*PI()*0.034)</f>
        <v>140.43083213990764</v>
      </c>
      <c r="C32" s="19" t="s">
        <v>409</v>
      </c>
    </row>
    <row r="33" spans="1:3" x14ac:dyDescent="0.25">
      <c r="A33" s="19" t="s">
        <v>445</v>
      </c>
      <c r="B33" s="22">
        <f>'Manpower &amp; time'!H9/60</f>
        <v>0.39493055555555556</v>
      </c>
      <c r="C33" s="19"/>
    </row>
    <row r="34" spans="1:3" x14ac:dyDescent="0.25">
      <c r="A34" s="19" t="s">
        <v>446</v>
      </c>
      <c r="B34" s="22">
        <f>B33*B32</f>
        <v>55.460426554142693</v>
      </c>
      <c r="C34" s="19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  <pageSetup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defaultColWidth="11.42578125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59" t="s">
        <v>25</v>
      </c>
      <c r="B1" s="170" t="s">
        <v>458</v>
      </c>
      <c r="C1" s="160" t="s">
        <v>204</v>
      </c>
    </row>
    <row r="2" spans="1:3" x14ac:dyDescent="0.25">
      <c r="A2" s="157" t="s">
        <v>456</v>
      </c>
      <c r="B2" s="161">
        <v>15000</v>
      </c>
      <c r="C2" s="158" t="s">
        <v>454</v>
      </c>
    </row>
    <row r="3" spans="1:3" ht="15.75" thickBot="1" x14ac:dyDescent="0.3">
      <c r="A3" s="155" t="s">
        <v>457</v>
      </c>
      <c r="B3" s="144">
        <v>10000</v>
      </c>
      <c r="C3" s="156" t="s">
        <v>455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defaultColWidth="11.42578125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300</v>
      </c>
    </row>
    <row r="2" spans="1:23" x14ac:dyDescent="0.25">
      <c r="A2" t="s">
        <v>0</v>
      </c>
      <c r="G2" t="s">
        <v>9</v>
      </c>
      <c r="M2" t="s">
        <v>6</v>
      </c>
      <c r="S2" s="8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298</v>
      </c>
      <c r="S3" t="s">
        <v>4</v>
      </c>
      <c r="T3" t="s">
        <v>1</v>
      </c>
      <c r="U3" t="s">
        <v>299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272</v>
      </c>
      <c r="S15" t="s">
        <v>6</v>
      </c>
      <c r="T15" t="s">
        <v>272</v>
      </c>
      <c r="U15" t="s">
        <v>487</v>
      </c>
    </row>
    <row r="16" spans="1:23" x14ac:dyDescent="0.25">
      <c r="D16" t="s">
        <v>8</v>
      </c>
      <c r="E16" s="1">
        <f>AVERAGE(E4:E15)</f>
        <v>3.7201299982926756E-5</v>
      </c>
      <c r="N16" t="s">
        <v>273</v>
      </c>
      <c r="O16" t="s">
        <v>2</v>
      </c>
      <c r="P16" t="s">
        <v>76</v>
      </c>
      <c r="Q16" t="s">
        <v>3</v>
      </c>
      <c r="S16" t="s">
        <v>488</v>
      </c>
      <c r="T16" t="s">
        <v>489</v>
      </c>
      <c r="U16" t="s">
        <v>490</v>
      </c>
      <c r="V16" t="s">
        <v>491</v>
      </c>
    </row>
    <row r="17" spans="1:22" x14ac:dyDescent="0.25">
      <c r="N17">
        <v>5</v>
      </c>
      <c r="O17">
        <v>500</v>
      </c>
      <c r="P17" s="2">
        <v>1.61</v>
      </c>
      <c r="Q17" s="7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7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274</v>
      </c>
      <c r="B19" t="s">
        <v>272</v>
      </c>
      <c r="N19">
        <v>15</v>
      </c>
      <c r="O19">
        <v>500</v>
      </c>
      <c r="P19" s="2">
        <v>4.8</v>
      </c>
      <c r="Q19" s="7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273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7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7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7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7">
        <f t="shared" si="6"/>
        <v>5.3157750992693033E-5</v>
      </c>
      <c r="P22" t="s">
        <v>8</v>
      </c>
      <c r="Q22" s="7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7">
        <f t="shared" si="6"/>
        <v>5.5077256063922563E-5</v>
      </c>
      <c r="P23" s="2"/>
      <c r="S23">
        <v>6060</v>
      </c>
      <c r="T23" t="s">
        <v>492</v>
      </c>
    </row>
    <row r="24" spans="1:22" x14ac:dyDescent="0.25">
      <c r="B24">
        <v>25</v>
      </c>
      <c r="C24">
        <v>500</v>
      </c>
      <c r="D24" s="2">
        <v>13.11</v>
      </c>
      <c r="E24" s="7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7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7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7">
        <f t="shared" si="6"/>
        <v>3.338486055256606E-5</v>
      </c>
      <c r="U27" s="2"/>
      <c r="V27" s="1"/>
    </row>
    <row r="28" spans="1:22" x14ac:dyDescent="0.25">
      <c r="D28" t="s">
        <v>8</v>
      </c>
      <c r="E28" s="7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303</v>
      </c>
      <c r="G30" s="3" t="s">
        <v>302</v>
      </c>
      <c r="N30" s="3" t="s">
        <v>422</v>
      </c>
    </row>
    <row r="31" spans="1:22" x14ac:dyDescent="0.25">
      <c r="A31" t="s">
        <v>301</v>
      </c>
      <c r="B31" t="s">
        <v>272</v>
      </c>
      <c r="G31" t="s">
        <v>301</v>
      </c>
      <c r="H31" t="s">
        <v>272</v>
      </c>
      <c r="N31" t="s">
        <v>423</v>
      </c>
      <c r="O31" t="s">
        <v>272</v>
      </c>
    </row>
    <row r="32" spans="1:22" x14ac:dyDescent="0.25">
      <c r="B32" t="s">
        <v>273</v>
      </c>
      <c r="C32" t="s">
        <v>2</v>
      </c>
      <c r="D32" t="s">
        <v>76</v>
      </c>
      <c r="E32" t="s">
        <v>3</v>
      </c>
      <c r="H32" t="s">
        <v>273</v>
      </c>
      <c r="I32" t="s">
        <v>2</v>
      </c>
      <c r="J32" t="s">
        <v>76</v>
      </c>
      <c r="K32" t="s">
        <v>3</v>
      </c>
      <c r="O32" t="s">
        <v>273</v>
      </c>
      <c r="P32" t="s">
        <v>2</v>
      </c>
      <c r="Q32" t="s">
        <v>76</v>
      </c>
      <c r="R32" t="s">
        <v>493</v>
      </c>
    </row>
    <row r="33" spans="1:18" x14ac:dyDescent="0.25">
      <c r="B33">
        <v>10</v>
      </c>
      <c r="C33">
        <v>1000</v>
      </c>
      <c r="D33" s="2">
        <v>20.5</v>
      </c>
      <c r="E33" s="7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7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7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7">
        <f t="shared" si="7"/>
        <v>2.2132484273716698E-4</v>
      </c>
      <c r="H34">
        <v>16</v>
      </c>
      <c r="I34">
        <v>300</v>
      </c>
      <c r="J34" s="2">
        <v>15.77</v>
      </c>
      <c r="K34" s="7">
        <f t="shared" si="8"/>
        <v>2.6144515130824893E-4</v>
      </c>
      <c r="O34">
        <v>20</v>
      </c>
      <c r="P34">
        <v>1000</v>
      </c>
      <c r="Q34" s="2">
        <v>9.23</v>
      </c>
      <c r="R34" s="7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7">
        <f t="shared" si="7"/>
        <v>2.1247184902768027E-4</v>
      </c>
      <c r="H35">
        <v>20</v>
      </c>
      <c r="I35">
        <v>300</v>
      </c>
      <c r="J35" s="2">
        <v>23.4</v>
      </c>
      <c r="K35" s="7">
        <f t="shared" si="8"/>
        <v>2.4828171122335673E-4</v>
      </c>
      <c r="O35">
        <v>25</v>
      </c>
      <c r="P35">
        <v>1000</v>
      </c>
      <c r="Q35" s="2">
        <v>14.44</v>
      </c>
      <c r="R35" s="7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7">
        <f t="shared" si="7"/>
        <v>2.0013734093805838E-4</v>
      </c>
      <c r="H36">
        <v>40</v>
      </c>
      <c r="I36">
        <v>300</v>
      </c>
      <c r="J36" s="2">
        <v>81.7</v>
      </c>
      <c r="K36" s="7">
        <f t="shared" si="8"/>
        <v>2.1671598084346415E-4</v>
      </c>
      <c r="O36">
        <v>40</v>
      </c>
      <c r="P36">
        <v>1000</v>
      </c>
      <c r="Q36" s="2">
        <v>34.869999999999997</v>
      </c>
      <c r="R36" s="7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7">
        <f t="shared" si="7"/>
        <v>1.9862536897868538E-4</v>
      </c>
      <c r="J37" t="s">
        <v>8</v>
      </c>
      <c r="K37" s="7">
        <f>AVERAGE(K33:K36)</f>
        <v>2.8145391181008314E-4</v>
      </c>
      <c r="O37">
        <v>60</v>
      </c>
      <c r="P37">
        <v>1000</v>
      </c>
      <c r="Q37" s="2">
        <v>83.14</v>
      </c>
      <c r="R37" s="7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7">
        <f t="shared" si="7"/>
        <v>1.9805948473658087E-4</v>
      </c>
      <c r="J38" s="2"/>
      <c r="K38" s="7"/>
      <c r="O38">
        <v>80</v>
      </c>
      <c r="P38">
        <v>1000</v>
      </c>
      <c r="Q38" s="2">
        <v>139.55000000000001</v>
      </c>
      <c r="R38" s="7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7">
        <f t="shared" si="7"/>
        <v>1.9745160127338264E-4</v>
      </c>
      <c r="J39" s="2"/>
      <c r="K39" s="7"/>
      <c r="Q39" t="s">
        <v>8</v>
      </c>
      <c r="R39" s="7">
        <f>AVERAGE(R33:R38)</f>
        <v>2.8834566715532905E-5</v>
      </c>
    </row>
    <row r="40" spans="1:18" x14ac:dyDescent="0.25">
      <c r="D40" t="s">
        <v>8</v>
      </c>
      <c r="E40" s="7">
        <f>AVERAGE(E33:E39)</f>
        <v>2.1272637062318042E-4</v>
      </c>
      <c r="K40" s="7"/>
    </row>
    <row r="43" spans="1:18" x14ac:dyDescent="0.25">
      <c r="A43" s="3" t="s">
        <v>424</v>
      </c>
    </row>
    <row r="44" spans="1:18" x14ac:dyDescent="0.25">
      <c r="A44" t="s">
        <v>425</v>
      </c>
      <c r="B44" t="s">
        <v>426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427</v>
      </c>
      <c r="G48" t="s">
        <v>428</v>
      </c>
    </row>
    <row r="49" spans="1:10" x14ac:dyDescent="0.25">
      <c r="A49" t="s">
        <v>429</v>
      </c>
      <c r="B49" t="s">
        <v>76</v>
      </c>
      <c r="C49" t="s">
        <v>430</v>
      </c>
      <c r="D49" t="s">
        <v>494</v>
      </c>
      <c r="G49" t="s">
        <v>429</v>
      </c>
      <c r="H49" t="s">
        <v>431</v>
      </c>
      <c r="I49" t="s">
        <v>432</v>
      </c>
      <c r="J49" t="s">
        <v>3</v>
      </c>
    </row>
    <row r="50" spans="1:10" x14ac:dyDescent="0.25">
      <c r="A50" t="s">
        <v>433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434</v>
      </c>
      <c r="H50" s="6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435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436</v>
      </c>
      <c r="H51" s="6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438</v>
      </c>
      <c r="H52" s="6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439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440</v>
      </c>
      <c r="H53" s="6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439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441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441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441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442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442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442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495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496</v>
      </c>
    </row>
    <row r="65" spans="1:7" x14ac:dyDescent="0.25">
      <c r="A65" t="s">
        <v>4</v>
      </c>
      <c r="B65" t="s">
        <v>1</v>
      </c>
      <c r="C65" t="s">
        <v>2</v>
      </c>
      <c r="D65" t="s">
        <v>497</v>
      </c>
      <c r="E65" t="s">
        <v>7</v>
      </c>
      <c r="F65" t="s">
        <v>3</v>
      </c>
      <c r="G65" t="s">
        <v>204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498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29D2-34B0-467E-B58D-0ECBDCCEC3E3}">
  <sheetPr>
    <tabColor theme="5"/>
  </sheetPr>
  <dimension ref="A1:G54"/>
  <sheetViews>
    <sheetView workbookViewId="0">
      <selection activeCell="H22" sqref="H22"/>
    </sheetView>
  </sheetViews>
  <sheetFormatPr defaultRowHeight="15" x14ac:dyDescent="0.25"/>
  <cols>
    <col min="1" max="1" width="44" customWidth="1"/>
    <col min="6" max="6" width="21.140625" customWidth="1"/>
    <col min="7" max="7" width="18.140625" customWidth="1"/>
  </cols>
  <sheetData>
    <row r="1" spans="1:7" ht="15.75" thickBot="1" x14ac:dyDescent="0.3">
      <c r="A1" s="241" t="s">
        <v>512</v>
      </c>
      <c r="B1" s="242"/>
      <c r="C1" s="242"/>
      <c r="D1" s="242"/>
      <c r="E1" s="242"/>
      <c r="F1" s="242"/>
      <c r="G1" s="243"/>
    </row>
    <row r="2" spans="1:7" x14ac:dyDescent="0.25">
      <c r="A2" s="227" t="s">
        <v>474</v>
      </c>
      <c r="B2" s="254"/>
      <c r="C2" s="224" t="s">
        <v>280</v>
      </c>
      <c r="D2" s="224"/>
      <c r="E2" s="224"/>
      <c r="F2" s="224"/>
      <c r="G2" s="69">
        <f>SUM('Manufacturing Cost'!H3:H6)+'Manufacturing Cost'!H9</f>
        <v>17591.025600000001</v>
      </c>
    </row>
    <row r="3" spans="1:7" x14ac:dyDescent="0.25">
      <c r="A3" s="219" t="s">
        <v>478</v>
      </c>
      <c r="B3" s="220"/>
      <c r="C3" s="218" t="s">
        <v>281</v>
      </c>
      <c r="D3" s="218"/>
      <c r="E3" s="218"/>
      <c r="F3" s="218"/>
      <c r="G3" s="70" t="e">
        <f>G2/('Manufacturing Cost'!B5*#REF!*#REF!)+'Overhead Summary'!E3</f>
        <v>#REF!</v>
      </c>
    </row>
    <row r="4" spans="1:7" x14ac:dyDescent="0.25">
      <c r="A4" s="30" t="s">
        <v>481</v>
      </c>
      <c r="B4" s="31">
        <v>2.5</v>
      </c>
      <c r="C4" s="218" t="s">
        <v>282</v>
      </c>
      <c r="D4" s="218"/>
      <c r="E4" s="218"/>
      <c r="F4" s="218"/>
      <c r="G4" s="70" t="e">
        <f>G3+'Manufacturing Cost'!F8+'Manufacturing Cost'!F7</f>
        <v>#REF!</v>
      </c>
    </row>
    <row r="5" spans="1:7" x14ac:dyDescent="0.25">
      <c r="A5" s="30" t="s">
        <v>506</v>
      </c>
      <c r="B5" s="31">
        <v>0.5</v>
      </c>
      <c r="C5" s="218"/>
      <c r="D5" s="218"/>
      <c r="E5" s="218"/>
      <c r="F5" s="218"/>
      <c r="G5" s="71"/>
    </row>
    <row r="6" spans="1:7" x14ac:dyDescent="0.25">
      <c r="A6" s="14"/>
      <c r="B6" s="15"/>
      <c r="C6" s="218" t="s">
        <v>267</v>
      </c>
      <c r="D6" s="218"/>
      <c r="E6" s="218"/>
      <c r="F6" s="218"/>
      <c r="G6" s="72" t="e">
        <f>('Manpower &amp; time'!H8+G4)*'Manufacturing Cost'!B7/60</f>
        <v>#REF!</v>
      </c>
    </row>
    <row r="7" spans="1:7" x14ac:dyDescent="0.25">
      <c r="A7" s="14"/>
      <c r="B7" s="15"/>
      <c r="C7" s="218" t="s">
        <v>469</v>
      </c>
      <c r="D7" s="218"/>
      <c r="E7" s="218"/>
      <c r="F7" s="218"/>
      <c r="G7" s="73" t="e">
        <f>('Manpower &amp; time'!H8)*'Manufacturing Cost'!B7/60/G6</f>
        <v>#REF!</v>
      </c>
    </row>
    <row r="8" spans="1:7" x14ac:dyDescent="0.25">
      <c r="A8" s="14"/>
      <c r="B8" s="15"/>
      <c r="C8" s="218"/>
      <c r="D8" s="218"/>
      <c r="E8" s="218"/>
      <c r="F8" s="218"/>
      <c r="G8" s="72"/>
    </row>
    <row r="9" spans="1:7" x14ac:dyDescent="0.25">
      <c r="A9" s="14"/>
      <c r="B9" s="15"/>
      <c r="C9" s="218" t="s">
        <v>270</v>
      </c>
      <c r="D9" s="218"/>
      <c r="E9" s="218"/>
      <c r="F9" s="218"/>
      <c r="G9" s="72">
        <f>('Manpower &amp; time'!H8+#REF!)*'Manufacturing Cost'!B8/60</f>
        <v>1.0603174603174602E-5</v>
      </c>
    </row>
    <row r="10" spans="1:7" x14ac:dyDescent="0.25">
      <c r="A10" s="14"/>
      <c r="B10" s="15"/>
      <c r="C10" s="218" t="s">
        <v>268</v>
      </c>
      <c r="D10" s="218"/>
      <c r="E10" s="218"/>
      <c r="F10" s="218"/>
      <c r="G10" s="72">
        <f>('Manpower &amp; time'!H9+#REF!)*'Manufacturing Cost'!B8/60</f>
        <v>1.9746527777777777E-5</v>
      </c>
    </row>
    <row r="11" spans="1:7" x14ac:dyDescent="0.25">
      <c r="A11" s="14"/>
      <c r="B11" s="15"/>
      <c r="C11" s="218" t="s">
        <v>269</v>
      </c>
      <c r="D11" s="218"/>
      <c r="E11" s="218"/>
      <c r="F11" s="218"/>
      <c r="G11" s="72">
        <f>('Manpower &amp; time'!H11+#REF!)*'Manufacturing Cost'!B8/60</f>
        <v>3.4644345238095228E-5</v>
      </c>
    </row>
    <row r="12" spans="1:7" x14ac:dyDescent="0.25">
      <c r="A12" s="14"/>
      <c r="B12" s="15"/>
      <c r="C12" s="218" t="s">
        <v>313</v>
      </c>
      <c r="D12" s="218"/>
      <c r="E12" s="218"/>
      <c r="F12" s="218"/>
      <c r="G12" s="72">
        <f>('Manpower &amp; time'!H8+#REF!)*'Manufacturing Cost'!B$9/60</f>
        <v>8.4825396825396831E-6</v>
      </c>
    </row>
    <row r="13" spans="1:7" x14ac:dyDescent="0.25">
      <c r="A13" s="14"/>
      <c r="B13" s="15"/>
      <c r="C13" s="218" t="s">
        <v>314</v>
      </c>
      <c r="D13" s="218"/>
      <c r="E13" s="218"/>
      <c r="F13" s="218"/>
      <c r="G13" s="72">
        <f>('Manpower &amp; time'!H9+#REF!)*'Manufacturing Cost'!B$9/60</f>
        <v>1.5797222222222223E-5</v>
      </c>
    </row>
    <row r="14" spans="1:7" x14ac:dyDescent="0.25">
      <c r="A14" s="14"/>
      <c r="B14" s="15"/>
      <c r="C14" s="218" t="s">
        <v>315</v>
      </c>
      <c r="D14" s="218"/>
      <c r="E14" s="218"/>
      <c r="F14" s="218"/>
      <c r="G14" s="72">
        <f>('Manpower &amp; time'!H11+#REF!)*'Manufacturing Cost'!B$9/60</f>
        <v>2.7715476190476189E-5</v>
      </c>
    </row>
    <row r="15" spans="1:7" ht="15.75" thickBot="1" x14ac:dyDescent="0.3">
      <c r="A15" s="16"/>
      <c r="B15" s="17"/>
      <c r="C15" s="221" t="s">
        <v>279</v>
      </c>
      <c r="D15" s="221"/>
      <c r="E15" s="221"/>
      <c r="F15" s="221"/>
      <c r="G15" s="74" t="e">
        <f>('Manpower &amp; time'!H8+G3)*('Manufacturing Cost'!B10+'Manufacturing Cost'!B6)/60</f>
        <v>#REF!</v>
      </c>
    </row>
    <row r="16" spans="1:7" x14ac:dyDescent="0.25">
      <c r="A16" s="222" t="s">
        <v>18</v>
      </c>
      <c r="B16" s="223"/>
      <c r="C16" s="224" t="s">
        <v>280</v>
      </c>
      <c r="D16" s="224"/>
      <c r="E16" s="224"/>
      <c r="F16" s="224"/>
      <c r="G16" s="69">
        <f>SUM('Manufacturing Cost'!H11:H14)+'Manufacturing Cost'!H17</f>
        <v>23026.025600000001</v>
      </c>
    </row>
    <row r="17" spans="1:7" x14ac:dyDescent="0.25">
      <c r="A17" s="232" t="s">
        <v>478</v>
      </c>
      <c r="B17" s="233"/>
      <c r="C17" s="218" t="s">
        <v>281</v>
      </c>
      <c r="D17" s="218"/>
      <c r="E17" s="218"/>
      <c r="F17" s="218"/>
      <c r="G17" s="70" t="e">
        <f>G16/('Manufacturing Cost'!B13*#REF!*#REF!)+'Overhead Summary'!E3</f>
        <v>#REF!</v>
      </c>
    </row>
    <row r="18" spans="1:7" x14ac:dyDescent="0.25">
      <c r="A18" s="32" t="s">
        <v>481</v>
      </c>
      <c r="B18" s="33">
        <v>2.5</v>
      </c>
      <c r="C18" s="218" t="s">
        <v>282</v>
      </c>
      <c r="D18" s="218"/>
      <c r="E18" s="218"/>
      <c r="F18" s="218"/>
      <c r="G18" s="70" t="e">
        <f>G17+'Manufacturing Cost'!F16+'Manufacturing Cost'!F15</f>
        <v>#REF!</v>
      </c>
    </row>
    <row r="19" spans="1:7" x14ac:dyDescent="0.25">
      <c r="A19" s="32" t="s">
        <v>506</v>
      </c>
      <c r="B19" s="33">
        <v>0.5</v>
      </c>
      <c r="C19" s="218"/>
      <c r="D19" s="218"/>
      <c r="E19" s="218"/>
      <c r="F19" s="218"/>
      <c r="G19" s="71"/>
    </row>
    <row r="20" spans="1:7" x14ac:dyDescent="0.25">
      <c r="A20" s="10"/>
      <c r="B20" s="11"/>
      <c r="C20" s="218" t="s">
        <v>267</v>
      </c>
      <c r="D20" s="218"/>
      <c r="E20" s="218"/>
      <c r="F20" s="218"/>
      <c r="G20" s="72" t="e">
        <f>(#REF!+G18)*'Manufacturing Cost'!B15/60</f>
        <v>#REF!</v>
      </c>
    </row>
    <row r="21" spans="1:7" x14ac:dyDescent="0.25">
      <c r="A21" s="10"/>
      <c r="B21" s="11"/>
      <c r="C21" s="218" t="s">
        <v>469</v>
      </c>
      <c r="D21" s="218"/>
      <c r="E21" s="218"/>
      <c r="F21" s="218"/>
      <c r="G21" s="73" t="e">
        <f>(#REF!)*'Manufacturing Cost'!B15/60/G20</f>
        <v>#REF!</v>
      </c>
    </row>
    <row r="22" spans="1:7" x14ac:dyDescent="0.25">
      <c r="A22" s="10"/>
      <c r="B22" s="11"/>
      <c r="C22" s="218"/>
      <c r="D22" s="218"/>
      <c r="E22" s="218"/>
      <c r="F22" s="218"/>
      <c r="G22" s="72"/>
    </row>
    <row r="23" spans="1:7" x14ac:dyDescent="0.25">
      <c r="A23" s="10"/>
      <c r="B23" s="11"/>
      <c r="C23" s="218" t="s">
        <v>270</v>
      </c>
      <c r="D23" s="218"/>
      <c r="E23" s="218"/>
      <c r="F23" s="218"/>
      <c r="G23" s="72">
        <f>(#REF!+#REF!)*'Manufacturing Cost'!B$16/60</f>
        <v>2.0480700211361539E-5</v>
      </c>
    </row>
    <row r="24" spans="1:7" x14ac:dyDescent="0.25">
      <c r="A24" s="10"/>
      <c r="B24" s="11"/>
      <c r="C24" s="218" t="s">
        <v>268</v>
      </c>
      <c r="D24" s="218"/>
      <c r="E24" s="218"/>
      <c r="F24" s="218"/>
      <c r="G24" s="72">
        <f>(#REF!+#REF!)*'Manufacturing Cost'!B$16/60</f>
        <v>2.9624053385964713E-5</v>
      </c>
    </row>
    <row r="25" spans="1:7" x14ac:dyDescent="0.25">
      <c r="A25" s="10"/>
      <c r="B25" s="11"/>
      <c r="C25" s="218" t="s">
        <v>269</v>
      </c>
      <c r="D25" s="218"/>
      <c r="E25" s="218"/>
      <c r="F25" s="218"/>
      <c r="G25" s="72">
        <f>(#REF!+#REF!)*'Manufacturing Cost'!B$16/60</f>
        <v>4.4521870846282167E-5</v>
      </c>
    </row>
    <row r="26" spans="1:7" x14ac:dyDescent="0.25">
      <c r="A26" s="10"/>
      <c r="B26" s="11"/>
      <c r="C26" s="218" t="s">
        <v>313</v>
      </c>
      <c r="D26" s="218"/>
      <c r="E26" s="218"/>
      <c r="F26" s="218"/>
      <c r="G26" s="72">
        <f>(#REF!+#REF!)*'Manufacturing Cost'!B$17/60</f>
        <v>1.6384560169089233E-5</v>
      </c>
    </row>
    <row r="27" spans="1:7" x14ac:dyDescent="0.25">
      <c r="A27" s="10"/>
      <c r="B27" s="11"/>
      <c r="C27" s="218" t="s">
        <v>314</v>
      </c>
      <c r="D27" s="218"/>
      <c r="E27" s="218"/>
      <c r="F27" s="218"/>
      <c r="G27" s="72">
        <f>(#REF!+#REF!)*'Manufacturing Cost'!B$17/60</f>
        <v>2.3699242708771769E-5</v>
      </c>
    </row>
    <row r="28" spans="1:7" x14ac:dyDescent="0.25">
      <c r="A28" s="10"/>
      <c r="B28" s="11"/>
      <c r="C28" s="218" t="s">
        <v>315</v>
      </c>
      <c r="D28" s="218"/>
      <c r="E28" s="218"/>
      <c r="F28" s="218"/>
      <c r="G28" s="72">
        <f>(#REF!+#REF!)*'Manufacturing Cost'!B$17/60</f>
        <v>3.5617496677025735E-5</v>
      </c>
    </row>
    <row r="29" spans="1:7" ht="15.75" thickBot="1" x14ac:dyDescent="0.3">
      <c r="A29" s="10"/>
      <c r="B29" s="11"/>
      <c r="C29" s="268" t="s">
        <v>279</v>
      </c>
      <c r="D29" s="268"/>
      <c r="E29" s="268"/>
      <c r="F29" s="268"/>
      <c r="G29" s="146" t="e">
        <f>(#REF!+G17)*('Manufacturing Cost'!B14+'Manufacturing Cost'!B18)/60</f>
        <v>#REF!</v>
      </c>
    </row>
    <row r="30" spans="1:7" x14ac:dyDescent="0.25">
      <c r="A30" s="229" t="s">
        <v>403</v>
      </c>
      <c r="B30" s="231"/>
      <c r="C30" s="224" t="s">
        <v>280</v>
      </c>
      <c r="D30" s="224"/>
      <c r="E30" s="224"/>
      <c r="F30" s="224"/>
      <c r="G30" s="69">
        <f>'Manufacturing Cost'!H19+'Manufacturing Cost'!H20</f>
        <v>27751.54031372827</v>
      </c>
    </row>
    <row r="31" spans="1:7" x14ac:dyDescent="0.25">
      <c r="A31" s="225" t="s">
        <v>479</v>
      </c>
      <c r="B31" s="226"/>
      <c r="C31" s="218" t="s">
        <v>281</v>
      </c>
      <c r="D31" s="218"/>
      <c r="E31" s="218"/>
      <c r="F31" s="218"/>
      <c r="G31" s="70" t="e">
        <f>G30/('Manufacturing Cost'!B21*#REF!*#REF!)+'Overhead Summary'!E3</f>
        <v>#REF!</v>
      </c>
    </row>
    <row r="32" spans="1:7" x14ac:dyDescent="0.25">
      <c r="A32" s="28" t="s">
        <v>480</v>
      </c>
      <c r="B32" s="29">
        <f>'Laser cutter'!J14</f>
        <v>0.71739130434782605</v>
      </c>
      <c r="C32" s="218" t="s">
        <v>282</v>
      </c>
      <c r="D32" s="218"/>
      <c r="E32" s="218"/>
      <c r="F32" s="218"/>
      <c r="G32" s="70" t="e">
        <f>G31+'Manufacturing Cost'!F21+'Manufacturing Cost'!F22</f>
        <v>#REF!</v>
      </c>
    </row>
    <row r="33" spans="1:7" x14ac:dyDescent="0.25">
      <c r="A33" s="225"/>
      <c r="B33" s="226"/>
      <c r="C33" s="218"/>
      <c r="D33" s="218"/>
      <c r="E33" s="218"/>
      <c r="F33" s="218"/>
      <c r="G33" s="71"/>
    </row>
    <row r="34" spans="1:7" x14ac:dyDescent="0.25">
      <c r="A34" s="225"/>
      <c r="B34" s="226"/>
      <c r="C34" s="218" t="s">
        <v>404</v>
      </c>
      <c r="D34" s="218"/>
      <c r="E34" s="218"/>
      <c r="F34" s="218"/>
      <c r="G34" s="72" t="e">
        <f>(#REF!*0.4+G32)*'Manufacturing Cost'!B23/60</f>
        <v>#REF!</v>
      </c>
    </row>
    <row r="35" spans="1:7" x14ac:dyDescent="0.25">
      <c r="A35" s="225"/>
      <c r="B35" s="226"/>
      <c r="C35" s="218" t="s">
        <v>469</v>
      </c>
      <c r="D35" s="218"/>
      <c r="E35" s="218"/>
      <c r="F35" s="218"/>
      <c r="G35" s="73" t="e">
        <f>(#REF!)*'Manufacturing Cost'!B23/60/G34</f>
        <v>#REF!</v>
      </c>
    </row>
    <row r="36" spans="1:7" x14ac:dyDescent="0.25">
      <c r="A36" s="225"/>
      <c r="B36" s="226"/>
      <c r="C36" s="218"/>
      <c r="D36" s="218"/>
      <c r="E36" s="218"/>
      <c r="F36" s="218"/>
      <c r="G36" s="133"/>
    </row>
    <row r="37" spans="1:7" x14ac:dyDescent="0.25">
      <c r="A37" s="225"/>
      <c r="B37" s="226"/>
      <c r="C37" s="218" t="s">
        <v>501</v>
      </c>
      <c r="D37" s="218"/>
      <c r="E37" s="218"/>
      <c r="F37" s="218"/>
      <c r="G37" s="145">
        <f>(#REF!+#REF!)*'Manufacturing Cost'!B24/60</f>
        <v>0.61442100634084618</v>
      </c>
    </row>
    <row r="38" spans="1:7" x14ac:dyDescent="0.25">
      <c r="A38" s="225"/>
      <c r="B38" s="226"/>
      <c r="C38" s="218" t="s">
        <v>502</v>
      </c>
      <c r="D38" s="218"/>
      <c r="E38" s="218"/>
      <c r="F38" s="218"/>
      <c r="G38" s="145">
        <f>(#REF!+#REF!)*'Manufacturing Cost'!B24/60</f>
        <v>0.88872160157894131</v>
      </c>
    </row>
    <row r="39" spans="1:7" x14ac:dyDescent="0.25">
      <c r="A39" s="225"/>
      <c r="B39" s="226"/>
      <c r="C39" s="218" t="s">
        <v>503</v>
      </c>
      <c r="D39" s="218"/>
      <c r="E39" s="218"/>
      <c r="F39" s="218"/>
      <c r="G39" s="145">
        <f>(#REF!+#REF!)*'Manufacturing Cost'!B25/60</f>
        <v>0.40961400422723077</v>
      </c>
    </row>
    <row r="40" spans="1:7" x14ac:dyDescent="0.25">
      <c r="A40" s="225"/>
      <c r="B40" s="226"/>
      <c r="C40" s="218" t="s">
        <v>504</v>
      </c>
      <c r="D40" s="218"/>
      <c r="E40" s="218"/>
      <c r="F40" s="218"/>
      <c r="G40" s="145">
        <f>(#REF!+#REF!)*'Manufacturing Cost'!B$25/60</f>
        <v>0.59248106771929421</v>
      </c>
    </row>
    <row r="41" spans="1:7" ht="15.75" thickBot="1" x14ac:dyDescent="0.3">
      <c r="A41" s="25"/>
      <c r="B41" s="26"/>
      <c r="C41" s="221" t="s">
        <v>279</v>
      </c>
      <c r="D41" s="221"/>
      <c r="E41" s="221"/>
      <c r="F41" s="221"/>
      <c r="G41" s="74" t="e">
        <f>(#REF!+G31)*('Manufacturing Cost'!B26+'Manufacturing Cost'!B22)/60</f>
        <v>#REF!</v>
      </c>
    </row>
    <row r="42" spans="1:7" x14ac:dyDescent="0.25">
      <c r="A42" s="219" t="s">
        <v>24</v>
      </c>
      <c r="B42" s="220"/>
      <c r="C42" s="269" t="s">
        <v>280</v>
      </c>
      <c r="D42" s="269"/>
      <c r="E42" s="269"/>
      <c r="F42" s="269"/>
      <c r="G42" s="147">
        <f>SUM('Manufacturing Cost'!H27:H32)</f>
        <v>2176.9659999999999</v>
      </c>
    </row>
    <row r="43" spans="1:7" x14ac:dyDescent="0.25">
      <c r="A43" s="37"/>
      <c r="B43" s="38"/>
      <c r="C43" s="218" t="s">
        <v>281</v>
      </c>
      <c r="D43" s="218"/>
      <c r="E43" s="218"/>
      <c r="F43" s="218"/>
      <c r="G43" s="89" t="e">
        <f>G42/('Manufacturing Cost'!B29*#REF!*#REF!)+'Overhead Summary'!E3</f>
        <v>#REF!</v>
      </c>
    </row>
    <row r="44" spans="1:7" x14ac:dyDescent="0.25">
      <c r="A44" s="14"/>
      <c r="B44" s="15"/>
      <c r="C44" s="218" t="s">
        <v>282</v>
      </c>
      <c r="D44" s="218"/>
      <c r="E44" s="218"/>
      <c r="F44" s="218"/>
      <c r="G44" s="89" t="e">
        <f>G43+'Manufacturing Cost'!F33</f>
        <v>#REF!</v>
      </c>
    </row>
    <row r="45" spans="1:7" x14ac:dyDescent="0.25">
      <c r="A45" s="14"/>
      <c r="B45" s="15"/>
      <c r="C45" s="218"/>
      <c r="D45" s="218"/>
      <c r="E45" s="218"/>
      <c r="F45" s="218"/>
      <c r="G45" s="133"/>
    </row>
    <row r="46" spans="1:7" x14ac:dyDescent="0.25">
      <c r="A46" s="14"/>
      <c r="B46" s="15"/>
      <c r="C46" s="218" t="s">
        <v>451</v>
      </c>
      <c r="D46" s="218"/>
      <c r="E46" s="218"/>
      <c r="F46" s="218"/>
      <c r="G46" s="53" t="e">
        <f>'Manufacturing Cost'!F34+'Manufacturing Cost'!F36+(G44+#REF!)*'Manufacturing Cost'!B30/60</f>
        <v>#REF!</v>
      </c>
    </row>
    <row r="47" spans="1:7" x14ac:dyDescent="0.25">
      <c r="A47" s="14"/>
      <c r="B47" s="15"/>
      <c r="C47" s="218" t="s">
        <v>452</v>
      </c>
      <c r="D47" s="218"/>
      <c r="E47" s="218"/>
      <c r="F47" s="218"/>
      <c r="G47" s="89" t="e">
        <f>'Manufacturing Cost'!F35+'Manufacturing Cost'!F36+(G44+#REF!)*'Manufacturing Cost'!B30/60</f>
        <v>#REF!</v>
      </c>
    </row>
    <row r="48" spans="1:7" ht="15.75" thickBot="1" x14ac:dyDescent="0.3">
      <c r="A48" s="16"/>
      <c r="B48" s="17"/>
      <c r="C48" s="221"/>
      <c r="D48" s="221"/>
      <c r="E48" s="221"/>
      <c r="F48" s="221"/>
      <c r="G48" s="65"/>
    </row>
    <row r="49" spans="1:7" x14ac:dyDescent="0.25">
      <c r="A49" s="222" t="s">
        <v>389</v>
      </c>
      <c r="B49" s="223"/>
      <c r="C49" s="224" t="s">
        <v>280</v>
      </c>
      <c r="D49" s="224"/>
      <c r="E49" s="224"/>
      <c r="F49" s="224"/>
      <c r="G49" s="69">
        <f>SUM('Manufacturing Cost'!H37:H40)</f>
        <v>4775</v>
      </c>
    </row>
    <row r="50" spans="1:7" x14ac:dyDescent="0.25">
      <c r="A50" s="35"/>
      <c r="B50" s="36"/>
      <c r="C50" s="218" t="s">
        <v>281</v>
      </c>
      <c r="D50" s="218"/>
      <c r="E50" s="218"/>
      <c r="F50" s="218"/>
      <c r="G50" s="70" t="e">
        <f>G49/('Manufacturing Cost'!B39*#REF!*#REF!)+'Overhead Summary'!E3</f>
        <v>#REF!</v>
      </c>
    </row>
    <row r="51" spans="1:7" x14ac:dyDescent="0.25">
      <c r="A51" s="10"/>
      <c r="B51" s="11"/>
      <c r="C51" s="218" t="s">
        <v>282</v>
      </c>
      <c r="D51" s="218"/>
      <c r="E51" s="218"/>
      <c r="F51" s="218"/>
      <c r="G51" s="70" t="e">
        <f>G50+'Manufacturing Cost'!F42+'Manufacturing Cost'!F41</f>
        <v>#REF!</v>
      </c>
    </row>
    <row r="52" spans="1:7" x14ac:dyDescent="0.25">
      <c r="A52" s="10"/>
      <c r="B52" s="11"/>
      <c r="C52" s="218"/>
      <c r="D52" s="218"/>
      <c r="E52" s="218"/>
      <c r="F52" s="218"/>
      <c r="G52" s="71"/>
    </row>
    <row r="53" spans="1:7" x14ac:dyDescent="0.25">
      <c r="A53" s="10"/>
      <c r="B53" s="11"/>
      <c r="C53" s="218" t="s">
        <v>267</v>
      </c>
      <c r="D53" s="218"/>
      <c r="E53" s="218"/>
      <c r="F53" s="218"/>
      <c r="G53" s="72" t="e">
        <f>(#REF!+G51)*'Manufacturing Cost'!B41/60</f>
        <v>#REF!</v>
      </c>
    </row>
    <row r="54" spans="1:7" ht="15.75" thickBot="1" x14ac:dyDescent="0.3">
      <c r="A54" s="12"/>
      <c r="B54" s="13"/>
      <c r="C54" s="221" t="s">
        <v>279</v>
      </c>
      <c r="D54" s="221"/>
      <c r="E54" s="221"/>
      <c r="F54" s="221"/>
      <c r="G54" s="74" t="e">
        <f>(#REF!+G50)*('Manufacturing Cost'!B40+'Manufacturing Cost'!B42)/60</f>
        <v>#REF!</v>
      </c>
    </row>
  </sheetData>
  <mergeCells count="70">
    <mergeCell ref="C41:F41"/>
    <mergeCell ref="A49:B49"/>
    <mergeCell ref="C49:F49"/>
    <mergeCell ref="C50:F50"/>
    <mergeCell ref="C51:F51"/>
    <mergeCell ref="C52:F52"/>
    <mergeCell ref="A42:B42"/>
    <mergeCell ref="C44:F44"/>
    <mergeCell ref="C45:F45"/>
    <mergeCell ref="A17:B17"/>
    <mergeCell ref="A3:B3"/>
    <mergeCell ref="A16:B16"/>
    <mergeCell ref="A31:B31"/>
    <mergeCell ref="A33:B33"/>
    <mergeCell ref="A34:B34"/>
    <mergeCell ref="C19:F19"/>
    <mergeCell ref="C20:F20"/>
    <mergeCell ref="A37:B37"/>
    <mergeCell ref="A38:B38"/>
    <mergeCell ref="A39:B39"/>
    <mergeCell ref="A40:B40"/>
    <mergeCell ref="A30:B30"/>
    <mergeCell ref="A35:B35"/>
    <mergeCell ref="A36:B36"/>
    <mergeCell ref="C40:F40"/>
    <mergeCell ref="A1:G1"/>
    <mergeCell ref="C2:F2"/>
    <mergeCell ref="C3:F3"/>
    <mergeCell ref="C7:F7"/>
    <mergeCell ref="C8:F8"/>
    <mergeCell ref="C21:F21"/>
    <mergeCell ref="C10:F10"/>
    <mergeCell ref="C11:F11"/>
    <mergeCell ref="C12:F12"/>
    <mergeCell ref="C13:F13"/>
    <mergeCell ref="C14:F14"/>
    <mergeCell ref="C42:F42"/>
    <mergeCell ref="C43:F43"/>
    <mergeCell ref="C25:F25"/>
    <mergeCell ref="A2:B2"/>
    <mergeCell ref="C4:F4"/>
    <mergeCell ref="C22:F22"/>
    <mergeCell ref="C16:F16"/>
    <mergeCell ref="C17:F17"/>
    <mergeCell ref="C18:F18"/>
    <mergeCell ref="C5:F5"/>
    <mergeCell ref="C6:F6"/>
    <mergeCell ref="C15:F15"/>
    <mergeCell ref="C9:F9"/>
    <mergeCell ref="C54:F54"/>
    <mergeCell ref="C53:F53"/>
    <mergeCell ref="C47:F47"/>
    <mergeCell ref="C48:F48"/>
    <mergeCell ref="C46:F46"/>
    <mergeCell ref="C28:F28"/>
    <mergeCell ref="C33:F33"/>
    <mergeCell ref="C39:F39"/>
    <mergeCell ref="C34:F34"/>
    <mergeCell ref="C35:F35"/>
    <mergeCell ref="C36:F36"/>
    <mergeCell ref="C37:F37"/>
    <mergeCell ref="C38:F38"/>
    <mergeCell ref="C30:F30"/>
    <mergeCell ref="C23:F23"/>
    <mergeCell ref="C24:F24"/>
    <mergeCell ref="C26:F26"/>
    <mergeCell ref="C31:F31"/>
    <mergeCell ref="C32:F32"/>
    <mergeCell ref="C29:F29"/>
    <mergeCell ref="C27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B09C-1806-473B-A444-A8A6F5D01EA8}">
  <dimension ref="A1:D15"/>
  <sheetViews>
    <sheetView workbookViewId="0">
      <selection activeCell="C17" sqref="C17"/>
    </sheetView>
  </sheetViews>
  <sheetFormatPr defaultRowHeight="15" x14ac:dyDescent="0.25"/>
  <cols>
    <col min="1" max="1" width="10.7109375" bestFit="1" customWidth="1"/>
    <col min="2" max="2" width="22" bestFit="1" customWidth="1"/>
    <col min="3" max="3" width="12" bestFit="1" customWidth="1"/>
    <col min="4" max="4" width="32" customWidth="1"/>
  </cols>
  <sheetData>
    <row r="1" spans="1:4" x14ac:dyDescent="0.25">
      <c r="A1" s="252" t="s">
        <v>41</v>
      </c>
      <c r="B1" s="253"/>
      <c r="C1" s="253"/>
      <c r="D1" s="40"/>
    </row>
    <row r="2" spans="1:4" ht="15.75" thickBot="1" x14ac:dyDescent="0.3">
      <c r="A2" s="49" t="s">
        <v>28</v>
      </c>
      <c r="B2" s="44" t="s">
        <v>16</v>
      </c>
      <c r="C2" s="44" t="s">
        <v>42</v>
      </c>
      <c r="D2" s="45" t="s">
        <v>227</v>
      </c>
    </row>
    <row r="3" spans="1:4" x14ac:dyDescent="0.25">
      <c r="A3" s="41" t="s">
        <v>43</v>
      </c>
      <c r="B3" s="50" t="s">
        <v>26</v>
      </c>
      <c r="C3" s="51">
        <f>'Manpower &amp; time'!D8</f>
        <v>21376</v>
      </c>
      <c r="D3" s="263" t="s">
        <v>507</v>
      </c>
    </row>
    <row r="4" spans="1:4" x14ac:dyDescent="0.25">
      <c r="A4" s="42"/>
      <c r="B4" s="19" t="s">
        <v>44</v>
      </c>
      <c r="C4" s="22">
        <f>'Manpower &amp; time'!D9</f>
        <v>39809</v>
      </c>
      <c r="D4" s="264"/>
    </row>
    <row r="5" spans="1:4" x14ac:dyDescent="0.25">
      <c r="A5" s="42"/>
      <c r="B5" s="19" t="s">
        <v>45</v>
      </c>
      <c r="C5" s="22">
        <f>'Manpower &amp; time'!D11</f>
        <v>69843</v>
      </c>
      <c r="D5" s="264"/>
    </row>
    <row r="6" spans="1:4" ht="15.75" thickBot="1" x14ac:dyDescent="0.3">
      <c r="A6" s="43"/>
      <c r="B6" s="54" t="s">
        <v>46</v>
      </c>
      <c r="C6" s="55">
        <f>'Manpower &amp; time'!D9</f>
        <v>39809</v>
      </c>
      <c r="D6" s="265"/>
    </row>
    <row r="7" spans="1:4" x14ac:dyDescent="0.25">
      <c r="A7" s="41" t="s">
        <v>47</v>
      </c>
      <c r="B7" s="50" t="s">
        <v>48</v>
      </c>
      <c r="C7" s="50">
        <v>35</v>
      </c>
      <c r="D7" s="56"/>
    </row>
    <row r="8" spans="1:4" x14ac:dyDescent="0.25">
      <c r="A8" s="42"/>
      <c r="B8" s="19" t="s">
        <v>49</v>
      </c>
      <c r="C8" s="24">
        <f>'Manpower &amp; time'!C21</f>
        <v>45.6</v>
      </c>
      <c r="D8" s="57"/>
    </row>
    <row r="9" spans="1:4" ht="60" x14ac:dyDescent="0.25">
      <c r="A9" s="42"/>
      <c r="B9" s="19" t="s">
        <v>50</v>
      </c>
      <c r="C9" s="46">
        <v>0.8</v>
      </c>
      <c r="D9" s="58" t="s">
        <v>255</v>
      </c>
    </row>
    <row r="10" spans="1:4" ht="30.75" thickBot="1" x14ac:dyDescent="0.3">
      <c r="A10" s="43"/>
      <c r="B10" s="54" t="s">
        <v>245</v>
      </c>
      <c r="C10" s="59">
        <v>0.95</v>
      </c>
      <c r="D10" s="148" t="s">
        <v>256</v>
      </c>
    </row>
    <row r="11" spans="1:4" x14ac:dyDescent="0.25">
      <c r="A11" s="61" t="s">
        <v>306</v>
      </c>
      <c r="B11" s="50" t="s">
        <v>153</v>
      </c>
      <c r="C11" s="51">
        <f>Energies!B7</f>
        <v>2874.8160000000003</v>
      </c>
      <c r="D11" s="52"/>
    </row>
    <row r="12" spans="1:4" x14ac:dyDescent="0.25">
      <c r="A12" s="62"/>
      <c r="B12" s="19" t="s">
        <v>154</v>
      </c>
      <c r="C12" s="47">
        <f>Energies!B8</f>
        <v>7.8299999999999995E-2</v>
      </c>
      <c r="D12" s="63"/>
    </row>
    <row r="13" spans="1:4" ht="18" thickBot="1" x14ac:dyDescent="0.3">
      <c r="A13" s="64"/>
      <c r="B13" s="54" t="s">
        <v>509</v>
      </c>
      <c r="C13" s="55">
        <f>Energies!C12</f>
        <v>2.2160000000000002</v>
      </c>
      <c r="D13" s="65"/>
    </row>
    <row r="14" spans="1:4" x14ac:dyDescent="0.25">
      <c r="A14" s="66" t="s">
        <v>307</v>
      </c>
      <c r="B14" s="50" t="s">
        <v>468</v>
      </c>
      <c r="C14" s="67">
        <v>1.12964</v>
      </c>
      <c r="D14" s="56"/>
    </row>
    <row r="15" spans="1:4" ht="15.75" thickBot="1" x14ac:dyDescent="0.3">
      <c r="A15" s="68"/>
      <c r="B15" s="54" t="s">
        <v>182</v>
      </c>
      <c r="C15" s="59">
        <v>0.2</v>
      </c>
      <c r="D15" s="60"/>
    </row>
  </sheetData>
  <mergeCells count="2">
    <mergeCell ref="A1:C1"/>
    <mergeCell ref="D3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ACD9-90E1-4693-A6C9-205FEB568357}">
  <sheetPr>
    <tabColor theme="4"/>
  </sheetPr>
  <dimension ref="A1:E38"/>
  <sheetViews>
    <sheetView topLeftCell="B1" zoomScaleNormal="100" workbookViewId="0">
      <selection activeCell="G2" sqref="G2"/>
    </sheetView>
  </sheetViews>
  <sheetFormatPr defaultRowHeight="15" x14ac:dyDescent="0.25"/>
  <cols>
    <col min="1" max="1" width="14.140625" bestFit="1" customWidth="1"/>
    <col min="2" max="2" width="52.42578125" bestFit="1" customWidth="1"/>
    <col min="3" max="3" width="12" bestFit="1" customWidth="1"/>
    <col min="5" max="5" width="10.5703125" bestFit="1" customWidth="1"/>
  </cols>
  <sheetData>
    <row r="1" spans="1:5" x14ac:dyDescent="0.25">
      <c r="A1" s="246" t="s">
        <v>14</v>
      </c>
      <c r="B1" s="247"/>
      <c r="C1" s="247"/>
      <c r="D1" s="247"/>
      <c r="E1" s="248"/>
    </row>
    <row r="2" spans="1:5" ht="45.75" thickBot="1" x14ac:dyDescent="0.3">
      <c r="A2" s="84" t="s">
        <v>28</v>
      </c>
      <c r="B2" s="85" t="s">
        <v>25</v>
      </c>
      <c r="C2" s="85" t="s">
        <v>17</v>
      </c>
      <c r="D2" s="86" t="s">
        <v>373</v>
      </c>
      <c r="E2" s="87" t="s">
        <v>207</v>
      </c>
    </row>
    <row r="3" spans="1:5" x14ac:dyDescent="0.25">
      <c r="A3" s="98" t="s">
        <v>29</v>
      </c>
      <c r="B3" s="92" t="s">
        <v>199</v>
      </c>
      <c r="C3" s="88">
        <f>SUM(Metrology!E14:E17)</f>
        <v>2320</v>
      </c>
      <c r="D3" s="67">
        <v>10</v>
      </c>
      <c r="E3" s="79">
        <f>C3/D3</f>
        <v>232</v>
      </c>
    </row>
    <row r="4" spans="1:5" x14ac:dyDescent="0.25">
      <c r="A4" s="99"/>
      <c r="B4" s="93" t="s">
        <v>198</v>
      </c>
      <c r="C4" s="75">
        <f>SUM(Metrology!E18:E19)</f>
        <v>1838.4</v>
      </c>
      <c r="D4" s="48">
        <v>10</v>
      </c>
      <c r="E4" s="89">
        <f>C4/D4</f>
        <v>183.84</v>
      </c>
    </row>
    <row r="5" spans="1:5" x14ac:dyDescent="0.25">
      <c r="A5" s="99"/>
      <c r="B5" s="93" t="s">
        <v>197</v>
      </c>
      <c r="C5" s="75">
        <f>SUM(Metrology!E2:E8)+Metrology!E2+Metrology!E4+Metrology!E3+Metrology!E7+Metrology!E8</f>
        <v>1272</v>
      </c>
      <c r="D5" s="48">
        <v>10</v>
      </c>
      <c r="E5" s="89">
        <f>C5/D5</f>
        <v>127.2</v>
      </c>
    </row>
    <row r="6" spans="1:5" x14ac:dyDescent="0.25">
      <c r="A6" s="99"/>
      <c r="B6" s="93" t="s">
        <v>32</v>
      </c>
      <c r="C6" s="22">
        <f>Metrology!E23</f>
        <v>48334.81</v>
      </c>
      <c r="D6" s="48">
        <v>10</v>
      </c>
      <c r="E6" s="89">
        <f>C6/D6</f>
        <v>4833.4809999999998</v>
      </c>
    </row>
    <row r="7" spans="1:5" x14ac:dyDescent="0.25">
      <c r="A7" s="99"/>
      <c r="B7" s="93" t="s">
        <v>200</v>
      </c>
      <c r="C7" s="75">
        <f>SUM(Metrology!E10:E12)</f>
        <v>3209.6000000000004</v>
      </c>
      <c r="D7" s="48">
        <v>10</v>
      </c>
      <c r="E7" s="89">
        <f>C7/D7</f>
        <v>320.96000000000004</v>
      </c>
    </row>
    <row r="8" spans="1:5" x14ac:dyDescent="0.25">
      <c r="A8" s="99"/>
      <c r="B8" s="93" t="s">
        <v>201</v>
      </c>
      <c r="C8" s="75">
        <f>2*Metrology!E21</f>
        <v>492.90039304557206</v>
      </c>
      <c r="D8" s="48">
        <v>10</v>
      </c>
      <c r="E8" s="89">
        <f>C8/D8</f>
        <v>49.290039304557205</v>
      </c>
    </row>
    <row r="9" spans="1:5" ht="15.75" thickBot="1" x14ac:dyDescent="0.3">
      <c r="A9" s="100"/>
      <c r="B9" s="94" t="s">
        <v>485</v>
      </c>
      <c r="C9" s="55">
        <f>Metrology!E25</f>
        <v>5390</v>
      </c>
      <c r="D9" s="90">
        <v>10</v>
      </c>
      <c r="E9" s="80">
        <f>C9/D9</f>
        <v>539</v>
      </c>
    </row>
    <row r="10" spans="1:5" x14ac:dyDescent="0.25">
      <c r="A10" s="101" t="s">
        <v>33</v>
      </c>
      <c r="B10" s="95" t="s">
        <v>262</v>
      </c>
      <c r="C10" s="51">
        <f>Energies!B7</f>
        <v>2874.8160000000003</v>
      </c>
      <c r="D10" s="50">
        <v>1</v>
      </c>
      <c r="E10" s="79">
        <f>C10/D10</f>
        <v>2874.8160000000003</v>
      </c>
    </row>
    <row r="11" spans="1:5" ht="30" x14ac:dyDescent="0.25">
      <c r="A11" s="102"/>
      <c r="B11" s="149" t="s">
        <v>263</v>
      </c>
      <c r="C11" s="20">
        <f>16*'General Data'!C7*'General Data'!C8*'General Data'!C12</f>
        <v>1999.4687999999999</v>
      </c>
      <c r="D11" s="19">
        <v>1</v>
      </c>
      <c r="E11" s="89">
        <f>C11/D11</f>
        <v>1999.4687999999999</v>
      </c>
    </row>
    <row r="12" spans="1:5" ht="15.75" thickBot="1" x14ac:dyDescent="0.3">
      <c r="A12" s="102"/>
      <c r="B12" s="96" t="s">
        <v>406</v>
      </c>
      <c r="C12" s="20">
        <f>Energies!C12*60</f>
        <v>132.96</v>
      </c>
      <c r="D12" s="19">
        <v>1</v>
      </c>
      <c r="E12" s="89">
        <f>C12/D12</f>
        <v>132.96</v>
      </c>
    </row>
    <row r="13" spans="1:5" x14ac:dyDescent="0.25">
      <c r="A13" s="104" t="s">
        <v>258</v>
      </c>
      <c r="B13" s="92" t="s">
        <v>140</v>
      </c>
      <c r="C13" s="51">
        <f>'General Data'!C6</f>
        <v>39809</v>
      </c>
      <c r="D13" s="67">
        <v>1</v>
      </c>
      <c r="E13" s="79">
        <f>C13/D13</f>
        <v>39809</v>
      </c>
    </row>
    <row r="14" spans="1:5" x14ac:dyDescent="0.25">
      <c r="A14" s="105"/>
      <c r="B14" s="93" t="s">
        <v>251</v>
      </c>
      <c r="C14" s="22">
        <f>'General Data'!C5*0.4</f>
        <v>27937.200000000001</v>
      </c>
      <c r="D14" s="48">
        <v>1</v>
      </c>
      <c r="E14" s="89">
        <f>C14/D14</f>
        <v>27937.200000000001</v>
      </c>
    </row>
    <row r="15" spans="1:5" x14ac:dyDescent="0.25">
      <c r="A15" s="105"/>
      <c r="B15" s="93" t="s">
        <v>486</v>
      </c>
      <c r="C15" s="22">
        <f>'Manpower &amp; time'!G12</f>
        <v>11403.29000000001</v>
      </c>
      <c r="D15" s="48">
        <v>1</v>
      </c>
      <c r="E15" s="89">
        <f>C15/D15</f>
        <v>11403.29000000001</v>
      </c>
    </row>
    <row r="16" spans="1:5" ht="15.75" thickBot="1" x14ac:dyDescent="0.3">
      <c r="A16" s="106"/>
      <c r="B16" s="94" t="s">
        <v>259</v>
      </c>
      <c r="C16" s="55">
        <f>'Manpower &amp; time'!C36</f>
        <v>13837.053999999998</v>
      </c>
      <c r="D16" s="90">
        <v>1</v>
      </c>
      <c r="E16" s="80">
        <f>C16/D16</f>
        <v>13837.053999999998</v>
      </c>
    </row>
    <row r="17" spans="1:5" x14ac:dyDescent="0.25">
      <c r="A17" s="107" t="s">
        <v>34</v>
      </c>
      <c r="B17" s="92" t="s">
        <v>35</v>
      </c>
      <c r="C17" s="51">
        <f>IT!E12+2*IT!E13+IT!E14+6*IT!E16+IT!E17+4*IT!E18+IT!E19</f>
        <v>6843.36</v>
      </c>
      <c r="D17" s="67">
        <v>3</v>
      </c>
      <c r="E17" s="79">
        <f>C17/D17</f>
        <v>2281.12</v>
      </c>
    </row>
    <row r="18" spans="1:5" x14ac:dyDescent="0.25">
      <c r="A18" s="108"/>
      <c r="B18" s="93" t="s">
        <v>206</v>
      </c>
      <c r="C18" s="22">
        <f>IT!E6</f>
        <v>192.96</v>
      </c>
      <c r="D18" s="48">
        <v>3</v>
      </c>
      <c r="E18" s="89">
        <f>C18/D18</f>
        <v>64.320000000000007</v>
      </c>
    </row>
    <row r="19" spans="1:5" ht="30" x14ac:dyDescent="0.25">
      <c r="A19" s="108"/>
      <c r="B19" s="151" t="s">
        <v>510</v>
      </c>
      <c r="C19" s="22">
        <f>2*IT!E7+IT!E8+2*IT!E9+IT!E10</f>
        <v>277.54199999999997</v>
      </c>
      <c r="D19" s="48">
        <v>1</v>
      </c>
      <c r="E19" s="89">
        <f>C19/D19</f>
        <v>277.54199999999997</v>
      </c>
    </row>
    <row r="20" spans="1:5" x14ac:dyDescent="0.25">
      <c r="A20" s="108"/>
      <c r="B20" s="93" t="s">
        <v>183</v>
      </c>
      <c r="C20" s="22">
        <f>IT!E4*12*3</f>
        <v>316.8</v>
      </c>
      <c r="D20" s="48">
        <v>1</v>
      </c>
      <c r="E20" s="89">
        <f>C20/D20</f>
        <v>316.8</v>
      </c>
    </row>
    <row r="21" spans="1:5" x14ac:dyDescent="0.25">
      <c r="A21" s="108"/>
      <c r="B21" s="93" t="s">
        <v>184</v>
      </c>
      <c r="C21" s="22">
        <f>IT!E3*2</f>
        <v>796.80000000000007</v>
      </c>
      <c r="D21" s="48">
        <v>1</v>
      </c>
      <c r="E21" s="89">
        <f>C21/D21</f>
        <v>796.80000000000007</v>
      </c>
    </row>
    <row r="22" spans="1:5" x14ac:dyDescent="0.25">
      <c r="A22" s="108"/>
      <c r="B22" s="93" t="s">
        <v>36</v>
      </c>
      <c r="C22" s="22">
        <f>12*IT!E21</f>
        <v>1224</v>
      </c>
      <c r="D22" s="48">
        <v>1</v>
      </c>
      <c r="E22" s="89">
        <f>C22/D22</f>
        <v>1224</v>
      </c>
    </row>
    <row r="23" spans="1:5" ht="15.75" thickBot="1" x14ac:dyDescent="0.3">
      <c r="A23" s="109"/>
      <c r="B23" s="94" t="s">
        <v>374</v>
      </c>
      <c r="C23" s="55">
        <f>IT!E24+IT!E23</f>
        <v>381</v>
      </c>
      <c r="D23" s="90">
        <v>3</v>
      </c>
      <c r="E23" s="80">
        <f>C23/D23</f>
        <v>127</v>
      </c>
    </row>
    <row r="24" spans="1:5" x14ac:dyDescent="0.25">
      <c r="A24" s="98" t="s">
        <v>368</v>
      </c>
      <c r="B24" s="92" t="s">
        <v>37</v>
      </c>
      <c r="C24" s="91">
        <v>200</v>
      </c>
      <c r="D24" s="67">
        <v>1</v>
      </c>
      <c r="E24" s="79">
        <f>C24/D24</f>
        <v>200</v>
      </c>
    </row>
    <row r="25" spans="1:5" ht="15.75" thickBot="1" x14ac:dyDescent="0.3">
      <c r="A25" s="100"/>
      <c r="B25" s="94" t="s">
        <v>308</v>
      </c>
      <c r="C25" s="55">
        <f>Office!D2*2+Office!D3*2+Office!D4*2+Office!D5*2+Office!D6+Office!D7+Office!D8*10</f>
        <v>10550</v>
      </c>
      <c r="D25" s="54">
        <v>10</v>
      </c>
      <c r="E25" s="80">
        <f>C25/D25</f>
        <v>1055</v>
      </c>
    </row>
    <row r="26" spans="1:5" ht="30" x14ac:dyDescent="0.25">
      <c r="A26" s="101" t="s">
        <v>39</v>
      </c>
      <c r="B26" s="150" t="s">
        <v>388</v>
      </c>
      <c r="C26" s="51">
        <f>SUM(Manufacturing!G3:G8)+Manufacturing!G9*4</f>
        <v>19442.431854396091</v>
      </c>
      <c r="D26" s="50">
        <v>10</v>
      </c>
      <c r="E26" s="79">
        <f>C26/D26</f>
        <v>1944.2431854396091</v>
      </c>
    </row>
    <row r="27" spans="1:5" x14ac:dyDescent="0.25">
      <c r="A27" s="102"/>
      <c r="B27" s="93" t="s">
        <v>376</v>
      </c>
      <c r="C27" s="22">
        <f>Manufacturing!G26</f>
        <v>3259</v>
      </c>
      <c r="D27" s="19">
        <v>10</v>
      </c>
      <c r="E27" s="89">
        <f>C27/D27</f>
        <v>325.89999999999998</v>
      </c>
    </row>
    <row r="28" spans="1:5" x14ac:dyDescent="0.25">
      <c r="A28" s="102"/>
      <c r="B28" s="93" t="s">
        <v>482</v>
      </c>
      <c r="C28" s="22">
        <f>Manufacturing!G27</f>
        <v>1031.54</v>
      </c>
      <c r="D28" s="19">
        <v>10</v>
      </c>
      <c r="E28" s="89">
        <f>C28/D28</f>
        <v>103.154</v>
      </c>
    </row>
    <row r="29" spans="1:5" x14ac:dyDescent="0.25">
      <c r="A29" s="102"/>
      <c r="B29" s="93" t="s">
        <v>297</v>
      </c>
      <c r="C29" s="22">
        <f>Manufacturing!G11*3+Manufacturing!G12*3</f>
        <v>8137.4519999999993</v>
      </c>
      <c r="D29" s="19">
        <v>10</v>
      </c>
      <c r="E29" s="89">
        <f>C29/D29</f>
        <v>813.74519999999995</v>
      </c>
    </row>
    <row r="30" spans="1:5" ht="30" x14ac:dyDescent="0.25">
      <c r="A30" s="102"/>
      <c r="B30" s="151" t="s">
        <v>351</v>
      </c>
      <c r="C30" s="22">
        <f>0.5*C29</f>
        <v>4068.7259999999997</v>
      </c>
      <c r="D30" s="19">
        <v>10</v>
      </c>
      <c r="E30" s="89">
        <f>C30/D30</f>
        <v>406.87259999999998</v>
      </c>
    </row>
    <row r="31" spans="1:5" x14ac:dyDescent="0.25">
      <c r="A31" s="102"/>
      <c r="B31" s="93" t="s">
        <v>352</v>
      </c>
      <c r="C31" s="22">
        <v>4000</v>
      </c>
      <c r="D31" s="19">
        <v>5</v>
      </c>
      <c r="E31" s="89">
        <f>C31/D31</f>
        <v>800</v>
      </c>
    </row>
    <row r="32" spans="1:5" x14ac:dyDescent="0.25">
      <c r="A32" s="102"/>
      <c r="B32" s="93" t="s">
        <v>353</v>
      </c>
      <c r="C32" s="22">
        <v>3000</v>
      </c>
      <c r="D32" s="19">
        <v>1</v>
      </c>
      <c r="E32" s="89">
        <f>C32/D32</f>
        <v>3000</v>
      </c>
    </row>
    <row r="33" spans="1:5" x14ac:dyDescent="0.25">
      <c r="A33" s="102"/>
      <c r="B33" s="93" t="s">
        <v>357</v>
      </c>
      <c r="C33" s="22">
        <f>Manufacturing!G24</f>
        <v>2302.5700000000002</v>
      </c>
      <c r="D33" s="19">
        <v>10</v>
      </c>
      <c r="E33" s="89">
        <f>C33/D33</f>
        <v>230.25700000000001</v>
      </c>
    </row>
    <row r="34" spans="1:5" x14ac:dyDescent="0.25">
      <c r="A34" s="102"/>
      <c r="B34" s="93" t="s">
        <v>40</v>
      </c>
      <c r="C34" s="22">
        <f>Manufacturing!G22*6+Manufacturing!G23*3</f>
        <v>7066.95</v>
      </c>
      <c r="D34" s="19">
        <v>10</v>
      </c>
      <c r="E34" s="89">
        <f>C34/D34</f>
        <v>706.69499999999994</v>
      </c>
    </row>
    <row r="35" spans="1:5" x14ac:dyDescent="0.25">
      <c r="A35" s="102"/>
      <c r="B35" s="93" t="s">
        <v>369</v>
      </c>
      <c r="C35" s="22">
        <f>Manufacturing!G16*5+Manufacturing!G17+Manufacturing!G18+Manufacturing!G19+Manufacturing!G20*3+Manufacturing!G21*30</f>
        <v>7110.13</v>
      </c>
      <c r="D35" s="19">
        <v>10</v>
      </c>
      <c r="E35" s="89">
        <f>C35/D35</f>
        <v>711.01300000000003</v>
      </c>
    </row>
    <row r="36" spans="1:5" x14ac:dyDescent="0.25">
      <c r="A36" s="102"/>
      <c r="B36" s="96" t="s">
        <v>349</v>
      </c>
      <c r="C36" s="22">
        <f>Manufacturing!G14</f>
        <v>12999</v>
      </c>
      <c r="D36" s="19">
        <v>10</v>
      </c>
      <c r="E36" s="89">
        <f>C36/D36</f>
        <v>1299.9000000000001</v>
      </c>
    </row>
    <row r="37" spans="1:5" x14ac:dyDescent="0.25">
      <c r="A37" s="102"/>
      <c r="B37" s="96" t="s">
        <v>350</v>
      </c>
      <c r="C37" s="22">
        <f>15*'General Data'!C12*'General Data'!C7*'General Data'!C8</f>
        <v>1874.5019999999997</v>
      </c>
      <c r="D37" s="19">
        <v>1</v>
      </c>
      <c r="E37" s="89">
        <f>C37/D37</f>
        <v>1874.5019999999997</v>
      </c>
    </row>
    <row r="38" spans="1:5" ht="15.75" thickBot="1" x14ac:dyDescent="0.3">
      <c r="A38" s="103"/>
      <c r="B38" s="97" t="s">
        <v>484</v>
      </c>
      <c r="C38" s="55">
        <f>2*Manufacturing!G29</f>
        <v>2150</v>
      </c>
      <c r="D38" s="54">
        <v>10</v>
      </c>
      <c r="E38" s="80">
        <f>C38/D38</f>
        <v>215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1C61-C5D4-40BE-A475-17B99680B5A7}">
  <sheetPr>
    <tabColor theme="5"/>
  </sheetPr>
  <dimension ref="A1:H42"/>
  <sheetViews>
    <sheetView workbookViewId="0">
      <selection sqref="A1:H42"/>
    </sheetView>
  </sheetViews>
  <sheetFormatPr defaultRowHeight="15" x14ac:dyDescent="0.25"/>
  <cols>
    <col min="1" max="1" width="63.5703125" bestFit="1" customWidth="1"/>
    <col min="3" max="3" width="30" bestFit="1" customWidth="1"/>
    <col min="6" max="6" width="13.140625" bestFit="1" customWidth="1"/>
    <col min="8" max="8" width="12" bestFit="1" customWidth="1"/>
  </cols>
  <sheetData>
    <row r="1" spans="1:8" x14ac:dyDescent="0.25">
      <c r="A1" s="249" t="s">
        <v>209</v>
      </c>
      <c r="B1" s="250"/>
      <c r="C1" s="250"/>
      <c r="D1" s="250"/>
      <c r="E1" s="250"/>
      <c r="F1" s="250"/>
      <c r="G1" s="250"/>
      <c r="H1" s="251"/>
    </row>
    <row r="2" spans="1:8" ht="45.75" thickBot="1" x14ac:dyDescent="0.3">
      <c r="A2" s="110" t="s">
        <v>15</v>
      </c>
      <c r="B2" s="111"/>
      <c r="C2" s="111" t="s">
        <v>16</v>
      </c>
      <c r="D2" s="111" t="s">
        <v>212</v>
      </c>
      <c r="E2" s="111" t="s">
        <v>217</v>
      </c>
      <c r="F2" s="111" t="s">
        <v>17</v>
      </c>
      <c r="G2" s="112" t="s">
        <v>373</v>
      </c>
      <c r="H2" s="113" t="s">
        <v>207</v>
      </c>
    </row>
    <row r="3" spans="1:8" x14ac:dyDescent="0.25">
      <c r="A3" s="227" t="s">
        <v>474</v>
      </c>
      <c r="B3" s="228"/>
      <c r="C3" s="92" t="s">
        <v>208</v>
      </c>
      <c r="D3" s="50" t="s">
        <v>213</v>
      </c>
      <c r="E3" s="50"/>
      <c r="F3" s="51">
        <f>'CNC mill'!B22</f>
        <v>108020</v>
      </c>
      <c r="G3" s="50">
        <v>10</v>
      </c>
      <c r="H3" s="52">
        <f>F3/G3</f>
        <v>10802</v>
      </c>
    </row>
    <row r="4" spans="1:8" x14ac:dyDescent="0.25">
      <c r="A4" s="37" t="s">
        <v>260</v>
      </c>
      <c r="B4" s="116">
        <v>22.4</v>
      </c>
      <c r="C4" s="93" t="s">
        <v>210</v>
      </c>
      <c r="D4" s="19" t="s">
        <v>213</v>
      </c>
      <c r="E4" s="19"/>
      <c r="F4" s="22">
        <f>'CNC mill'!B23*'CNC mill'!C23</f>
        <v>4000</v>
      </c>
      <c r="G4" s="19">
        <v>5</v>
      </c>
      <c r="H4" s="53">
        <f>F4/G4</f>
        <v>800</v>
      </c>
    </row>
    <row r="5" spans="1:8" x14ac:dyDescent="0.25">
      <c r="A5" s="37" t="s">
        <v>225</v>
      </c>
      <c r="B5" s="117">
        <f>'General Data'!C9</f>
        <v>0.8</v>
      </c>
      <c r="C5" s="93" t="s">
        <v>211</v>
      </c>
      <c r="D5" s="19" t="s">
        <v>213</v>
      </c>
      <c r="E5" s="19"/>
      <c r="F5" s="22">
        <f>'CNC mill'!B24</f>
        <v>2500</v>
      </c>
      <c r="G5" s="19">
        <v>5</v>
      </c>
      <c r="H5" s="53">
        <f>F5/G5</f>
        <v>500</v>
      </c>
    </row>
    <row r="6" spans="1:8" x14ac:dyDescent="0.25">
      <c r="A6" s="37" t="s">
        <v>226</v>
      </c>
      <c r="B6" s="116">
        <v>5</v>
      </c>
      <c r="C6" s="93" t="s">
        <v>22</v>
      </c>
      <c r="D6" s="19" t="s">
        <v>213</v>
      </c>
      <c r="E6" s="19" t="s">
        <v>218</v>
      </c>
      <c r="F6" s="22">
        <f>0.05*F3</f>
        <v>5401</v>
      </c>
      <c r="G6" s="19">
        <v>1</v>
      </c>
      <c r="H6" s="53">
        <f>F6/G6</f>
        <v>5401</v>
      </c>
    </row>
    <row r="7" spans="1:8" x14ac:dyDescent="0.25">
      <c r="A7" s="37" t="s">
        <v>475</v>
      </c>
      <c r="B7" s="118">
        <f>1/10000</f>
        <v>1E-4</v>
      </c>
      <c r="C7" s="93" t="s">
        <v>19</v>
      </c>
      <c r="D7" s="19" t="s">
        <v>214</v>
      </c>
      <c r="E7" s="19" t="s">
        <v>261</v>
      </c>
      <c r="F7" s="47">
        <f>B4*0.8*'General Data'!C12</f>
        <v>1.4031359999999997</v>
      </c>
      <c r="G7" s="19"/>
      <c r="H7" s="133"/>
    </row>
    <row r="8" spans="1:8" x14ac:dyDescent="0.25">
      <c r="A8" s="37" t="s">
        <v>514</v>
      </c>
      <c r="B8" s="118">
        <f>B7*0.5</f>
        <v>5.0000000000000002E-5</v>
      </c>
      <c r="C8" s="93" t="s">
        <v>216</v>
      </c>
      <c r="D8" s="19" t="s">
        <v>214</v>
      </c>
      <c r="E8" s="19" t="s">
        <v>266</v>
      </c>
      <c r="F8" s="20">
        <v>20</v>
      </c>
      <c r="G8" s="19"/>
      <c r="H8" s="133"/>
    </row>
    <row r="9" spans="1:8" x14ac:dyDescent="0.25">
      <c r="A9" s="37" t="s">
        <v>375</v>
      </c>
      <c r="B9" s="118">
        <f>B7*0.4</f>
        <v>4.0000000000000003E-5</v>
      </c>
      <c r="C9" s="93" t="s">
        <v>215</v>
      </c>
      <c r="D9" s="19" t="s">
        <v>214</v>
      </c>
      <c r="E9" s="19" t="s">
        <v>304</v>
      </c>
      <c r="F9" s="22">
        <f>1*'CNC mill'!F31</f>
        <v>88.025599999999997</v>
      </c>
      <c r="G9" s="19">
        <v>1</v>
      </c>
      <c r="H9" s="53">
        <f>F9/G9</f>
        <v>88.025599999999997</v>
      </c>
    </row>
    <row r="10" spans="1:8" ht="15.75" thickBot="1" x14ac:dyDescent="0.3">
      <c r="A10" s="134" t="s">
        <v>244</v>
      </c>
      <c r="B10" s="135">
        <v>20</v>
      </c>
      <c r="C10" s="94"/>
      <c r="D10" s="54"/>
      <c r="E10" s="54"/>
      <c r="F10" s="54"/>
      <c r="G10" s="54"/>
      <c r="H10" s="65"/>
    </row>
    <row r="11" spans="1:8" x14ac:dyDescent="0.25">
      <c r="A11" s="222" t="s">
        <v>18</v>
      </c>
      <c r="B11" s="261"/>
      <c r="C11" s="92" t="s">
        <v>316</v>
      </c>
      <c r="D11" s="50" t="s">
        <v>213</v>
      </c>
      <c r="E11" s="50"/>
      <c r="F11" s="136">
        <f>'CNC lathe'!B2</f>
        <v>133720</v>
      </c>
      <c r="G11" s="50">
        <v>10</v>
      </c>
      <c r="H11" s="52">
        <f>F11/G11</f>
        <v>13372</v>
      </c>
    </row>
    <row r="12" spans="1:8" x14ac:dyDescent="0.25">
      <c r="A12" s="35" t="s">
        <v>260</v>
      </c>
      <c r="B12" s="121">
        <v>29.8</v>
      </c>
      <c r="C12" s="93" t="s">
        <v>305</v>
      </c>
      <c r="D12" s="19" t="s">
        <v>213</v>
      </c>
      <c r="E12" s="19"/>
      <c r="F12" s="22">
        <f>12*'CNC lathe'!B6+6*'CNC lathe'!B7</f>
        <v>19200</v>
      </c>
      <c r="G12" s="19">
        <v>10</v>
      </c>
      <c r="H12" s="53">
        <f>F12/G12</f>
        <v>1920</v>
      </c>
    </row>
    <row r="13" spans="1:8" x14ac:dyDescent="0.25">
      <c r="A13" s="35" t="s">
        <v>225</v>
      </c>
      <c r="B13" s="122">
        <f>'General Data'!C9</f>
        <v>0.8</v>
      </c>
      <c r="C13" s="93" t="s">
        <v>318</v>
      </c>
      <c r="D13" s="19" t="s">
        <v>213</v>
      </c>
      <c r="E13" s="19"/>
      <c r="F13" s="22">
        <f>'CNC lathe'!B8*30</f>
        <v>4800</v>
      </c>
      <c r="G13" s="19">
        <v>5</v>
      </c>
      <c r="H13" s="53">
        <f>F13/G13</f>
        <v>960</v>
      </c>
    </row>
    <row r="14" spans="1:8" x14ac:dyDescent="0.25">
      <c r="A14" s="35" t="s">
        <v>226</v>
      </c>
      <c r="B14" s="121">
        <v>5</v>
      </c>
      <c r="C14" s="93" t="s">
        <v>22</v>
      </c>
      <c r="D14" s="19" t="s">
        <v>213</v>
      </c>
      <c r="E14" s="19" t="s">
        <v>218</v>
      </c>
      <c r="F14" s="20">
        <f>0.05*F11</f>
        <v>6686</v>
      </c>
      <c r="G14" s="19">
        <v>1</v>
      </c>
      <c r="H14" s="53">
        <f>F14/G14</f>
        <v>6686</v>
      </c>
    </row>
    <row r="15" spans="1:8" x14ac:dyDescent="0.25">
      <c r="A15" s="35" t="s">
        <v>475</v>
      </c>
      <c r="B15" s="123">
        <f>1/10000</f>
        <v>1E-4</v>
      </c>
      <c r="C15" s="93" t="s">
        <v>19</v>
      </c>
      <c r="D15" s="19" t="s">
        <v>214</v>
      </c>
      <c r="E15" s="19" t="s">
        <v>261</v>
      </c>
      <c r="F15" s="47">
        <f>B12*0.8*'General Data'!C12</f>
        <v>1.8666720000000001</v>
      </c>
      <c r="G15" s="19"/>
      <c r="H15" s="133"/>
    </row>
    <row r="16" spans="1:8" x14ac:dyDescent="0.25">
      <c r="A16" s="35" t="s">
        <v>513</v>
      </c>
      <c r="B16" s="123">
        <f>B15*0.5</f>
        <v>5.0000000000000002E-5</v>
      </c>
      <c r="C16" s="93" t="s">
        <v>216</v>
      </c>
      <c r="D16" s="19" t="s">
        <v>214</v>
      </c>
      <c r="E16" s="19" t="s">
        <v>261</v>
      </c>
      <c r="F16" s="20">
        <v>10</v>
      </c>
      <c r="G16" s="19"/>
      <c r="H16" s="133"/>
    </row>
    <row r="17" spans="1:8" x14ac:dyDescent="0.25">
      <c r="A17" s="35" t="s">
        <v>375</v>
      </c>
      <c r="B17" s="123">
        <f>B15*0.4</f>
        <v>4.0000000000000003E-5</v>
      </c>
      <c r="C17" s="93" t="s">
        <v>215</v>
      </c>
      <c r="D17" s="19" t="s">
        <v>214</v>
      </c>
      <c r="E17" s="19" t="s">
        <v>304</v>
      </c>
      <c r="F17" s="22">
        <f>'CNC lathe'!F14</f>
        <v>88.025599999999997</v>
      </c>
      <c r="G17" s="19">
        <v>1</v>
      </c>
      <c r="H17" s="53">
        <f>F17/G17</f>
        <v>88.025599999999997</v>
      </c>
    </row>
    <row r="18" spans="1:8" ht="15.75" thickBot="1" x14ac:dyDescent="0.3">
      <c r="A18" s="217" t="s">
        <v>244</v>
      </c>
      <c r="B18" s="132">
        <v>15</v>
      </c>
      <c r="C18" s="94"/>
      <c r="D18" s="54"/>
      <c r="E18" s="54"/>
      <c r="F18" s="54"/>
      <c r="G18" s="54"/>
      <c r="H18" s="65"/>
    </row>
    <row r="19" spans="1:8" x14ac:dyDescent="0.25">
      <c r="A19" s="229" t="s">
        <v>20</v>
      </c>
      <c r="B19" s="230"/>
      <c r="C19" s="92" t="s">
        <v>21</v>
      </c>
      <c r="D19" s="50" t="s">
        <v>213</v>
      </c>
      <c r="E19" s="50"/>
      <c r="F19" s="51">
        <f>'Laser cutter'!G4</f>
        <v>185010.26875818847</v>
      </c>
      <c r="G19" s="50">
        <v>10</v>
      </c>
      <c r="H19" s="52">
        <f>F19/G19</f>
        <v>18501.026875818847</v>
      </c>
    </row>
    <row r="20" spans="1:8" x14ac:dyDescent="0.25">
      <c r="A20" s="34" t="s">
        <v>260</v>
      </c>
      <c r="B20" s="124">
        <v>7.5</v>
      </c>
      <c r="C20" s="93" t="s">
        <v>22</v>
      </c>
      <c r="D20" s="19" t="s">
        <v>213</v>
      </c>
      <c r="E20" s="19" t="s">
        <v>218</v>
      </c>
      <c r="F20" s="22">
        <f>0.05*F19</f>
        <v>9250.5134379094234</v>
      </c>
      <c r="G20" s="19">
        <v>1</v>
      </c>
      <c r="H20" s="53">
        <f>F20/G20</f>
        <v>9250.5134379094234</v>
      </c>
    </row>
    <row r="21" spans="1:8" x14ac:dyDescent="0.25">
      <c r="A21" s="34" t="s">
        <v>225</v>
      </c>
      <c r="B21" s="125">
        <v>0.7</v>
      </c>
      <c r="C21" s="93" t="s">
        <v>23</v>
      </c>
      <c r="D21" s="19" t="s">
        <v>214</v>
      </c>
      <c r="E21" s="19" t="s">
        <v>261</v>
      </c>
      <c r="F21" s="47">
        <f>B20*0.8*'General Data'!C12</f>
        <v>0.4698</v>
      </c>
      <c r="G21" s="19"/>
      <c r="H21" s="133"/>
    </row>
    <row r="22" spans="1:8" x14ac:dyDescent="0.25">
      <c r="A22" s="34" t="s">
        <v>226</v>
      </c>
      <c r="B22" s="124">
        <v>5</v>
      </c>
      <c r="C22" s="93" t="s">
        <v>402</v>
      </c>
      <c r="D22" s="19" t="s">
        <v>214</v>
      </c>
      <c r="E22" s="19" t="s">
        <v>261</v>
      </c>
      <c r="F22" s="22">
        <f>'Laser cutter'!G5/20</f>
        <v>5.0728</v>
      </c>
      <c r="G22" s="19"/>
      <c r="H22" s="133"/>
    </row>
    <row r="23" spans="1:8" x14ac:dyDescent="0.25">
      <c r="A23" s="34" t="s">
        <v>476</v>
      </c>
      <c r="B23" s="126">
        <v>4.6000000000000001E-4</v>
      </c>
      <c r="C23" s="114"/>
      <c r="D23" s="76"/>
      <c r="E23" s="76"/>
      <c r="F23" s="76"/>
      <c r="G23" s="76"/>
      <c r="H23" s="137"/>
    </row>
    <row r="24" spans="1:8" x14ac:dyDescent="0.25">
      <c r="A24" s="34" t="s">
        <v>499</v>
      </c>
      <c r="B24" s="127">
        <v>1.5</v>
      </c>
      <c r="C24" s="114"/>
      <c r="D24" s="77"/>
      <c r="E24" s="76"/>
      <c r="F24" s="77"/>
      <c r="G24" s="76"/>
      <c r="H24" s="138"/>
    </row>
    <row r="25" spans="1:8" x14ac:dyDescent="0.25">
      <c r="A25" s="34" t="s">
        <v>500</v>
      </c>
      <c r="B25" s="127">
        <v>1</v>
      </c>
      <c r="C25" s="115"/>
      <c r="D25" s="78"/>
      <c r="E25" s="78"/>
      <c r="F25" s="78"/>
      <c r="G25" s="78"/>
      <c r="H25" s="139"/>
    </row>
    <row r="26" spans="1:8" ht="15.75" thickBot="1" x14ac:dyDescent="0.3">
      <c r="A26" s="140" t="s">
        <v>342</v>
      </c>
      <c r="B26" s="141">
        <v>8</v>
      </c>
      <c r="C26" s="94"/>
      <c r="D26" s="54"/>
      <c r="E26" s="54"/>
      <c r="F26" s="54"/>
      <c r="G26" s="54"/>
      <c r="H26" s="65"/>
    </row>
    <row r="27" spans="1:8" x14ac:dyDescent="0.25">
      <c r="A27" s="39" t="s">
        <v>24</v>
      </c>
      <c r="B27" s="142"/>
      <c r="C27" s="92" t="s">
        <v>238</v>
      </c>
      <c r="D27" s="50" t="s">
        <v>213</v>
      </c>
      <c r="E27" s="50"/>
      <c r="F27" s="51">
        <f>Welding!F2+Welding!F3</f>
        <v>5308.6</v>
      </c>
      <c r="G27" s="50">
        <v>10</v>
      </c>
      <c r="H27" s="52">
        <f>F27/G27</f>
        <v>530.86</v>
      </c>
    </row>
    <row r="28" spans="1:8" x14ac:dyDescent="0.25">
      <c r="A28" s="37"/>
      <c r="B28" s="116"/>
      <c r="C28" s="93" t="s">
        <v>38</v>
      </c>
      <c r="D28" s="19" t="s">
        <v>213</v>
      </c>
      <c r="E28" s="19"/>
      <c r="F28" s="22">
        <f>Welding!F4</f>
        <v>3859.6</v>
      </c>
      <c r="G28" s="19">
        <v>10</v>
      </c>
      <c r="H28" s="53">
        <f>F28/G28</f>
        <v>385.96</v>
      </c>
    </row>
    <row r="29" spans="1:8" x14ac:dyDescent="0.25">
      <c r="A29" s="37" t="s">
        <v>225</v>
      </c>
      <c r="B29" s="117">
        <f>'General Data'!C9</f>
        <v>0.8</v>
      </c>
      <c r="C29" s="93" t="s">
        <v>243</v>
      </c>
      <c r="D29" s="19" t="s">
        <v>213</v>
      </c>
      <c r="E29" s="19"/>
      <c r="F29" s="22">
        <f>Welding!F6</f>
        <v>146</v>
      </c>
      <c r="G29" s="19">
        <v>5</v>
      </c>
      <c r="H29" s="53">
        <f>F29/G29</f>
        <v>29.2</v>
      </c>
    </row>
    <row r="30" spans="1:8" x14ac:dyDescent="0.25">
      <c r="A30" s="37" t="s">
        <v>450</v>
      </c>
      <c r="B30" s="128">
        <f>Welding!B32</f>
        <v>140.43083213990764</v>
      </c>
      <c r="C30" s="93" t="s">
        <v>27</v>
      </c>
      <c r="D30" s="19" t="s">
        <v>213</v>
      </c>
      <c r="E30" s="19"/>
      <c r="F30" s="22">
        <f>Welding!F6+Welding!F7</f>
        <v>196</v>
      </c>
      <c r="G30" s="19">
        <v>2</v>
      </c>
      <c r="H30" s="53">
        <f>F30/G30</f>
        <v>98</v>
      </c>
    </row>
    <row r="31" spans="1:8" x14ac:dyDescent="0.25">
      <c r="A31" s="37"/>
      <c r="B31" s="116"/>
      <c r="C31" s="93" t="s">
        <v>230</v>
      </c>
      <c r="D31" s="19" t="s">
        <v>213</v>
      </c>
      <c r="E31" s="19"/>
      <c r="F31" s="22">
        <f>Welding!F5</f>
        <v>8579</v>
      </c>
      <c r="G31" s="19">
        <v>10</v>
      </c>
      <c r="H31" s="53">
        <f>F31/G31</f>
        <v>857.9</v>
      </c>
    </row>
    <row r="32" spans="1:8" x14ac:dyDescent="0.25">
      <c r="A32" s="37"/>
      <c r="B32" s="116"/>
      <c r="C32" s="93" t="s">
        <v>22</v>
      </c>
      <c r="D32" s="19" t="s">
        <v>213</v>
      </c>
      <c r="E32" s="19" t="s">
        <v>242</v>
      </c>
      <c r="F32" s="22">
        <f>0.03*(F27+F28)</f>
        <v>275.04599999999999</v>
      </c>
      <c r="G32" s="19">
        <v>1</v>
      </c>
      <c r="H32" s="53">
        <f>F32/G32</f>
        <v>275.04599999999999</v>
      </c>
    </row>
    <row r="33" spans="1:8" x14ac:dyDescent="0.25">
      <c r="A33" s="37"/>
      <c r="B33" s="116"/>
      <c r="C33" s="93" t="s">
        <v>19</v>
      </c>
      <c r="D33" s="19" t="s">
        <v>214</v>
      </c>
      <c r="E33" s="19" t="s">
        <v>508</v>
      </c>
      <c r="F33" s="47">
        <f>(0.75+0.5)*'General Data'!C12</f>
        <v>9.787499999999999E-2</v>
      </c>
      <c r="G33" s="19"/>
      <c r="H33" s="133"/>
    </row>
    <row r="34" spans="1:8" x14ac:dyDescent="0.25">
      <c r="A34" s="119"/>
      <c r="B34" s="120"/>
      <c r="C34" s="93" t="s">
        <v>448</v>
      </c>
      <c r="D34" s="266" t="s">
        <v>214</v>
      </c>
      <c r="E34" s="267" t="s">
        <v>447</v>
      </c>
      <c r="F34" s="22">
        <f>Welding!B29</f>
        <v>8.5247116655159064E-2</v>
      </c>
      <c r="G34" s="19"/>
      <c r="H34" s="133"/>
    </row>
    <row r="35" spans="1:8" x14ac:dyDescent="0.25">
      <c r="A35" s="129"/>
      <c r="B35" s="130"/>
      <c r="C35" s="93" t="s">
        <v>449</v>
      </c>
      <c r="D35" s="266"/>
      <c r="E35" s="267"/>
      <c r="F35" s="22">
        <f>Welding!B23</f>
        <v>5.0185057685504804E-2</v>
      </c>
      <c r="G35" s="19"/>
      <c r="H35" s="133"/>
    </row>
    <row r="36" spans="1:8" ht="15.75" thickBot="1" x14ac:dyDescent="0.3">
      <c r="A36" s="16"/>
      <c r="B36" s="143"/>
      <c r="C36" s="94" t="s">
        <v>231</v>
      </c>
      <c r="D36" s="54" t="s">
        <v>214</v>
      </c>
      <c r="E36" s="54" t="s">
        <v>447</v>
      </c>
      <c r="F36" s="55">
        <f>Welding!B17</f>
        <v>14.354066985645932</v>
      </c>
      <c r="G36" s="54"/>
      <c r="H36" s="65"/>
    </row>
    <row r="37" spans="1:8" x14ac:dyDescent="0.25">
      <c r="A37" s="222" t="s">
        <v>389</v>
      </c>
      <c r="B37" s="261"/>
      <c r="C37" s="92" t="s">
        <v>453</v>
      </c>
      <c r="D37" s="50" t="s">
        <v>213</v>
      </c>
      <c r="E37" s="50"/>
      <c r="F37" s="136">
        <f>'Conventionnal machinning'!B2</f>
        <v>15000</v>
      </c>
      <c r="G37" s="50">
        <v>10</v>
      </c>
      <c r="H37" s="52">
        <f>F37/G37</f>
        <v>1500</v>
      </c>
    </row>
    <row r="38" spans="1:8" x14ac:dyDescent="0.25">
      <c r="A38" s="35" t="s">
        <v>260</v>
      </c>
      <c r="B38" s="121">
        <v>6</v>
      </c>
      <c r="C38" s="93" t="s">
        <v>459</v>
      </c>
      <c r="D38" s="19" t="s">
        <v>213</v>
      </c>
      <c r="E38" s="19"/>
      <c r="F38" s="22">
        <f>'Conventionnal machinning'!B3</f>
        <v>10000</v>
      </c>
      <c r="G38" s="19">
        <v>10</v>
      </c>
      <c r="H38" s="53">
        <f>F38/G38</f>
        <v>1000</v>
      </c>
    </row>
    <row r="39" spans="1:8" x14ac:dyDescent="0.25">
      <c r="A39" s="35" t="s">
        <v>225</v>
      </c>
      <c r="B39" s="122">
        <v>0.44</v>
      </c>
      <c r="C39" s="93" t="s">
        <v>467</v>
      </c>
      <c r="D39" s="19" t="s">
        <v>213</v>
      </c>
      <c r="E39" s="19"/>
      <c r="F39" s="22">
        <f>(F5+F4+F12+F13)*0.25</f>
        <v>7625</v>
      </c>
      <c r="G39" s="19">
        <v>5</v>
      </c>
      <c r="H39" s="53">
        <f>F39/G39</f>
        <v>1525</v>
      </c>
    </row>
    <row r="40" spans="1:8" x14ac:dyDescent="0.25">
      <c r="A40" s="35" t="s">
        <v>226</v>
      </c>
      <c r="B40" s="121">
        <v>5</v>
      </c>
      <c r="C40" s="93" t="s">
        <v>22</v>
      </c>
      <c r="D40" s="19" t="s">
        <v>213</v>
      </c>
      <c r="E40" s="19" t="s">
        <v>460</v>
      </c>
      <c r="F40" s="20">
        <f>0.03*(F38+F37)</f>
        <v>750</v>
      </c>
      <c r="G40" s="19">
        <v>1</v>
      </c>
      <c r="H40" s="53">
        <f>F40/G40</f>
        <v>750</v>
      </c>
    </row>
    <row r="41" spans="1:8" x14ac:dyDescent="0.25">
      <c r="A41" s="35" t="s">
        <v>477</v>
      </c>
      <c r="B41" s="123">
        <f>3*1/10000</f>
        <v>2.9999999999999997E-4</v>
      </c>
      <c r="C41" s="93" t="s">
        <v>19</v>
      </c>
      <c r="D41" s="19" t="s">
        <v>214</v>
      </c>
      <c r="E41" s="19" t="s">
        <v>261</v>
      </c>
      <c r="F41" s="47">
        <f>B38*0.8*'General Data'!C12</f>
        <v>0.37584000000000001</v>
      </c>
      <c r="G41" s="19"/>
      <c r="H41" s="133"/>
    </row>
    <row r="42" spans="1:8" ht="15.75" thickBot="1" x14ac:dyDescent="0.3">
      <c r="A42" s="131" t="s">
        <v>244</v>
      </c>
      <c r="B42" s="132">
        <v>10</v>
      </c>
      <c r="C42" s="94" t="s">
        <v>461</v>
      </c>
      <c r="D42" s="54" t="s">
        <v>214</v>
      </c>
      <c r="E42" s="54" t="s">
        <v>261</v>
      </c>
      <c r="F42" s="144">
        <v>10</v>
      </c>
      <c r="G42" s="54"/>
      <c r="H42" s="65"/>
    </row>
  </sheetData>
  <mergeCells count="7">
    <mergeCell ref="A1:H1"/>
    <mergeCell ref="A37:B37"/>
    <mergeCell ref="A11:B11"/>
    <mergeCell ref="D34:D35"/>
    <mergeCell ref="E34:E35"/>
    <mergeCell ref="A3:B3"/>
    <mergeCell ref="A1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zoomScale="77" workbookViewId="0">
      <selection activeCell="E18" sqref="E18"/>
    </sheetView>
  </sheetViews>
  <sheetFormatPr defaultColWidth="11.42578125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74" t="s">
        <v>204</v>
      </c>
      <c r="B1" s="159" t="s">
        <v>25</v>
      </c>
      <c r="C1" s="281" t="s">
        <v>204</v>
      </c>
      <c r="D1" s="281"/>
      <c r="E1" s="281"/>
      <c r="F1" s="282"/>
    </row>
    <row r="2" spans="1:8" x14ac:dyDescent="0.25">
      <c r="A2" s="275"/>
      <c r="B2" s="152" t="s">
        <v>141</v>
      </c>
      <c r="C2" s="283" t="s">
        <v>98</v>
      </c>
      <c r="D2" s="283"/>
      <c r="E2" s="283"/>
      <c r="F2" s="284"/>
    </row>
    <row r="3" spans="1:8" x14ac:dyDescent="0.25">
      <c r="A3" s="275"/>
      <c r="B3" s="153" t="s">
        <v>142</v>
      </c>
      <c r="C3" s="285" t="s">
        <v>99</v>
      </c>
      <c r="D3" s="285"/>
      <c r="E3" s="285"/>
      <c r="F3" s="286"/>
    </row>
    <row r="4" spans="1:8" ht="15.75" thickBot="1" x14ac:dyDescent="0.3">
      <c r="A4" s="276"/>
      <c r="B4" s="155" t="s">
        <v>145</v>
      </c>
      <c r="C4" s="287" t="s">
        <v>144</v>
      </c>
      <c r="D4" s="287"/>
      <c r="E4" s="287"/>
      <c r="F4" s="288"/>
    </row>
    <row r="6" spans="1:8" ht="15.75" thickBot="1" x14ac:dyDescent="0.3"/>
    <row r="7" spans="1:8" ht="15.75" thickBot="1" x14ac:dyDescent="0.3">
      <c r="A7" s="277" t="s">
        <v>310</v>
      </c>
      <c r="B7" s="159" t="s">
        <v>515</v>
      </c>
      <c r="C7" s="170" t="s">
        <v>516</v>
      </c>
      <c r="D7" s="170" t="s">
        <v>517</v>
      </c>
      <c r="E7" s="170" t="s">
        <v>518</v>
      </c>
      <c r="F7" s="170" t="s">
        <v>254</v>
      </c>
      <c r="G7" s="170" t="s">
        <v>466</v>
      </c>
      <c r="H7" s="160" t="s">
        <v>253</v>
      </c>
    </row>
    <row r="8" spans="1:8" x14ac:dyDescent="0.25">
      <c r="A8" s="278"/>
      <c r="B8" s="157" t="s">
        <v>143</v>
      </c>
      <c r="C8" s="161">
        <v>1592</v>
      </c>
      <c r="D8" s="161">
        <v>21376</v>
      </c>
      <c r="E8" s="161">
        <f>D8*'General Data'!$C$10</f>
        <v>20307.2</v>
      </c>
      <c r="F8" s="162">
        <v>4.5</v>
      </c>
      <c r="G8" s="163">
        <f>D8*(1-'General Data'!$C$10)*F8</f>
        <v>4809.600000000004</v>
      </c>
      <c r="H8" s="147">
        <f>E8*'General Data'!$C$10/$C$22</f>
        <v>12.723809523809523</v>
      </c>
    </row>
    <row r="9" spans="1:8" x14ac:dyDescent="0.25">
      <c r="A9" s="278"/>
      <c r="B9" s="153" t="s">
        <v>228</v>
      </c>
      <c r="C9" s="20">
        <v>2438</v>
      </c>
      <c r="D9" s="20">
        <v>39809</v>
      </c>
      <c r="E9" s="20">
        <f>D9*'General Data'!$C$10</f>
        <v>37818.549999999996</v>
      </c>
      <c r="F9" s="19">
        <v>1</v>
      </c>
      <c r="G9" s="22">
        <f>D9*(1-'General Data'!$C$10)*F9</f>
        <v>1990.4500000000019</v>
      </c>
      <c r="H9" s="147">
        <f>E9*'General Data'!$C$10/$C$22</f>
        <v>23.695833333333333</v>
      </c>
    </row>
    <row r="10" spans="1:8" x14ac:dyDescent="0.25">
      <c r="A10" s="278"/>
      <c r="B10" s="153" t="s">
        <v>463</v>
      </c>
      <c r="C10" s="20">
        <v>3077</v>
      </c>
      <c r="D10" s="20">
        <v>50159</v>
      </c>
      <c r="E10" s="20">
        <f>D10*'General Data'!$C$10</f>
        <v>47651.049999999996</v>
      </c>
      <c r="F10" s="19">
        <v>1</v>
      </c>
      <c r="G10" s="22">
        <f>D10*(1-'General Data'!$C$10)*F10</f>
        <v>2507.9500000000021</v>
      </c>
      <c r="H10" s="147">
        <f>E10*'General Data'!$C$10/$C$22</f>
        <v>29.85654761904761</v>
      </c>
    </row>
    <row r="11" spans="1:8" ht="15.75" thickBot="1" x14ac:dyDescent="0.3">
      <c r="A11" s="279"/>
      <c r="B11" s="155" t="s">
        <v>229</v>
      </c>
      <c r="C11" s="144">
        <v>4104</v>
      </c>
      <c r="D11" s="144">
        <v>69843</v>
      </c>
      <c r="E11" s="171">
        <f>D11*'General Data'!$C$10</f>
        <v>66350.849999999991</v>
      </c>
      <c r="F11" s="172">
        <v>0.6</v>
      </c>
      <c r="G11" s="173">
        <f>D11*(1-'General Data'!$C$10)*F11</f>
        <v>2095.2900000000018</v>
      </c>
      <c r="H11" s="147">
        <f>E11*'General Data'!$C$10/$C$22</f>
        <v>41.573214285714279</v>
      </c>
    </row>
    <row r="12" spans="1:8" ht="15.75" thickBot="1" x14ac:dyDescent="0.3">
      <c r="E12" s="159" t="s">
        <v>246</v>
      </c>
      <c r="F12" s="167">
        <f>SUM(F11+F9+F8)</f>
        <v>6.1</v>
      </c>
      <c r="G12" s="174">
        <f>G11+G9+G8+G10</f>
        <v>11403.29000000001</v>
      </c>
    </row>
    <row r="14" spans="1:8" ht="15.75" thickBot="1" x14ac:dyDescent="0.3">
      <c r="A14" s="175"/>
    </row>
    <row r="15" spans="1:8" ht="15.75" customHeight="1" thickBot="1" x14ac:dyDescent="0.3">
      <c r="A15" s="270" t="s">
        <v>519</v>
      </c>
      <c r="B15" s="159" t="s">
        <v>16</v>
      </c>
      <c r="C15" s="160" t="s">
        <v>42</v>
      </c>
    </row>
    <row r="16" spans="1:8" x14ac:dyDescent="0.25">
      <c r="A16" s="280"/>
      <c r="B16" s="178" t="s">
        <v>146</v>
      </c>
      <c r="C16" s="179">
        <v>365</v>
      </c>
    </row>
    <row r="17" spans="1:12" x14ac:dyDescent="0.25">
      <c r="A17" s="280"/>
      <c r="B17" s="93" t="s">
        <v>147</v>
      </c>
      <c r="C17" s="133">
        <v>104</v>
      </c>
    </row>
    <row r="18" spans="1:12" x14ac:dyDescent="0.25">
      <c r="A18" s="280"/>
      <c r="B18" s="93" t="s">
        <v>148</v>
      </c>
      <c r="C18" s="133">
        <v>8</v>
      </c>
    </row>
    <row r="19" spans="1:12" x14ac:dyDescent="0.25">
      <c r="A19" s="280"/>
      <c r="B19" s="93" t="s">
        <v>149</v>
      </c>
      <c r="C19" s="133">
        <v>25</v>
      </c>
    </row>
    <row r="20" spans="1:12" x14ac:dyDescent="0.25">
      <c r="A20" s="280"/>
      <c r="B20" s="93" t="s">
        <v>150</v>
      </c>
      <c r="C20" s="133">
        <f>C16-C17-C18-C19</f>
        <v>228</v>
      </c>
    </row>
    <row r="21" spans="1:12" x14ac:dyDescent="0.25">
      <c r="A21" s="280"/>
      <c r="B21" s="93" t="s">
        <v>151</v>
      </c>
      <c r="C21" s="57">
        <f>C20/5</f>
        <v>45.6</v>
      </c>
    </row>
    <row r="22" spans="1:12" ht="15.75" thickBot="1" x14ac:dyDescent="0.3">
      <c r="A22" s="271"/>
      <c r="B22" s="94" t="s">
        <v>465</v>
      </c>
      <c r="C22" s="65">
        <f>'General Data'!$C$10*'General Data'!$C$8*'General Data'!$C$7</f>
        <v>1516.2</v>
      </c>
    </row>
    <row r="25" spans="1:12" ht="15.75" thickBot="1" x14ac:dyDescent="0.3"/>
    <row r="26" spans="1:12" ht="15" customHeight="1" thickBot="1" x14ac:dyDescent="0.3">
      <c r="A26" s="270" t="s">
        <v>521</v>
      </c>
      <c r="B26" s="164"/>
      <c r="C26" s="170" t="s">
        <v>247</v>
      </c>
      <c r="D26" s="170" t="s">
        <v>248</v>
      </c>
      <c r="E26" s="170" t="s">
        <v>390</v>
      </c>
      <c r="F26" s="170" t="s">
        <v>391</v>
      </c>
      <c r="G26" s="170" t="s">
        <v>389</v>
      </c>
      <c r="H26" s="170" t="s">
        <v>249</v>
      </c>
      <c r="I26" s="170" t="s">
        <v>250</v>
      </c>
      <c r="J26" s="170" t="s">
        <v>29</v>
      </c>
      <c r="K26" s="187" t="s">
        <v>22</v>
      </c>
      <c r="L26" s="188" t="s">
        <v>252</v>
      </c>
    </row>
    <row r="27" spans="1:12" x14ac:dyDescent="0.25">
      <c r="A27" s="280"/>
      <c r="B27" s="189" t="s">
        <v>143</v>
      </c>
      <c r="C27" s="178">
        <v>0.85</v>
      </c>
      <c r="D27" s="162">
        <v>0.85</v>
      </c>
      <c r="E27" s="162">
        <v>0.3</v>
      </c>
      <c r="F27" s="162">
        <v>0.85</v>
      </c>
      <c r="G27" s="162">
        <v>0.47</v>
      </c>
      <c r="H27" s="162"/>
      <c r="I27" s="162">
        <v>0.65</v>
      </c>
      <c r="J27" s="162">
        <v>0.41</v>
      </c>
      <c r="K27" s="185">
        <v>0.12</v>
      </c>
      <c r="L27" s="186">
        <f>SUM(C27:K27)</f>
        <v>4.5</v>
      </c>
    </row>
    <row r="28" spans="1:12" x14ac:dyDescent="0.25">
      <c r="A28" s="280"/>
      <c r="B28" s="190" t="s">
        <v>228</v>
      </c>
      <c r="C28" s="93"/>
      <c r="D28" s="19"/>
      <c r="E28" s="19"/>
      <c r="F28" s="19"/>
      <c r="G28" s="19"/>
      <c r="H28" s="19"/>
      <c r="I28" s="19">
        <v>0.5</v>
      </c>
      <c r="J28" s="19">
        <v>0.5</v>
      </c>
      <c r="K28" s="181"/>
      <c r="L28" s="183">
        <f t="shared" ref="L28:L31" si="0">SUM(C28:K28)</f>
        <v>1</v>
      </c>
    </row>
    <row r="29" spans="1:12" x14ac:dyDescent="0.25">
      <c r="A29" s="280"/>
      <c r="B29" s="190" t="s">
        <v>462</v>
      </c>
      <c r="C29" s="93"/>
      <c r="D29" s="19"/>
      <c r="E29" s="19"/>
      <c r="F29" s="19"/>
      <c r="G29" s="19"/>
      <c r="H29" s="19">
        <v>0.85</v>
      </c>
      <c r="I29" s="19"/>
      <c r="J29" s="19">
        <v>0.05</v>
      </c>
      <c r="K29" s="181">
        <v>0.1</v>
      </c>
      <c r="L29" s="183">
        <f t="shared" si="0"/>
        <v>1</v>
      </c>
    </row>
    <row r="30" spans="1:12" x14ac:dyDescent="0.25">
      <c r="A30" s="280"/>
      <c r="B30" s="190" t="s">
        <v>229</v>
      </c>
      <c r="C30" s="93"/>
      <c r="D30" s="19"/>
      <c r="E30" s="19"/>
      <c r="F30" s="19"/>
      <c r="G30" s="19"/>
      <c r="H30" s="19"/>
      <c r="I30" s="19">
        <v>0.35</v>
      </c>
      <c r="J30" s="19">
        <v>0.15</v>
      </c>
      <c r="K30" s="181">
        <v>0.1</v>
      </c>
      <c r="L30" s="183">
        <f t="shared" si="0"/>
        <v>0.6</v>
      </c>
    </row>
    <row r="31" spans="1:12" x14ac:dyDescent="0.25">
      <c r="A31" s="280"/>
      <c r="B31" s="190" t="s">
        <v>522</v>
      </c>
      <c r="C31" s="93">
        <f t="shared" ref="C31:K31" si="1">$C$22*SUM(C27:C30)</f>
        <v>1288.77</v>
      </c>
      <c r="D31" s="19">
        <f t="shared" si="1"/>
        <v>1288.77</v>
      </c>
      <c r="E31" s="19">
        <f t="shared" si="1"/>
        <v>454.86</v>
      </c>
      <c r="F31" s="19">
        <f t="shared" si="1"/>
        <v>1288.77</v>
      </c>
      <c r="G31" s="19">
        <f t="shared" si="1"/>
        <v>712.61400000000003</v>
      </c>
      <c r="H31" s="19">
        <f t="shared" si="1"/>
        <v>1288.77</v>
      </c>
      <c r="I31" s="19">
        <f t="shared" si="1"/>
        <v>2274.3000000000002</v>
      </c>
      <c r="J31" s="19">
        <f t="shared" si="1"/>
        <v>1682.982</v>
      </c>
      <c r="K31" s="181">
        <f t="shared" si="1"/>
        <v>485.18400000000003</v>
      </c>
      <c r="L31" s="183">
        <f t="shared" si="0"/>
        <v>10765.019999999999</v>
      </c>
    </row>
    <row r="32" spans="1:12" x14ac:dyDescent="0.25">
      <c r="A32" s="280"/>
      <c r="B32" s="190" t="s">
        <v>523</v>
      </c>
      <c r="C32" s="93">
        <f>'General Data'!$C$9*'General Data'!$C$8*'General Data'!$C$7</f>
        <v>1276.8000000000002</v>
      </c>
      <c r="D32" s="19">
        <f>'General Data'!$C$9*'General Data'!$C$8*'General Data'!$C$7</f>
        <v>1276.8000000000002</v>
      </c>
      <c r="E32" s="19">
        <f>'Manufacturing Cost'!B21*'General Data'!$C$8*'General Data'!$C$7</f>
        <v>1117.2</v>
      </c>
      <c r="F32" s="19">
        <f>'General Data'!$C$9*'General Data'!$C$8*'General Data'!$C$7</f>
        <v>1276.8000000000002</v>
      </c>
      <c r="G32" s="19">
        <f>'Manufacturing Cost'!B39*'General Data'!$C$8*'General Data'!$C$7</f>
        <v>702.24</v>
      </c>
      <c r="H32" s="19">
        <f>'General Data'!$C$9*'General Data'!$C$8*'General Data'!$C$7</f>
        <v>1276.8000000000002</v>
      </c>
      <c r="I32" s="19">
        <f>0.5*C32*2+0.9*E32</f>
        <v>2282.2800000000002</v>
      </c>
      <c r="J32" s="19">
        <f>2*0.4*C32+E32*0.6</f>
        <v>1691.7600000000002</v>
      </c>
      <c r="K32" s="181">
        <f>0.06*'General Data'!C7*'General Data'!C8*5</f>
        <v>478.8</v>
      </c>
      <c r="L32" s="183">
        <f>SUM(C32:K32)-E32+E33</f>
        <v>10709.159999999998</v>
      </c>
    </row>
    <row r="33" spans="1:12" ht="15.75" thickBot="1" x14ac:dyDescent="0.3">
      <c r="A33" s="271"/>
      <c r="B33" s="191"/>
      <c r="C33" s="94"/>
      <c r="D33" s="54" t="s">
        <v>505</v>
      </c>
      <c r="E33" s="54">
        <f>E32*0.4</f>
        <v>446.88000000000005</v>
      </c>
      <c r="F33" s="54"/>
      <c r="G33" s="54"/>
      <c r="H33" s="54"/>
      <c r="I33" s="54"/>
      <c r="J33" s="54"/>
      <c r="K33" s="182"/>
      <c r="L33" s="184"/>
    </row>
    <row r="35" spans="1:12" ht="15.75" thickBot="1" x14ac:dyDescent="0.3"/>
    <row r="36" spans="1:12" ht="29.25" customHeight="1" x14ac:dyDescent="0.25">
      <c r="A36" s="270" t="s">
        <v>520</v>
      </c>
      <c r="B36" s="260" t="s">
        <v>257</v>
      </c>
      <c r="C36" s="272">
        <f>SUMPRODUCT(E8:E11*K27:K30)</f>
        <v>13837.053999999998</v>
      </c>
    </row>
    <row r="37" spans="1:12" ht="15.75" thickBot="1" x14ac:dyDescent="0.3">
      <c r="A37" s="271"/>
      <c r="B37" s="244"/>
      <c r="C37" s="273"/>
    </row>
    <row r="38" spans="1:12" x14ac:dyDescent="0.25">
      <c r="A38" s="180"/>
      <c r="C38" s="5"/>
    </row>
    <row r="39" spans="1:12" x14ac:dyDescent="0.25">
      <c r="A39" s="180"/>
    </row>
    <row r="40" spans="1:12" x14ac:dyDescent="0.25">
      <c r="A40" s="180"/>
    </row>
    <row r="41" spans="1:12" x14ac:dyDescent="0.25">
      <c r="A41" s="180"/>
    </row>
    <row r="42" spans="1:12" x14ac:dyDescent="0.25">
      <c r="A42" s="180"/>
    </row>
    <row r="43" spans="1:12" x14ac:dyDescent="0.25">
      <c r="A43" s="180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3" r:id="rId2" xr:uid="{57BD7899-887D-43DC-B562-ADBB9658383C}"/>
    <hyperlink ref="C4" r:id="rId3" xr:uid="{8217434D-7C07-4E8C-BA90-49CA24347AAE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B37" sqref="B37"/>
    </sheetView>
  </sheetViews>
  <sheetFormatPr defaultColWidth="11.42578125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89" t="s">
        <v>19</v>
      </c>
      <c r="B1" s="290"/>
      <c r="C1" s="290"/>
      <c r="D1" s="291"/>
    </row>
    <row r="2" spans="1:4" x14ac:dyDescent="0.25">
      <c r="A2" s="295" t="s">
        <v>527</v>
      </c>
      <c r="B2" s="299" t="s">
        <v>152</v>
      </c>
      <c r="C2" s="300"/>
      <c r="D2" s="301"/>
    </row>
    <row r="3" spans="1:4" x14ac:dyDescent="0.25">
      <c r="A3" s="296"/>
      <c r="B3" s="302" t="s">
        <v>264</v>
      </c>
      <c r="C3" s="303"/>
      <c r="D3" s="304"/>
    </row>
    <row r="4" spans="1:4" x14ac:dyDescent="0.25">
      <c r="A4" s="296"/>
      <c r="B4" s="302" t="s">
        <v>265</v>
      </c>
      <c r="C4" s="303"/>
      <c r="D4" s="304"/>
    </row>
    <row r="5" spans="1:4" x14ac:dyDescent="0.25">
      <c r="A5" s="192" t="s">
        <v>530</v>
      </c>
      <c r="B5" s="234">
        <v>38.64</v>
      </c>
      <c r="C5" s="235"/>
      <c r="D5" s="297"/>
    </row>
    <row r="6" spans="1:4" x14ac:dyDescent="0.25">
      <c r="A6" s="192" t="s">
        <v>528</v>
      </c>
      <c r="B6" s="234">
        <f>(24*2 + 7.5)*0.8+16+14</f>
        <v>74.400000000000006</v>
      </c>
      <c r="C6" s="235"/>
      <c r="D6" s="297"/>
    </row>
    <row r="7" spans="1:4" x14ac:dyDescent="0.25">
      <c r="A7" s="192" t="s">
        <v>529</v>
      </c>
      <c r="B7" s="234">
        <f>B6*B5</f>
        <v>2874.8160000000003</v>
      </c>
      <c r="C7" s="235"/>
      <c r="D7" s="297"/>
    </row>
    <row r="8" spans="1:4" ht="15.75" thickBot="1" x14ac:dyDescent="0.3">
      <c r="A8" s="193" t="s">
        <v>531</v>
      </c>
      <c r="B8" s="244">
        <v>7.8299999999999995E-2</v>
      </c>
      <c r="C8" s="245"/>
      <c r="D8" s="298"/>
    </row>
    <row r="9" spans="1:4" ht="15.75" thickBot="1" x14ac:dyDescent="0.3"/>
    <row r="10" spans="1:4" ht="15.75" thickBot="1" x14ac:dyDescent="0.3">
      <c r="A10" s="292" t="s">
        <v>526</v>
      </c>
      <c r="B10" s="293"/>
      <c r="C10" s="293"/>
      <c r="D10" s="294"/>
    </row>
    <row r="11" spans="1:4" x14ac:dyDescent="0.25">
      <c r="A11" s="157"/>
      <c r="B11" s="162" t="s">
        <v>524</v>
      </c>
      <c r="C11" s="162" t="s">
        <v>525</v>
      </c>
      <c r="D11" s="179" t="s">
        <v>204</v>
      </c>
    </row>
    <row r="12" spans="1:4" ht="18" thickBot="1" x14ac:dyDescent="0.3">
      <c r="A12" s="194" t="s">
        <v>532</v>
      </c>
      <c r="B12" s="144">
        <v>2.77</v>
      </c>
      <c r="C12" s="144">
        <f>B12*(1-'General Data'!C15)</f>
        <v>2.2160000000000002</v>
      </c>
      <c r="D12" s="156" t="s">
        <v>405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topLeftCell="B1" workbookViewId="0">
      <selection activeCell="A24" sqref="A24"/>
    </sheetView>
  </sheetViews>
  <sheetFormatPr defaultColWidth="11.42578125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88" t="s">
        <v>25</v>
      </c>
      <c r="B1" s="201" t="s">
        <v>192</v>
      </c>
      <c r="C1" s="170" t="s">
        <v>534</v>
      </c>
      <c r="D1" s="170" t="s">
        <v>533</v>
      </c>
      <c r="E1" s="170" t="s">
        <v>535</v>
      </c>
      <c r="F1" s="160" t="s">
        <v>204</v>
      </c>
    </row>
    <row r="2" spans="1:6" ht="30" x14ac:dyDescent="0.25">
      <c r="A2" s="202" t="s">
        <v>114</v>
      </c>
      <c r="B2" s="178" t="s">
        <v>110</v>
      </c>
      <c r="C2" s="162"/>
      <c r="D2" s="198">
        <v>149</v>
      </c>
      <c r="E2" s="199">
        <f>D2*(1-'General Data'!$C$15)</f>
        <v>119.2</v>
      </c>
      <c r="F2" s="205" t="s">
        <v>109</v>
      </c>
    </row>
    <row r="3" spans="1:6" ht="30" x14ac:dyDescent="0.25">
      <c r="A3" s="203" t="s">
        <v>112</v>
      </c>
      <c r="B3" s="93">
        <v>0.01</v>
      </c>
      <c r="C3" s="19"/>
      <c r="D3" s="195">
        <v>129</v>
      </c>
      <c r="E3" s="75">
        <f>D3*(1-'General Data'!$C$15)</f>
        <v>103.2</v>
      </c>
      <c r="F3" s="207" t="s">
        <v>111</v>
      </c>
    </row>
    <row r="4" spans="1:6" ht="30" x14ac:dyDescent="0.25">
      <c r="A4" s="203" t="s">
        <v>31</v>
      </c>
      <c r="B4" s="93">
        <v>0.01</v>
      </c>
      <c r="C4" s="19"/>
      <c r="D4" s="195">
        <v>60</v>
      </c>
      <c r="E4" s="75">
        <f>D4*(1-'General Data'!$C$15)</f>
        <v>48</v>
      </c>
      <c r="F4" s="207" t="s">
        <v>113</v>
      </c>
    </row>
    <row r="5" spans="1:6" x14ac:dyDescent="0.25">
      <c r="A5" s="203"/>
      <c r="B5" s="93"/>
      <c r="C5" s="19"/>
      <c r="D5" s="19"/>
      <c r="E5" s="75"/>
      <c r="F5" s="206"/>
    </row>
    <row r="6" spans="1:6" x14ac:dyDescent="0.25">
      <c r="A6" s="203" t="s">
        <v>116</v>
      </c>
      <c r="B6" s="93"/>
      <c r="C6" s="19"/>
      <c r="D6" s="195">
        <v>392</v>
      </c>
      <c r="E6" s="75">
        <f>D6*(1-'General Data'!$C$15)</f>
        <v>313.60000000000002</v>
      </c>
      <c r="F6" s="207" t="s">
        <v>115</v>
      </c>
    </row>
    <row r="7" spans="1:6" ht="30" x14ac:dyDescent="0.25">
      <c r="A7" s="203" t="s">
        <v>120</v>
      </c>
      <c r="B7" s="93"/>
      <c r="C7" s="19"/>
      <c r="D7" s="195">
        <v>167</v>
      </c>
      <c r="E7" s="75">
        <f>D7*(1-'General Data'!$C$15)</f>
        <v>133.6</v>
      </c>
      <c r="F7" s="207" t="s">
        <v>117</v>
      </c>
    </row>
    <row r="8" spans="1:6" ht="30" x14ac:dyDescent="0.25">
      <c r="A8" s="203" t="s">
        <v>119</v>
      </c>
      <c r="B8" s="93"/>
      <c r="C8" s="19"/>
      <c r="D8" s="195">
        <v>94</v>
      </c>
      <c r="E8" s="75">
        <f>D8*(1-'General Data'!$C$15)</f>
        <v>75.2</v>
      </c>
      <c r="F8" s="207" t="s">
        <v>118</v>
      </c>
    </row>
    <row r="9" spans="1:6" x14ac:dyDescent="0.25">
      <c r="A9" s="203"/>
      <c r="B9" s="93"/>
      <c r="C9" s="19"/>
      <c r="D9" s="19"/>
      <c r="E9" s="75"/>
      <c r="F9" s="206"/>
    </row>
    <row r="10" spans="1:6" ht="30" x14ac:dyDescent="0.25">
      <c r="A10" s="203" t="s">
        <v>121</v>
      </c>
      <c r="B10" s="93"/>
      <c r="C10" s="19"/>
      <c r="D10" s="195">
        <v>282</v>
      </c>
      <c r="E10" s="75">
        <f>D10*(1-'General Data'!$C$15)</f>
        <v>225.60000000000002</v>
      </c>
      <c r="F10" s="207" t="s">
        <v>122</v>
      </c>
    </row>
    <row r="11" spans="1:6" x14ac:dyDescent="0.25">
      <c r="A11" s="203" t="s">
        <v>124</v>
      </c>
      <c r="B11" s="93"/>
      <c r="C11" s="19"/>
      <c r="D11" s="195">
        <v>408</v>
      </c>
      <c r="E11" s="75">
        <f>D11*(1-'General Data'!$C$15)</f>
        <v>326.40000000000003</v>
      </c>
      <c r="F11" s="206"/>
    </row>
    <row r="12" spans="1:6" ht="30" x14ac:dyDescent="0.25">
      <c r="A12" s="203" t="s">
        <v>125</v>
      </c>
      <c r="B12" s="93"/>
      <c r="C12" s="19"/>
      <c r="D12" s="195">
        <v>3322</v>
      </c>
      <c r="E12" s="75">
        <f>D12*(1-'General Data'!$C$15)</f>
        <v>2657.6000000000004</v>
      </c>
      <c r="F12" s="207" t="s">
        <v>123</v>
      </c>
    </row>
    <row r="13" spans="1:6" x14ac:dyDescent="0.25">
      <c r="A13" s="203"/>
      <c r="B13" s="93"/>
      <c r="C13" s="19"/>
      <c r="D13" s="19"/>
      <c r="E13" s="75"/>
      <c r="F13" s="206"/>
    </row>
    <row r="14" spans="1:6" ht="30" x14ac:dyDescent="0.25">
      <c r="A14" s="305" t="s">
        <v>126</v>
      </c>
      <c r="B14" s="93" t="s">
        <v>127</v>
      </c>
      <c r="C14" s="19"/>
      <c r="D14" s="195">
        <v>1390</v>
      </c>
      <c r="E14" s="75">
        <f>D14*(1-'General Data'!$C$15)</f>
        <v>1112</v>
      </c>
      <c r="F14" s="207" t="s">
        <v>128</v>
      </c>
    </row>
    <row r="15" spans="1:6" ht="30" x14ac:dyDescent="0.25">
      <c r="A15" s="306"/>
      <c r="B15" s="93" t="s">
        <v>130</v>
      </c>
      <c r="C15" s="19"/>
      <c r="D15" s="195">
        <v>1202</v>
      </c>
      <c r="E15" s="75">
        <f>D15*(1-'General Data'!$C$15)</f>
        <v>961.6</v>
      </c>
      <c r="F15" s="207" t="s">
        <v>129</v>
      </c>
    </row>
    <row r="16" spans="1:6" ht="30" x14ac:dyDescent="0.25">
      <c r="A16" s="306"/>
      <c r="B16" s="93" t="s">
        <v>132</v>
      </c>
      <c r="C16" s="19"/>
      <c r="D16" s="195">
        <v>146</v>
      </c>
      <c r="E16" s="75">
        <f>D16*(1-'General Data'!$C$15)</f>
        <v>116.80000000000001</v>
      </c>
      <c r="F16" s="207" t="s">
        <v>131</v>
      </c>
    </row>
    <row r="17" spans="1:6" ht="30" x14ac:dyDescent="0.25">
      <c r="A17" s="307"/>
      <c r="B17" s="93" t="s">
        <v>134</v>
      </c>
      <c r="C17" s="19"/>
      <c r="D17" s="195">
        <v>162</v>
      </c>
      <c r="E17" s="75">
        <f>D17*(1-'General Data'!$C$15)</f>
        <v>129.6</v>
      </c>
      <c r="F17" s="207" t="s">
        <v>133</v>
      </c>
    </row>
    <row r="18" spans="1:6" ht="30" x14ac:dyDescent="0.25">
      <c r="A18" s="305" t="s">
        <v>30</v>
      </c>
      <c r="B18" s="93" t="s">
        <v>136</v>
      </c>
      <c r="C18" s="19"/>
      <c r="D18" s="195">
        <v>1623</v>
      </c>
      <c r="E18" s="75">
        <f>D18*(1-'General Data'!$C$15)</f>
        <v>1298.4000000000001</v>
      </c>
      <c r="F18" s="207" t="s">
        <v>135</v>
      </c>
    </row>
    <row r="19" spans="1:6" ht="30" x14ac:dyDescent="0.25">
      <c r="A19" s="307"/>
      <c r="B19" s="197" t="s">
        <v>195</v>
      </c>
      <c r="C19" s="19"/>
      <c r="D19" s="195">
        <v>675</v>
      </c>
      <c r="E19" s="75">
        <f>D19*(1-'General Data'!$C$15)</f>
        <v>540</v>
      </c>
      <c r="F19" s="207" t="s">
        <v>196</v>
      </c>
    </row>
    <row r="20" spans="1:6" x14ac:dyDescent="0.25">
      <c r="A20" s="203"/>
      <c r="B20" s="197"/>
      <c r="C20" s="19"/>
      <c r="D20" s="19"/>
      <c r="E20" s="75"/>
      <c r="F20" s="206"/>
    </row>
    <row r="21" spans="1:6" x14ac:dyDescent="0.25">
      <c r="A21" s="203" t="s">
        <v>137</v>
      </c>
      <c r="B21" s="93" t="s">
        <v>139</v>
      </c>
      <c r="C21" s="196">
        <v>348</v>
      </c>
      <c r="D21" s="47">
        <f>Metrology!C21/('General Data'!C14)</f>
        <v>308.06274565348252</v>
      </c>
      <c r="E21" s="75">
        <f>D21*(1-'General Data'!$C$15)</f>
        <v>246.45019652278603</v>
      </c>
      <c r="F21" s="207" t="s">
        <v>138</v>
      </c>
    </row>
    <row r="22" spans="1:6" x14ac:dyDescent="0.25">
      <c r="A22" s="203"/>
      <c r="B22" s="93"/>
      <c r="C22" s="19"/>
      <c r="D22" s="19"/>
      <c r="E22" s="19"/>
      <c r="F22" s="206"/>
    </row>
    <row r="23" spans="1:6" x14ac:dyDescent="0.25">
      <c r="A23" s="203" t="s">
        <v>233</v>
      </c>
      <c r="B23" s="93" t="s">
        <v>234</v>
      </c>
      <c r="C23" s="19"/>
      <c r="D23" s="19"/>
      <c r="E23" s="20">
        <v>48334.81</v>
      </c>
      <c r="F23" s="207" t="s">
        <v>232</v>
      </c>
    </row>
    <row r="24" spans="1:6" x14ac:dyDescent="0.25">
      <c r="A24" s="203"/>
      <c r="B24" s="93"/>
      <c r="C24" s="19"/>
      <c r="D24" s="19"/>
      <c r="E24" s="19"/>
      <c r="F24" s="206"/>
    </row>
    <row r="25" spans="1:6" ht="15.75" thickBot="1" x14ac:dyDescent="0.3">
      <c r="A25" s="204" t="s">
        <v>236</v>
      </c>
      <c r="B25" s="94" t="s">
        <v>237</v>
      </c>
      <c r="C25" s="54"/>
      <c r="D25" s="54"/>
      <c r="E25" s="144">
        <v>5390</v>
      </c>
      <c r="F25" s="208" t="s">
        <v>235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defaultColWidth="11.42578125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59" t="s">
        <v>536</v>
      </c>
      <c r="B1" s="168" t="s">
        <v>16</v>
      </c>
      <c r="C1" s="168" t="s">
        <v>179</v>
      </c>
      <c r="D1" s="168" t="s">
        <v>524</v>
      </c>
      <c r="E1" s="168" t="s">
        <v>525</v>
      </c>
      <c r="F1" s="169" t="s">
        <v>204</v>
      </c>
    </row>
    <row r="2" spans="1:6" ht="15.75" thickBot="1" x14ac:dyDescent="0.3">
      <c r="A2" s="209"/>
      <c r="B2" s="210"/>
      <c r="C2" s="210"/>
      <c r="D2" s="210"/>
      <c r="E2" s="210"/>
      <c r="F2" s="210"/>
    </row>
    <row r="3" spans="1:6" x14ac:dyDescent="0.25">
      <c r="A3" s="308" t="s">
        <v>537</v>
      </c>
      <c r="B3" s="92" t="s">
        <v>92</v>
      </c>
      <c r="C3" s="50" t="s">
        <v>180</v>
      </c>
      <c r="D3" s="136">
        <v>498</v>
      </c>
      <c r="E3" s="136">
        <f>D3*(1-'General Data'!$C$15)</f>
        <v>398.40000000000003</v>
      </c>
      <c r="F3" s="176" t="s">
        <v>93</v>
      </c>
    </row>
    <row r="4" spans="1:6" ht="15.75" thickBot="1" x14ac:dyDescent="0.3">
      <c r="A4" s="309"/>
      <c r="B4" s="94" t="s">
        <v>94</v>
      </c>
      <c r="C4" s="54" t="s">
        <v>181</v>
      </c>
      <c r="D4" s="144"/>
      <c r="E4" s="144">
        <v>8.8000000000000007</v>
      </c>
      <c r="F4" s="156" t="s">
        <v>175</v>
      </c>
    </row>
    <row r="5" spans="1:6" ht="15.75" thickBot="1" x14ac:dyDescent="0.3">
      <c r="A5" s="177"/>
      <c r="D5" s="2"/>
      <c r="E5" s="2"/>
    </row>
    <row r="6" spans="1:6" x14ac:dyDescent="0.25">
      <c r="A6" s="308" t="s">
        <v>538</v>
      </c>
      <c r="B6" s="92" t="s">
        <v>155</v>
      </c>
      <c r="C6" s="50"/>
      <c r="D6" s="136">
        <v>241.2</v>
      </c>
      <c r="E6" s="136">
        <f>D6*(1-'General Data'!$C$15)</f>
        <v>192.96</v>
      </c>
      <c r="F6" s="176" t="s">
        <v>156</v>
      </c>
    </row>
    <row r="7" spans="1:6" x14ac:dyDescent="0.25">
      <c r="A7" s="310"/>
      <c r="B7" s="93" t="s">
        <v>161</v>
      </c>
      <c r="C7" s="19"/>
      <c r="D7" s="20">
        <v>50</v>
      </c>
      <c r="E7" s="20">
        <f>D7*(1-'General Data'!$C$15)</f>
        <v>40</v>
      </c>
      <c r="F7" s="154" t="s">
        <v>162</v>
      </c>
    </row>
    <row r="8" spans="1:6" x14ac:dyDescent="0.25">
      <c r="A8" s="310"/>
      <c r="B8" s="93" t="s">
        <v>164</v>
      </c>
      <c r="C8" s="19"/>
      <c r="D8" s="20">
        <v>137.99</v>
      </c>
      <c r="E8" s="20">
        <f>D8*(1-'General Data'!$C$15)</f>
        <v>110.39200000000001</v>
      </c>
      <c r="F8" s="154" t="s">
        <v>163</v>
      </c>
    </row>
    <row r="9" spans="1:6" x14ac:dyDescent="0.25">
      <c r="A9" s="310"/>
      <c r="B9" s="93" t="s">
        <v>185</v>
      </c>
      <c r="C9" s="19"/>
      <c r="D9" s="20"/>
      <c r="E9" s="20">
        <v>23.6</v>
      </c>
      <c r="F9" s="154" t="s">
        <v>186</v>
      </c>
    </row>
    <row r="10" spans="1:6" ht="15.75" thickBot="1" x14ac:dyDescent="0.3">
      <c r="A10" s="309"/>
      <c r="B10" s="94" t="s">
        <v>187</v>
      </c>
      <c r="C10" s="54"/>
      <c r="D10" s="144"/>
      <c r="E10" s="144">
        <v>39.950000000000003</v>
      </c>
      <c r="F10" s="156" t="s">
        <v>188</v>
      </c>
    </row>
    <row r="11" spans="1:6" ht="15.75" thickBot="1" x14ac:dyDescent="0.3">
      <c r="A11" s="177"/>
      <c r="D11" s="2"/>
      <c r="E11" s="2"/>
    </row>
    <row r="12" spans="1:6" x14ac:dyDescent="0.25">
      <c r="A12" s="308" t="s">
        <v>539</v>
      </c>
      <c r="B12" s="92" t="s">
        <v>165</v>
      </c>
      <c r="C12" s="50"/>
      <c r="D12" s="136">
        <v>2097.6</v>
      </c>
      <c r="E12" s="136">
        <f>D12*(1-'General Data'!$C$15)</f>
        <v>1678.08</v>
      </c>
      <c r="F12" s="176" t="s">
        <v>166</v>
      </c>
    </row>
    <row r="13" spans="1:6" x14ac:dyDescent="0.25">
      <c r="A13" s="310"/>
      <c r="B13" s="93" t="s">
        <v>158</v>
      </c>
      <c r="C13" s="19"/>
      <c r="D13" s="20">
        <v>2150.1</v>
      </c>
      <c r="E13" s="20">
        <f>D13*(1-'General Data'!$C$15)</f>
        <v>1720.08</v>
      </c>
      <c r="F13" s="154" t="s">
        <v>157</v>
      </c>
    </row>
    <row r="14" spans="1:6" ht="15.75" thickBot="1" x14ac:dyDescent="0.3">
      <c r="A14" s="309"/>
      <c r="B14" s="94" t="s">
        <v>173</v>
      </c>
      <c r="C14" s="54"/>
      <c r="D14" s="144">
        <v>620.4</v>
      </c>
      <c r="E14" s="144">
        <f>D14*(1-'General Data'!$C$15)</f>
        <v>496.32</v>
      </c>
      <c r="F14" s="156" t="s">
        <v>174</v>
      </c>
    </row>
    <row r="15" spans="1:6" ht="15.75" thickBot="1" x14ac:dyDescent="0.3">
      <c r="A15" s="177"/>
      <c r="D15" s="2"/>
      <c r="E15" s="2"/>
    </row>
    <row r="16" spans="1:6" x14ac:dyDescent="0.25">
      <c r="A16" s="308" t="s">
        <v>540</v>
      </c>
      <c r="B16" s="92" t="s">
        <v>160</v>
      </c>
      <c r="C16" s="50"/>
      <c r="D16" s="136">
        <v>183.6</v>
      </c>
      <c r="E16" s="136">
        <f>D16*(1-'General Data'!$C$15)</f>
        <v>146.88</v>
      </c>
      <c r="F16" s="176" t="s">
        <v>159</v>
      </c>
    </row>
    <row r="17" spans="1:6" x14ac:dyDescent="0.25">
      <c r="A17" s="310"/>
      <c r="B17" s="93" t="s">
        <v>168</v>
      </c>
      <c r="C17" s="19"/>
      <c r="D17" s="20">
        <v>54</v>
      </c>
      <c r="E17" s="20">
        <f>D17*(1-'General Data'!$C$15)</f>
        <v>43.2</v>
      </c>
      <c r="F17" s="154" t="s">
        <v>167</v>
      </c>
    </row>
    <row r="18" spans="1:6" x14ac:dyDescent="0.25">
      <c r="A18" s="310"/>
      <c r="B18" s="93" t="s">
        <v>169</v>
      </c>
      <c r="C18" s="19"/>
      <c r="D18" s="20">
        <v>40.799999999999997</v>
      </c>
      <c r="E18" s="20">
        <f>D18*(1-'General Data'!$C$15)</f>
        <v>32.64</v>
      </c>
      <c r="F18" s="154" t="s">
        <v>170</v>
      </c>
    </row>
    <row r="19" spans="1:6" ht="15.75" thickBot="1" x14ac:dyDescent="0.3">
      <c r="A19" s="309"/>
      <c r="B19" s="94" t="s">
        <v>171</v>
      </c>
      <c r="C19" s="54"/>
      <c r="D19" s="144">
        <v>217.2</v>
      </c>
      <c r="E19" s="144">
        <f>D19*(1-'General Data'!$C$15)</f>
        <v>173.76</v>
      </c>
      <c r="F19" s="156" t="s">
        <v>172</v>
      </c>
    </row>
    <row r="20" spans="1:6" ht="15.75" thickBot="1" x14ac:dyDescent="0.3">
      <c r="A20" s="177"/>
    </row>
    <row r="21" spans="1:6" ht="15.75" thickBot="1" x14ac:dyDescent="0.3">
      <c r="A21" s="188" t="s">
        <v>541</v>
      </c>
      <c r="B21" s="200" t="s">
        <v>190</v>
      </c>
      <c r="C21" s="165" t="s">
        <v>189</v>
      </c>
      <c r="D21" s="165"/>
      <c r="E21" s="211">
        <v>102</v>
      </c>
      <c r="F21" s="166" t="s">
        <v>191</v>
      </c>
    </row>
    <row r="22" spans="1:6" ht="15.75" thickBot="1" x14ac:dyDescent="0.3">
      <c r="A22" s="177"/>
    </row>
    <row r="23" spans="1:6" x14ac:dyDescent="0.25">
      <c r="A23" s="308" t="s">
        <v>542</v>
      </c>
      <c r="B23" s="92" t="s">
        <v>276</v>
      </c>
      <c r="C23" s="50"/>
      <c r="D23" s="50"/>
      <c r="E23" s="136">
        <v>96</v>
      </c>
      <c r="F23" s="176" t="s">
        <v>275</v>
      </c>
    </row>
    <row r="24" spans="1:6" ht="15.75" thickBot="1" x14ac:dyDescent="0.3">
      <c r="A24" s="309"/>
      <c r="B24" s="94" t="s">
        <v>278</v>
      </c>
      <c r="C24" s="54"/>
      <c r="D24" s="54"/>
      <c r="E24" s="144">
        <v>285</v>
      </c>
      <c r="F24" s="156" t="s">
        <v>277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Overhead Summary</vt:lpstr>
      <vt:lpstr>Manufacting Summary</vt:lpstr>
      <vt:lpstr>General Data</vt:lpstr>
      <vt:lpstr>Overhead Cost</vt:lpstr>
      <vt:lpstr>Manufacturing Cost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Michele Schio</cp:lastModifiedBy>
  <dcterms:created xsi:type="dcterms:W3CDTF">2019-04-04T18:24:41Z</dcterms:created>
  <dcterms:modified xsi:type="dcterms:W3CDTF">2020-03-24T15:04:50Z</dcterms:modified>
</cp:coreProperties>
</file>