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2_CBOM\"/>
    </mc:Choice>
  </mc:AlternateContent>
  <xr:revisionPtr revIDLastSave="0" documentId="13_ncr:1_{2FDAF917-6AB0-41E8-9290-3BAABD6995F9}" xr6:coauthVersionLast="47" xr6:coauthVersionMax="47" xr10:uidLastSave="{00000000-0000-0000-0000-000000000000}"/>
  <bookViews>
    <workbookView xWindow="28680" yWindow="-165" windowWidth="29040" windowHeight="15840" tabRatio="684" xr2:uid="{00000000-000D-0000-FFFF-FFFF00000000}"/>
  </bookViews>
  <sheets>
    <sheet name="Assembly" sheetId="2" r:id="rId1"/>
    <sheet name="Assembly verification" sheetId="3" r:id="rId2"/>
    <sheet name="Hoses assembly" sheetId="4" r:id="rId3"/>
    <sheet name="Material removal" sheetId="5" r:id="rId4"/>
    <sheet name="Sheet material" sheetId="6" r:id="rId5"/>
    <sheet name="Surface operation" sheetId="7" r:id="rId6"/>
    <sheet name="Welding" sheetId="8" r:id="rId7"/>
    <sheet name="Card Heating" sheetId="9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F7" i="5" l="1"/>
  <c r="E5" i="8"/>
  <c r="E4" i="8"/>
  <c r="E3" i="8"/>
  <c r="E2" i="8"/>
  <c r="F9" i="6"/>
  <c r="F8" i="6"/>
  <c r="F7" i="6"/>
  <c r="F6" i="6"/>
  <c r="F5" i="6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0" i="5"/>
  <c r="F9" i="5"/>
  <c r="F8" i="5"/>
  <c r="F6" i="5"/>
  <c r="F5" i="5"/>
  <c r="F4" i="5"/>
  <c r="F3" i="5"/>
  <c r="L5" i="2"/>
  <c r="L4" i="2"/>
  <c r="L3" i="2"/>
  <c r="L2" i="2"/>
  <c r="F35" i="2" l="1"/>
  <c r="H35" i="2" s="1"/>
  <c r="H28" i="2"/>
  <c r="F11" i="5"/>
  <c r="F22" i="2"/>
  <c r="F34" i="2"/>
  <c r="H34" i="2" s="1"/>
  <c r="F19" i="2"/>
  <c r="H19" i="2" s="1"/>
  <c r="F24" i="2"/>
  <c r="F27" i="2"/>
  <c r="H27" i="2" s="1"/>
  <c r="F31" i="2"/>
  <c r="H31" i="2" s="1"/>
  <c r="F16" i="2"/>
  <c r="H16" i="2" s="1"/>
  <c r="F32" i="2"/>
  <c r="H32" i="2" s="1"/>
  <c r="H38" i="2"/>
  <c r="F25" i="2"/>
  <c r="H25" i="2" s="1"/>
  <c r="F17" i="2"/>
  <c r="H17" i="2" s="1"/>
  <c r="H29" i="2"/>
  <c r="F18" i="2"/>
  <c r="H18" i="2" s="1"/>
  <c r="F33" i="2"/>
  <c r="H33" i="2" s="1"/>
  <c r="F30" i="2"/>
  <c r="H30" i="2" s="1"/>
  <c r="F21" i="2"/>
  <c r="H21" i="2" s="1"/>
  <c r="F23" i="2"/>
  <c r="H23" i="2" s="1"/>
  <c r="H5" i="6"/>
  <c r="K5" i="2" l="1"/>
  <c r="L5" i="5" s="1"/>
  <c r="K4" i="2"/>
  <c r="L4" i="5" s="1"/>
  <c r="K3" i="2"/>
  <c r="L3" i="5" s="1"/>
  <c r="K2" i="2"/>
  <c r="L2" i="5" s="1"/>
  <c r="K5" i="8" l="1"/>
  <c r="K4" i="8"/>
  <c r="K3" i="8"/>
  <c r="K2" i="8"/>
  <c r="H9" i="6" l="1"/>
  <c r="H8" i="6"/>
  <c r="H6" i="6"/>
  <c r="H7" i="6"/>
  <c r="L4" i="8" l="1"/>
  <c r="M4" i="5"/>
  <c r="H8" i="2"/>
  <c r="H50" i="2" l="1"/>
  <c r="H49" i="2"/>
  <c r="H48" i="2"/>
  <c r="H47" i="2"/>
  <c r="M2" i="5"/>
  <c r="F28" i="5" s="1"/>
  <c r="H46" i="2"/>
  <c r="H45" i="2"/>
  <c r="H44" i="2"/>
  <c r="L5" i="8"/>
  <c r="M5" i="5"/>
  <c r="L3" i="8"/>
  <c r="M3" i="5"/>
  <c r="L2" i="8"/>
  <c r="H18" i="5"/>
  <c r="H25" i="5"/>
  <c r="H19" i="5"/>
  <c r="H24" i="5"/>
  <c r="H22" i="5"/>
  <c r="H16" i="5"/>
  <c r="H21" i="5"/>
  <c r="H15" i="5"/>
  <c r="H26" i="5"/>
  <c r="H17" i="5"/>
  <c r="H23" i="5"/>
  <c r="H20" i="5"/>
  <c r="H6" i="5"/>
  <c r="F27" i="5" l="1"/>
  <c r="H13" i="5"/>
  <c r="H9" i="5"/>
  <c r="H14" i="5"/>
  <c r="H12" i="5"/>
  <c r="H10" i="5"/>
  <c r="H8" i="5"/>
  <c r="H7" i="5" l="1"/>
  <c r="H11" i="5"/>
  <c r="F6" i="2"/>
  <c r="H6" i="2" s="1"/>
  <c r="F7" i="2"/>
  <c r="H7" i="2" s="1"/>
  <c r="F4" i="2"/>
  <c r="H4" i="2" s="1"/>
  <c r="F5" i="2"/>
  <c r="H5" i="2" s="1"/>
  <c r="H43" i="2"/>
  <c r="H55" i="2"/>
  <c r="F12" i="2"/>
  <c r="H12" i="2" s="1"/>
  <c r="H53" i="2"/>
  <c r="F13" i="2"/>
  <c r="H13" i="2" s="1"/>
  <c r="H54" i="2"/>
  <c r="F56" i="2"/>
  <c r="H56" i="2" s="1"/>
  <c r="H52" i="2"/>
  <c r="F10" i="2"/>
  <c r="H10" i="2" s="1"/>
  <c r="F9" i="2"/>
  <c r="H9" i="2" s="1"/>
  <c r="H40" i="2"/>
  <c r="F11" i="2"/>
  <c r="H11" i="2" s="1"/>
  <c r="H41" i="2"/>
  <c r="F3" i="2"/>
  <c r="H3" i="2" s="1"/>
  <c r="H51" i="2"/>
  <c r="H42" i="2"/>
  <c r="H39" i="2"/>
  <c r="G3" i="8" l="1"/>
  <c r="G4" i="8"/>
  <c r="G5" i="8"/>
  <c r="G2" i="8"/>
  <c r="J4" i="6" l="1"/>
  <c r="F4" i="6" l="1"/>
  <c r="H4" i="6" s="1"/>
  <c r="J4" i="5"/>
  <c r="H4" i="5" s="1"/>
  <c r="J5" i="5"/>
  <c r="H5" i="5" s="1"/>
  <c r="J6" i="5"/>
  <c r="J3" i="5"/>
  <c r="H3" i="5" s="1"/>
  <c r="K3" i="4" l="1"/>
  <c r="K3" i="3"/>
  <c r="J3" i="7"/>
  <c r="L3" i="6"/>
  <c r="L3" i="4"/>
  <c r="L3" i="3"/>
  <c r="K3" i="7"/>
  <c r="E5" i="7" s="1"/>
  <c r="G5" i="7" s="1"/>
  <c r="M3" i="6"/>
  <c r="J4" i="7"/>
  <c r="L4" i="6"/>
  <c r="K4" i="3"/>
  <c r="K4" i="4"/>
  <c r="M4" i="6"/>
  <c r="L4" i="3"/>
  <c r="E3" i="3" s="1"/>
  <c r="L4" i="4"/>
  <c r="K4" i="7"/>
  <c r="K5" i="3"/>
  <c r="K5" i="4"/>
  <c r="J5" i="7"/>
  <c r="L5" i="6"/>
  <c r="L5" i="4"/>
  <c r="K5" i="7"/>
  <c r="M5" i="6"/>
  <c r="L5" i="3"/>
  <c r="J2" i="7"/>
  <c r="L2" i="6"/>
  <c r="K2" i="4"/>
  <c r="K2" i="3"/>
  <c r="M2" i="6"/>
  <c r="L2" i="4"/>
  <c r="K2" i="7"/>
  <c r="E4" i="7" s="1"/>
  <c r="G4" i="7" s="1"/>
  <c r="L2" i="3"/>
  <c r="F2" i="6" l="1"/>
  <c r="H2" i="6" s="1"/>
  <c r="F3" i="6"/>
  <c r="H3" i="6" s="1"/>
  <c r="E3" i="4"/>
  <c r="E2" i="4"/>
  <c r="E6" i="3"/>
  <c r="E2" i="3"/>
  <c r="E4" i="3"/>
  <c r="E5" i="3"/>
  <c r="F2" i="5"/>
  <c r="H2" i="5" s="1"/>
  <c r="H28" i="5"/>
  <c r="H27" i="5"/>
  <c r="E2" i="7"/>
  <c r="G2" i="7" s="1"/>
  <c r="E3" i="7"/>
  <c r="G3" i="7" s="1"/>
</calcChain>
</file>

<file path=xl/sharedStrings.xml><?xml version="1.0" encoding="utf-8"?>
<sst xmlns="http://schemas.openxmlformats.org/spreadsheetml/2006/main" count="471" uniqueCount="189">
  <si>
    <t>Assemble by hand</t>
  </si>
  <si>
    <t>Assemble (fittings on hoses)</t>
  </si>
  <si>
    <t>Assemble  (&gt;10kg)</t>
  </si>
  <si>
    <t>Cut metallic hosses (grinder)</t>
  </si>
  <si>
    <t>Fill with liquids, grease, …</t>
  </si>
  <si>
    <t>First start, Engine</t>
  </si>
  <si>
    <t>Install Tie wrap (zip tie, Cable clamp)</t>
  </si>
  <si>
    <t>Painting, aerosol apply</t>
  </si>
  <si>
    <t>Press operations</t>
  </si>
  <si>
    <t>Saw or tubing cut</t>
  </si>
  <si>
    <t>Tighten bolts (Ratchet, Wrench, Screwdriver, …)</t>
  </si>
  <si>
    <t>Threadlock application</t>
  </si>
  <si>
    <t>Fuel line</t>
  </si>
  <si>
    <t>10 min</t>
  </si>
  <si>
    <t>15 min</t>
  </si>
  <si>
    <t>5 min</t>
  </si>
  <si>
    <t>30 sec</t>
  </si>
  <si>
    <t xml:space="preserve">Type </t>
  </si>
  <si>
    <t>Description</t>
  </si>
  <si>
    <t>By who ?</t>
  </si>
  <si>
    <t>Operator</t>
  </si>
  <si>
    <t>Manpower</t>
  </si>
  <si>
    <t>Cost (€)</t>
  </si>
  <si>
    <t>For alu welded part (fuel tank, …)</t>
  </si>
  <si>
    <t>Welder</t>
  </si>
  <si>
    <t>Verification that the engine is running</t>
  </si>
  <si>
    <t>Technician</t>
  </si>
  <si>
    <t xml:space="preserve">Sealing </t>
  </si>
  <si>
    <t>For oil pan, without &amp; with engine running</t>
  </si>
  <si>
    <t>For fuel system, without &amp; with engine running</t>
  </si>
  <si>
    <t>For cooling system, without &amp; with engine running</t>
  </si>
  <si>
    <t>For fuel lines</t>
  </si>
  <si>
    <t>Drilled hole</t>
  </si>
  <si>
    <t>Machining (CNC)</t>
  </si>
  <si>
    <t>Machining (conventionnal)</t>
  </si>
  <si>
    <t>Machining setup, change</t>
  </si>
  <si>
    <t>Machining setup, install and remove</t>
  </si>
  <si>
    <t>Metrology</t>
  </si>
  <si>
    <t>Programming</t>
  </si>
  <si>
    <t>Tapping holes (Manual)</t>
  </si>
  <si>
    <t>Manually</t>
  </si>
  <si>
    <t>Unity</t>
  </si>
  <si>
    <t>Number of holes</t>
  </si>
  <si>
    <t>Quantity (by unity)</t>
  </si>
  <si>
    <t>Milling</t>
  </si>
  <si>
    <t>Turning</t>
  </si>
  <si>
    <t>mm^3</t>
  </si>
  <si>
    <t>Number of cut</t>
  </si>
  <si>
    <t>none (fixed cost)</t>
  </si>
  <si>
    <t>Price (€/unity)</t>
  </si>
  <si>
    <t>Turning (CNC)</t>
  </si>
  <si>
    <t>Turning (conventionnal)</t>
  </si>
  <si>
    <t>Milling (conventionnal)</t>
  </si>
  <si>
    <t>Milling (CNC)</t>
  </si>
  <si>
    <t>Engineer</t>
  </si>
  <si>
    <t>Turning (CNC) - Technician</t>
  </si>
  <si>
    <t>Turning (CNC) - Engineer</t>
  </si>
  <si>
    <t>Turning (CNC) - Operator</t>
  </si>
  <si>
    <t>Milling (CNC) - Operator</t>
  </si>
  <si>
    <t>Milling (CNC) - Technician</t>
  </si>
  <si>
    <t>Milling (CNC) - Engineer</t>
  </si>
  <si>
    <t>2 min</t>
  </si>
  <si>
    <t>Nbr of part (machining)</t>
  </si>
  <si>
    <t>Price (€)</t>
  </si>
  <si>
    <t>Bending</t>
  </si>
  <si>
    <t>Cut (scissors, knife)</t>
  </si>
  <si>
    <t>Laser cut</t>
  </si>
  <si>
    <t>Laser cut, setup, install and remove</t>
  </si>
  <si>
    <t>Laser cut - Operator</t>
  </si>
  <si>
    <t>Laser cut - Technician</t>
  </si>
  <si>
    <t>by bending</t>
  </si>
  <si>
    <t>Sheet metal bender</t>
  </si>
  <si>
    <t>Multiplicator</t>
  </si>
  <si>
    <t>Material</t>
  </si>
  <si>
    <t>Steel</t>
  </si>
  <si>
    <t>Aluminium</t>
  </si>
  <si>
    <t>Plastic</t>
  </si>
  <si>
    <t>Aerosol apply</t>
  </si>
  <si>
    <t>Grinding</t>
  </si>
  <si>
    <t>Surface cleaning, by hand</t>
  </si>
  <si>
    <t>Chain oil</t>
  </si>
  <si>
    <t>Nbr of application</t>
  </si>
  <si>
    <t>Nbr of grinding</t>
  </si>
  <si>
    <t>Cleaning + painting</t>
  </si>
  <si>
    <t>mm</t>
  </si>
  <si>
    <t>To flatten a tube</t>
  </si>
  <si>
    <t>1 min</t>
  </si>
  <si>
    <t>Preparing</t>
  </si>
  <si>
    <t>Y of the collector</t>
  </si>
  <si>
    <t>Exhaust tube</t>
  </si>
  <si>
    <t>By tubes</t>
  </si>
  <si>
    <t>By y</t>
  </si>
  <si>
    <t>Welding</t>
  </si>
  <si>
    <t>For aluminium</t>
  </si>
  <si>
    <t>For steel</t>
  </si>
  <si>
    <t>Assembled together with bolts</t>
  </si>
  <si>
    <t>nbr of bolts</t>
  </si>
  <si>
    <t>nbr of clamps</t>
  </si>
  <si>
    <t>Assembled together with clamps</t>
  </si>
  <si>
    <t>Engine, remove older shifter axis and put new one</t>
  </si>
  <si>
    <t>Engine, Put the Wet slipper clutch</t>
  </si>
  <si>
    <t>Engine, pan with sealing</t>
  </si>
  <si>
    <t>Engine (oil pan), Draining, modif. oil strainer, new pan</t>
  </si>
  <si>
    <t>Engine, Oil filter</t>
  </si>
  <si>
    <t>Engine, into the frame</t>
  </si>
  <si>
    <t>nbr of application</t>
  </si>
  <si>
    <t>Untighten bolts (Ratchet, Wrench, Screwdriver, …)</t>
  </si>
  <si>
    <t>Differential</t>
  </si>
  <si>
    <t>Cooling line</t>
  </si>
  <si>
    <t>Engine oil</t>
  </si>
  <si>
    <t>Tripods</t>
  </si>
  <si>
    <t>nbr of tripods</t>
  </si>
  <si>
    <t>To mount bearings</t>
  </si>
  <si>
    <t>nbr of bearings</t>
  </si>
  <si>
    <t>nbr of flat</t>
  </si>
  <si>
    <t>15 sec</t>
  </si>
  <si>
    <t>nbr of tie wrap</t>
  </si>
  <si>
    <t>Boot clamp, ligarex strap with buckle</t>
  </si>
  <si>
    <t>Fastener install</t>
  </si>
  <si>
    <t>nbr of fasteners</t>
  </si>
  <si>
    <t>Every</t>
  </si>
  <si>
    <t>nbr of ligarex</t>
  </si>
  <si>
    <t>Assembly of one y of exhaust system or muffler</t>
  </si>
  <si>
    <t>m² of surface</t>
  </si>
  <si>
    <t>cm²</t>
  </si>
  <si>
    <t>Drivetrain, Socket carrier on differential</t>
  </si>
  <si>
    <t>Drivetrain, adjustment length chain</t>
  </si>
  <si>
    <t>Drivetrain, Installation chain</t>
  </si>
  <si>
    <t>Cans on frame, Hose mounting on cans</t>
  </si>
  <si>
    <t>Drivetrain, tripods on shafts</t>
  </si>
  <si>
    <t>Drivetrain, excentric on differential</t>
  </si>
  <si>
    <t>Drivetrain, axle boots on shaft</t>
  </si>
  <si>
    <t>Liquid Applicator gun</t>
  </si>
  <si>
    <t>For fuel tank, thermal protection</t>
  </si>
  <si>
    <t>Time</t>
  </si>
  <si>
    <t>6 min</t>
  </si>
  <si>
    <t>30 min</t>
  </si>
  <si>
    <t>2 operators
10 min</t>
  </si>
  <si>
    <t>3 hours</t>
  </si>
  <si>
    <t>15sec</t>
  </si>
  <si>
    <t>30sec</t>
  </si>
  <si>
    <t>Attach Wire</t>
  </si>
  <si>
    <t>Connector Assembly</t>
  </si>
  <si>
    <t>Connector Install</t>
  </si>
  <si>
    <t>Install Adhesive Cable Clamp</t>
  </si>
  <si>
    <t>Shrinking</t>
  </si>
  <si>
    <t>Soldering</t>
  </si>
  <si>
    <t>Stripping</t>
  </si>
  <si>
    <t>Tape</t>
  </si>
  <si>
    <t>Wire Dressing (install and route)</t>
  </si>
  <si>
    <t>Heat</t>
  </si>
  <si>
    <t>Continuity check</t>
  </si>
  <si>
    <t>Preparing card</t>
  </si>
  <si>
    <t>Place component on the card</t>
  </si>
  <si>
    <t>PCB Heating</t>
  </si>
  <si>
    <t>Assemble the pins with the connector</t>
  </si>
  <si>
    <t>Connect the connector</t>
  </si>
  <si>
    <t>Apply the solder paste with the mask</t>
  </si>
  <si>
    <t>nbr of pins</t>
  </si>
  <si>
    <t>nbr of connector</t>
  </si>
  <si>
    <t>nbr of clamp</t>
  </si>
  <si>
    <t>nbr of wire</t>
  </si>
  <si>
    <t>Time to initialise the boards</t>
  </si>
  <si>
    <t>nbr of spots</t>
  </si>
  <si>
    <t>nbr of heat shrink</t>
  </si>
  <si>
    <t>nbr of comp</t>
  </si>
  <si>
    <t>5min</t>
  </si>
  <si>
    <t>1min</t>
  </si>
  <si>
    <t>length (m)</t>
  </si>
  <si>
    <t>Cut wire</t>
  </si>
  <si>
    <t>Shrink pin</t>
  </si>
  <si>
    <t>Shrink lug</t>
  </si>
  <si>
    <t>Connect lug</t>
  </si>
  <si>
    <t>Heat shrink tube</t>
  </si>
  <si>
    <t>Heat shrink crimp</t>
  </si>
  <si>
    <t>3min</t>
  </si>
  <si>
    <t>Place adhesive base for tie-wrap</t>
  </si>
  <si>
    <t>Average cost for 1m with 10 wires</t>
  </si>
  <si>
    <t>10min</t>
  </si>
  <si>
    <t>20min</t>
  </si>
  <si>
    <t>Attach and tighten 1 tie-wrap</t>
  </si>
  <si>
    <t>Manual soldering - tin</t>
  </si>
  <si>
    <t>Cut heat shrink tube</t>
  </si>
  <si>
    <t>Strip wire</t>
  </si>
  <si>
    <t>Type</t>
  </si>
  <si>
    <t>Heat 1 card</t>
  </si>
  <si>
    <t>Price</t>
  </si>
  <si>
    <t>Place CMS component</t>
  </si>
  <si>
    <t>Place the PCB in the Hoven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</si>
</sst>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0.000"/>
    <numFmt numFmtId="165" formatCode="0.0000"/>
    <numFmt numFmtId="166" formatCode="_-* #,##0.0000\ &quot;€&quot;_-;\-* #,##0.0000\ &quot;€&quot;_-;_-* &quot;-&quot;??\ &quot;€&quot;_-;_-@_-"/>
    <numFmt numFmtId="167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/>
    <xf numFmtId="44" fontId="0" fillId="0" borderId="1" xfId="0" applyNumberFormat="1" applyBorder="1"/>
    <xf numFmtId="44" fontId="0" fillId="0" borderId="1" xfId="1" applyFont="1" applyBorder="1"/>
    <xf numFmtId="0" fontId="0" fillId="0" borderId="0" xfId="0" applyAlignment="1">
      <alignment horizontal="center"/>
    </xf>
    <xf numFmtId="0" fontId="0" fillId="0" borderId="0" xfId="0" applyBorder="1"/>
    <xf numFmtId="8" fontId="0" fillId="0" borderId="0" xfId="0" applyNumberFormat="1"/>
    <xf numFmtId="0" fontId="0" fillId="3" borderId="1" xfId="0" applyFill="1" applyBorder="1"/>
    <xf numFmtId="0" fontId="0" fillId="0" borderId="1" xfId="0" applyFill="1" applyBorder="1"/>
    <xf numFmtId="0" fontId="0" fillId="2" borderId="1" xfId="0" applyFill="1" applyBorder="1"/>
    <xf numFmtId="11" fontId="0" fillId="0" borderId="1" xfId="0" applyNumberFormat="1" applyBorder="1"/>
    <xf numFmtId="0" fontId="0" fillId="0" borderId="1" xfId="0" applyBorder="1" applyAlignment="1">
      <alignment vertical="center"/>
    </xf>
    <xf numFmtId="8" fontId="0" fillId="0" borderId="1" xfId="0" applyNumberFormat="1" applyBorder="1"/>
    <xf numFmtId="165" fontId="0" fillId="0" borderId="1" xfId="0" applyNumberFormat="1" applyBorder="1"/>
    <xf numFmtId="166" fontId="0" fillId="0" borderId="1" xfId="1" applyNumberFormat="1" applyFont="1" applyBorder="1"/>
    <xf numFmtId="0" fontId="0" fillId="3" borderId="6" xfId="0" applyFill="1" applyBorder="1"/>
    <xf numFmtId="44" fontId="0" fillId="0" borderId="7" xfId="0" applyNumberFormat="1" applyBorder="1"/>
    <xf numFmtId="44" fontId="0" fillId="0" borderId="9" xfId="0" applyNumberFormat="1" applyBorder="1"/>
    <xf numFmtId="0" fontId="0" fillId="0" borderId="8" xfId="0" applyFill="1" applyBorder="1"/>
    <xf numFmtId="44" fontId="0" fillId="0" borderId="11" xfId="0" applyNumberFormat="1" applyBorder="1"/>
    <xf numFmtId="44" fontId="0" fillId="0" borderId="12" xfId="0" applyNumberForma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13" xfId="0" applyBorder="1"/>
    <xf numFmtId="44" fontId="0" fillId="0" borderId="14" xfId="0" applyNumberFormat="1" applyBorder="1"/>
    <xf numFmtId="0" fontId="0" fillId="0" borderId="15" xfId="0" applyBorder="1"/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8" xfId="0" applyBorder="1" applyAlignment="1">
      <alignment horizontal="center"/>
    </xf>
    <xf numFmtId="0" fontId="0" fillId="2" borderId="9" xfId="0" applyFill="1" applyBorder="1"/>
    <xf numFmtId="0" fontId="0" fillId="0" borderId="10" xfId="0" applyBorder="1" applyAlignment="1">
      <alignment horizontal="center"/>
    </xf>
    <xf numFmtId="0" fontId="0" fillId="2" borderId="11" xfId="0" applyFill="1" applyBorder="1"/>
    <xf numFmtId="44" fontId="0" fillId="0" borderId="11" xfId="1" applyFont="1" applyBorder="1"/>
    <xf numFmtId="0" fontId="0" fillId="2" borderId="12" xfId="0" applyFill="1" applyBorder="1"/>
    <xf numFmtId="0" fontId="0" fillId="0" borderId="13" xfId="0" applyBorder="1" applyAlignment="1">
      <alignment horizontal="center"/>
    </xf>
    <xf numFmtId="0" fontId="0" fillId="2" borderId="15" xfId="0" applyFill="1" applyBorder="1"/>
    <xf numFmtId="44" fontId="0" fillId="0" borderId="15" xfId="0" applyNumberFormat="1" applyBorder="1"/>
    <xf numFmtId="44" fontId="0" fillId="0" borderId="15" xfId="1" applyFont="1" applyBorder="1"/>
    <xf numFmtId="0" fontId="0" fillId="2" borderId="14" xfId="0" applyFill="1" applyBorder="1"/>
    <xf numFmtId="0" fontId="0" fillId="0" borderId="14" xfId="0" applyBorder="1"/>
    <xf numFmtId="164" fontId="0" fillId="0" borderId="11" xfId="0" applyNumberFormat="1" applyBorder="1"/>
    <xf numFmtId="44" fontId="0" fillId="0" borderId="9" xfId="1" applyFont="1" applyBorder="1"/>
    <xf numFmtId="8" fontId="0" fillId="0" borderId="11" xfId="0" applyNumberFormat="1" applyBorder="1"/>
    <xf numFmtId="44" fontId="0" fillId="0" borderId="12" xfId="1" applyFont="1" applyBorder="1"/>
    <xf numFmtId="8" fontId="0" fillId="0" borderId="15" xfId="0" applyNumberFormat="1" applyBorder="1"/>
    <xf numFmtId="44" fontId="0" fillId="0" borderId="14" xfId="1" applyFont="1" applyBorder="1"/>
    <xf numFmtId="0" fontId="0" fillId="0" borderId="19" xfId="0" applyBorder="1"/>
    <xf numFmtId="0" fontId="0" fillId="0" borderId="20" xfId="0" applyBorder="1"/>
    <xf numFmtId="167" fontId="0" fillId="0" borderId="6" xfId="0" applyNumberFormat="1" applyBorder="1"/>
    <xf numFmtId="167" fontId="0" fillId="0" borderId="1" xfId="0" applyNumberFormat="1" applyBorder="1"/>
    <xf numFmtId="167" fontId="0" fillId="3" borderId="1" xfId="0" applyNumberFormat="1" applyFill="1" applyBorder="1"/>
    <xf numFmtId="44" fontId="0" fillId="0" borderId="0" xfId="0" applyNumberFormat="1"/>
    <xf numFmtId="167" fontId="0" fillId="0" borderId="11" xfId="0" applyNumberFormat="1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lv/Desktop/EPSA/STUF-2020/CR%20-%20Cost%20Report/Z1_Archives%20ann&#233;es%20pr&#233;c&#233;dentes/Optimus/CBOM/Cost_v1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st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npower &amp; time"/>
      <sheetName val="Energies"/>
      <sheetName val="Metrology"/>
      <sheetName val="IT"/>
      <sheetName val="Office"/>
      <sheetName val="Manufacturing"/>
      <sheetName val="CNC mill"/>
      <sheetName val="CNC lathe"/>
      <sheetName val="Laser cutter"/>
      <sheetName val="Welding"/>
      <sheetName val="Conventionnal machinning"/>
      <sheetName val="Material"/>
    </sheetNames>
    <sheetDataSet>
      <sheetData sheetId="0">
        <row r="43">
          <cell r="G43" t="str">
            <v>Operator cost/hour</v>
          </cell>
        </row>
        <row r="44">
          <cell r="G44" t="str">
            <v>Technician cost/hour</v>
          </cell>
        </row>
        <row r="45">
          <cell r="G45" t="str">
            <v>Welder cost/hour</v>
          </cell>
        </row>
        <row r="46">
          <cell r="G46" t="str">
            <v>Engineer cost/hour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npower &amp; time"/>
      <sheetName val="Energies"/>
      <sheetName val="Metrology"/>
      <sheetName val="IT"/>
      <sheetName val="Office"/>
      <sheetName val="Manufacturing"/>
      <sheetName val="CNC mill"/>
      <sheetName val="CNC lathe"/>
      <sheetName val="Laser cutter"/>
      <sheetName val="Welding"/>
      <sheetName val="Conventionnal machinning"/>
      <sheetName val="Card oven"/>
      <sheetName val="Material"/>
    </sheetNames>
    <sheetDataSet>
      <sheetData sheetId="0">
        <row r="42">
          <cell r="J42">
            <v>11.714929813378353</v>
          </cell>
        </row>
        <row r="43">
          <cell r="J43">
            <v>12.595833333333333</v>
          </cell>
        </row>
        <row r="44">
          <cell r="J44">
            <v>24.191071428571426</v>
          </cell>
        </row>
        <row r="45">
          <cell r="J45">
            <v>30.467857142857142</v>
          </cell>
        </row>
        <row r="46">
          <cell r="J46">
            <v>42.416071428571428</v>
          </cell>
        </row>
        <row r="49">
          <cell r="R49">
            <v>9.9152219129231255E-5</v>
          </cell>
        </row>
        <row r="50">
          <cell r="R50">
            <v>0.2117255240469606</v>
          </cell>
        </row>
        <row r="52">
          <cell r="R52">
            <v>2.0258969288926407E-5</v>
          </cell>
        </row>
        <row r="53">
          <cell r="R53">
            <v>2.9921667701624819E-5</v>
          </cell>
        </row>
        <row r="54">
          <cell r="R54">
            <v>4.5109167701624822E-5</v>
          </cell>
        </row>
        <row r="55">
          <cell r="R55">
            <v>1.6207175431141127E-5</v>
          </cell>
        </row>
        <row r="56">
          <cell r="R56">
            <v>2.3937334161299856E-5</v>
          </cell>
        </row>
        <row r="57">
          <cell r="R57">
            <v>3.6087334161299856E-5</v>
          </cell>
        </row>
        <row r="58">
          <cell r="R58">
            <v>15.87008144897448</v>
          </cell>
        </row>
        <row r="63">
          <cell r="R63">
            <v>9.0352671777518655E-5</v>
          </cell>
        </row>
        <row r="64">
          <cell r="R64">
            <v>0.23234570868306079</v>
          </cell>
        </row>
        <row r="66">
          <cell r="R66">
            <v>2.0258969288926407E-5</v>
          </cell>
        </row>
        <row r="67">
          <cell r="R67">
            <v>2.9921667701624819E-5</v>
          </cell>
        </row>
        <row r="68">
          <cell r="R68">
            <v>4.5109167701624822E-5</v>
          </cell>
        </row>
        <row r="69">
          <cell r="R69">
            <v>1.6207175431141127E-5</v>
          </cell>
        </row>
        <row r="70">
          <cell r="R70">
            <v>2.3937334161299856E-5</v>
          </cell>
        </row>
        <row r="71">
          <cell r="R71">
            <v>3.6087334161299856E-5</v>
          </cell>
        </row>
        <row r="72">
          <cell r="R72">
            <v>14.114977022170395</v>
          </cell>
        </row>
        <row r="77">
          <cell r="R77">
            <v>2.8289877074371322E-4</v>
          </cell>
        </row>
        <row r="78">
          <cell r="R78">
            <v>0.34135198007996848</v>
          </cell>
        </row>
        <row r="80">
          <cell r="R80">
            <v>0.60776907866779217</v>
          </cell>
        </row>
        <row r="81">
          <cell r="R81">
            <v>0.89765003104874452</v>
          </cell>
        </row>
        <row r="82">
          <cell r="R82">
            <v>0.40517938577852808</v>
          </cell>
        </row>
        <row r="83">
          <cell r="R83">
            <v>0.59843335403249631</v>
          </cell>
        </row>
        <row r="84">
          <cell r="R84">
            <v>8.4315269268150832</v>
          </cell>
        </row>
        <row r="86">
          <cell r="R86">
            <v>13.419947043954794</v>
          </cell>
        </row>
        <row r="89">
          <cell r="R89">
            <v>117.38840627635136</v>
          </cell>
        </row>
        <row r="90">
          <cell r="R90">
            <v>117.3533442173817</v>
          </cell>
        </row>
        <row r="96">
          <cell r="R96">
            <v>2.0743136387664342E-4</v>
          </cell>
        </row>
        <row r="97">
          <cell r="R97">
            <v>7.7776081938321706</v>
          </cell>
        </row>
        <row r="102">
          <cell r="R102">
            <v>1.0587385955593072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workbookViewId="0">
      <selection activeCell="B24" sqref="B24"/>
    </sheetView>
  </sheetViews>
  <sheetFormatPr baseColWidth="10" defaultRowHeight="15" x14ac:dyDescent="0.25"/>
  <cols>
    <col min="1" max="1" width="29.7109375" customWidth="1"/>
    <col min="2" max="2" width="43.7109375" customWidth="1"/>
    <col min="3" max="3" width="10.28515625" customWidth="1"/>
    <col min="4" max="4" width="16.7109375" bestFit="1" customWidth="1"/>
    <col min="5" max="5" width="9.140625" customWidth="1"/>
    <col min="6" max="6" width="13.140625" customWidth="1"/>
    <col min="7" max="7" width="16.140625" customWidth="1"/>
    <col min="11" max="11" width="17.85546875" customWidth="1"/>
  </cols>
  <sheetData>
    <row r="1" spans="1:12" ht="15.75" thickBot="1" x14ac:dyDescent="0.3">
      <c r="A1" s="31" t="s">
        <v>17</v>
      </c>
      <c r="B1" s="32" t="s">
        <v>18</v>
      </c>
      <c r="C1" s="32" t="s">
        <v>134</v>
      </c>
      <c r="D1" s="32" t="s">
        <v>41</v>
      </c>
      <c r="E1" s="32" t="s">
        <v>19</v>
      </c>
      <c r="F1" s="32" t="s">
        <v>49</v>
      </c>
      <c r="G1" s="32" t="s">
        <v>43</v>
      </c>
      <c r="H1" s="33" t="s">
        <v>63</v>
      </c>
      <c r="K1" s="31" t="s">
        <v>21</v>
      </c>
      <c r="L1" s="3"/>
    </row>
    <row r="2" spans="1:12" x14ac:dyDescent="0.25">
      <c r="K2" s="34" t="str">
        <f>[1]Summary!$G$43</f>
        <v>Operator cost/hour</v>
      </c>
      <c r="L2" s="35">
        <f>[2]Summary!$J$43+[2]Summary!$J$42</f>
        <v>24.310763146711686</v>
      </c>
    </row>
    <row r="3" spans="1:12" x14ac:dyDescent="0.25">
      <c r="A3" s="6" t="s">
        <v>0</v>
      </c>
      <c r="B3" s="1" t="s">
        <v>95</v>
      </c>
      <c r="C3" s="1" t="s">
        <v>139</v>
      </c>
      <c r="D3" s="1" t="s">
        <v>96</v>
      </c>
      <c r="E3" s="1" t="s">
        <v>20</v>
      </c>
      <c r="F3" s="12">
        <f>$L$2*0.25/60</f>
        <v>0.10129484644463202</v>
      </c>
      <c r="G3" s="1"/>
      <c r="H3" s="27">
        <f>F3*G3</f>
        <v>0</v>
      </c>
      <c r="K3" s="6" t="str">
        <f>[1]Summary!$G$44</f>
        <v>Technician cost/hour</v>
      </c>
      <c r="L3" s="27">
        <f>[2]Summary!$J$44+[2]Summary!$J$42</f>
        <v>35.906001241949781</v>
      </c>
    </row>
    <row r="4" spans="1:12" x14ac:dyDescent="0.25">
      <c r="A4" s="6" t="s">
        <v>0</v>
      </c>
      <c r="B4" s="1" t="s">
        <v>98</v>
      </c>
      <c r="C4" s="1" t="s">
        <v>140</v>
      </c>
      <c r="D4" s="1" t="s">
        <v>97</v>
      </c>
      <c r="E4" s="1" t="s">
        <v>20</v>
      </c>
      <c r="F4" s="12">
        <f>$L$2*0.5/60</f>
        <v>0.20258969288926404</v>
      </c>
      <c r="G4" s="1"/>
      <c r="H4" s="27">
        <f>F4*G4</f>
        <v>0</v>
      </c>
      <c r="K4" s="6" t="str">
        <f>[1]Summary!$G$45</f>
        <v>Welder cost/hour</v>
      </c>
      <c r="L4" s="27">
        <f>[2]Summary!$J$45+[2]Summary!$J$42</f>
        <v>42.182786956235496</v>
      </c>
    </row>
    <row r="5" spans="1:12" ht="15.75" thickBot="1" x14ac:dyDescent="0.3">
      <c r="A5" s="28" t="s">
        <v>118</v>
      </c>
      <c r="B5" s="1" t="s">
        <v>120</v>
      </c>
      <c r="C5" s="1" t="s">
        <v>115</v>
      </c>
      <c r="D5" s="1" t="s">
        <v>119</v>
      </c>
      <c r="E5" s="1" t="s">
        <v>20</v>
      </c>
      <c r="F5" s="12">
        <f>$L$2*0.25/60</f>
        <v>0.10129484644463202</v>
      </c>
      <c r="G5" s="1"/>
      <c r="H5" s="27">
        <f>F5*G5</f>
        <v>0</v>
      </c>
      <c r="K5" s="8" t="str">
        <f>[1]Summary!$G$46</f>
        <v>Engineer cost/hour</v>
      </c>
      <c r="L5" s="30">
        <f>[2]Summary!$J$46+[2]Summary!$J$42</f>
        <v>54.131001241949782</v>
      </c>
    </row>
    <row r="6" spans="1:12" x14ac:dyDescent="0.25">
      <c r="A6" s="28" t="s">
        <v>118</v>
      </c>
      <c r="B6" s="1" t="s">
        <v>117</v>
      </c>
      <c r="C6" s="1" t="s">
        <v>16</v>
      </c>
      <c r="D6" s="1" t="s">
        <v>121</v>
      </c>
      <c r="E6" s="1" t="s">
        <v>20</v>
      </c>
      <c r="F6" s="12">
        <f>$L$2*0.5/60</f>
        <v>0.20258969288926404</v>
      </c>
      <c r="G6" s="1"/>
      <c r="H6" s="27">
        <f>F6*G6</f>
        <v>0</v>
      </c>
      <c r="L6" s="16"/>
    </row>
    <row r="7" spans="1:12" x14ac:dyDescent="0.25">
      <c r="A7" s="6" t="s">
        <v>6</v>
      </c>
      <c r="B7" s="18"/>
      <c r="C7" s="18" t="s">
        <v>115</v>
      </c>
      <c r="D7" s="1" t="s">
        <v>116</v>
      </c>
      <c r="E7" s="1" t="s">
        <v>20</v>
      </c>
      <c r="F7" s="12">
        <f>$L$2*0.25/60</f>
        <v>0.10129484644463202</v>
      </c>
      <c r="G7" s="1"/>
      <c r="H7" s="27">
        <f>G7*F7</f>
        <v>0</v>
      </c>
    </row>
    <row r="8" spans="1:12" x14ac:dyDescent="0.25">
      <c r="A8" s="6" t="s">
        <v>132</v>
      </c>
      <c r="B8" s="18" t="s">
        <v>133</v>
      </c>
      <c r="C8" s="18" t="s">
        <v>61</v>
      </c>
      <c r="D8" s="17"/>
      <c r="E8" s="1"/>
      <c r="F8" s="17"/>
      <c r="G8" s="17"/>
      <c r="H8" s="27">
        <f>L2*2/60</f>
        <v>0.81035877155705616</v>
      </c>
    </row>
    <row r="9" spans="1:12" x14ac:dyDescent="0.25">
      <c r="A9" s="6" t="s">
        <v>8</v>
      </c>
      <c r="B9" s="18" t="s">
        <v>85</v>
      </c>
      <c r="C9" s="18" t="s">
        <v>86</v>
      </c>
      <c r="D9" s="1" t="s">
        <v>114</v>
      </c>
      <c r="E9" s="1" t="s">
        <v>20</v>
      </c>
      <c r="F9" s="12">
        <f t="shared" ref="F9" si="0">$L$2*1/60</f>
        <v>0.40517938577852808</v>
      </c>
      <c r="G9" s="1"/>
      <c r="H9" s="27">
        <f t="shared" ref="H9:H10" si="1">G9*F9</f>
        <v>0</v>
      </c>
    </row>
    <row r="10" spans="1:12" x14ac:dyDescent="0.25">
      <c r="A10" s="6" t="s">
        <v>8</v>
      </c>
      <c r="B10" s="18" t="s">
        <v>112</v>
      </c>
      <c r="C10" s="18" t="s">
        <v>15</v>
      </c>
      <c r="D10" s="1" t="s">
        <v>113</v>
      </c>
      <c r="E10" s="1" t="s">
        <v>20</v>
      </c>
      <c r="F10" s="12">
        <f>$L$2*5/60</f>
        <v>2.0258969288926405</v>
      </c>
      <c r="G10" s="1"/>
      <c r="H10" s="27">
        <f t="shared" si="1"/>
        <v>0</v>
      </c>
    </row>
    <row r="11" spans="1:12" x14ac:dyDescent="0.25">
      <c r="A11" s="6" t="s">
        <v>11</v>
      </c>
      <c r="B11" s="1"/>
      <c r="C11" s="1" t="s">
        <v>16</v>
      </c>
      <c r="D11" s="1" t="s">
        <v>105</v>
      </c>
      <c r="E11" s="1" t="s">
        <v>20</v>
      </c>
      <c r="F11" s="12">
        <f>$L$2*0.5/60</f>
        <v>0.20258969288926404</v>
      </c>
      <c r="G11" s="1"/>
      <c r="H11" s="27">
        <f>F11*G11</f>
        <v>0</v>
      </c>
    </row>
    <row r="12" spans="1:12" x14ac:dyDescent="0.25">
      <c r="A12" s="6" t="s">
        <v>10</v>
      </c>
      <c r="B12" s="1"/>
      <c r="C12" s="1" t="s">
        <v>16</v>
      </c>
      <c r="D12" s="1" t="s">
        <v>96</v>
      </c>
      <c r="E12" s="1" t="s">
        <v>20</v>
      </c>
      <c r="F12" s="12">
        <f t="shared" ref="F12:F13" si="2">$L$2*0.5/60</f>
        <v>0.20258969288926404</v>
      </c>
      <c r="G12" s="1"/>
      <c r="H12" s="27">
        <f t="shared" ref="H12:H13" si="3">F12*G12</f>
        <v>0</v>
      </c>
    </row>
    <row r="13" spans="1:12" ht="15.75" thickBot="1" x14ac:dyDescent="0.3">
      <c r="A13" s="8" t="s">
        <v>106</v>
      </c>
      <c r="B13" s="9"/>
      <c r="C13" s="9" t="s">
        <v>16</v>
      </c>
      <c r="D13" s="9" t="s">
        <v>96</v>
      </c>
      <c r="E13" s="9" t="s">
        <v>20</v>
      </c>
      <c r="F13" s="29">
        <f t="shared" si="2"/>
        <v>0.20258969288926404</v>
      </c>
      <c r="G13" s="9"/>
      <c r="H13" s="30">
        <f t="shared" si="3"/>
        <v>0</v>
      </c>
    </row>
    <row r="15" spans="1:12" ht="15.75" thickBot="1" x14ac:dyDescent="0.3"/>
    <row r="16" spans="1:12" x14ac:dyDescent="0.25">
      <c r="A16" s="58" t="s">
        <v>141</v>
      </c>
      <c r="B16" s="5" t="s">
        <v>180</v>
      </c>
      <c r="C16" s="5" t="s">
        <v>140</v>
      </c>
      <c r="D16" s="5" t="s">
        <v>116</v>
      </c>
      <c r="E16" s="5" t="s">
        <v>20</v>
      </c>
      <c r="F16" s="60">
        <f>$L$2*0.5/60</f>
        <v>0.20258969288926404</v>
      </c>
      <c r="G16" s="5"/>
      <c r="H16" s="26">
        <f>F16*G16</f>
        <v>0</v>
      </c>
    </row>
    <row r="17" spans="1:8" x14ac:dyDescent="0.25">
      <c r="A17" s="59" t="s">
        <v>142</v>
      </c>
      <c r="B17" s="1" t="s">
        <v>155</v>
      </c>
      <c r="C17" s="1" t="s">
        <v>139</v>
      </c>
      <c r="D17" s="1" t="s">
        <v>158</v>
      </c>
      <c r="E17" s="1" t="s">
        <v>20</v>
      </c>
      <c r="F17" s="61">
        <f>$L$2*0.25/60</f>
        <v>0.10129484644463202</v>
      </c>
      <c r="G17" s="1"/>
      <c r="H17" s="27">
        <f>F17*G17</f>
        <v>0</v>
      </c>
    </row>
    <row r="18" spans="1:8" x14ac:dyDescent="0.25">
      <c r="A18" s="59" t="s">
        <v>143</v>
      </c>
      <c r="B18" s="1" t="s">
        <v>156</v>
      </c>
      <c r="C18" s="1" t="s">
        <v>139</v>
      </c>
      <c r="D18" s="1" t="s">
        <v>159</v>
      </c>
      <c r="E18" s="1" t="s">
        <v>20</v>
      </c>
      <c r="F18" s="61">
        <f>$L$2*0.25/60</f>
        <v>0.10129484644463202</v>
      </c>
      <c r="G18" s="1"/>
      <c r="H18" s="27">
        <f>F18*G18</f>
        <v>0</v>
      </c>
    </row>
    <row r="19" spans="1:8" x14ac:dyDescent="0.25">
      <c r="A19" s="59" t="s">
        <v>143</v>
      </c>
      <c r="B19" s="1" t="s">
        <v>172</v>
      </c>
      <c r="C19" s="1" t="s">
        <v>139</v>
      </c>
      <c r="D19" s="1" t="s">
        <v>159</v>
      </c>
      <c r="E19" s="1" t="s">
        <v>20</v>
      </c>
      <c r="F19" s="61">
        <f>$L$2*0.25/60</f>
        <v>0.10129484644463202</v>
      </c>
      <c r="G19" s="1"/>
      <c r="H19" s="27">
        <f>F19*G19</f>
        <v>0</v>
      </c>
    </row>
    <row r="20" spans="1:8" x14ac:dyDescent="0.25">
      <c r="A20" s="59" t="s">
        <v>151</v>
      </c>
      <c r="B20" s="1"/>
      <c r="C20" s="1"/>
      <c r="D20" s="17"/>
      <c r="E20" s="1" t="s">
        <v>20</v>
      </c>
      <c r="F20" s="62"/>
      <c r="G20" s="17"/>
      <c r="H20" s="27"/>
    </row>
    <row r="21" spans="1:8" x14ac:dyDescent="0.25">
      <c r="A21" s="59" t="s">
        <v>65</v>
      </c>
      <c r="B21" s="1" t="s">
        <v>169</v>
      </c>
      <c r="C21" s="1" t="s">
        <v>139</v>
      </c>
      <c r="D21" s="1" t="s">
        <v>161</v>
      </c>
      <c r="E21" s="1" t="s">
        <v>20</v>
      </c>
      <c r="F21" s="61">
        <f>$L$2*0.25/60</f>
        <v>0.10129484644463202</v>
      </c>
      <c r="G21" s="1"/>
      <c r="H21" s="27">
        <f>F21*G21</f>
        <v>0</v>
      </c>
    </row>
    <row r="22" spans="1:8" x14ac:dyDescent="0.25">
      <c r="A22" s="59" t="s">
        <v>65</v>
      </c>
      <c r="B22" s="1" t="s">
        <v>182</v>
      </c>
      <c r="C22" s="1" t="s">
        <v>139</v>
      </c>
      <c r="D22" s="1" t="s">
        <v>161</v>
      </c>
      <c r="E22" s="1" t="s">
        <v>20</v>
      </c>
      <c r="F22" s="61">
        <f>$L$2*0.25/60</f>
        <v>0.10129484644463202</v>
      </c>
      <c r="G22" s="1"/>
      <c r="H22" s="27"/>
    </row>
    <row r="23" spans="1:8" x14ac:dyDescent="0.25">
      <c r="A23" s="59" t="s">
        <v>150</v>
      </c>
      <c r="B23" s="1" t="s">
        <v>173</v>
      </c>
      <c r="C23" s="1" t="s">
        <v>167</v>
      </c>
      <c r="D23" s="1" t="s">
        <v>164</v>
      </c>
      <c r="E23" s="1" t="s">
        <v>20</v>
      </c>
      <c r="F23" s="61">
        <f>$L$2/60</f>
        <v>0.40517938577852808</v>
      </c>
      <c r="G23" s="1"/>
      <c r="H23" s="27">
        <f>F23*G23</f>
        <v>0</v>
      </c>
    </row>
    <row r="24" spans="1:8" x14ac:dyDescent="0.25">
      <c r="A24" s="59" t="s">
        <v>150</v>
      </c>
      <c r="B24" s="1" t="s">
        <v>174</v>
      </c>
      <c r="C24" s="1" t="s">
        <v>175</v>
      </c>
      <c r="D24" s="1" t="s">
        <v>164</v>
      </c>
      <c r="E24" s="1" t="s">
        <v>20</v>
      </c>
      <c r="F24" s="61">
        <f>$L$2*3/60</f>
        <v>1.2155381573355843</v>
      </c>
      <c r="G24" s="1"/>
      <c r="H24" s="27"/>
    </row>
    <row r="25" spans="1:8" x14ac:dyDescent="0.25">
      <c r="A25" s="59" t="s">
        <v>144</v>
      </c>
      <c r="B25" s="1" t="s">
        <v>176</v>
      </c>
      <c r="C25" s="1" t="s">
        <v>139</v>
      </c>
      <c r="D25" s="1" t="s">
        <v>160</v>
      </c>
      <c r="E25" s="1" t="s">
        <v>20</v>
      </c>
      <c r="F25" s="61">
        <f>$L$2*0.25/60</f>
        <v>0.10129484644463202</v>
      </c>
      <c r="G25" s="1"/>
      <c r="H25" s="27">
        <f>F25*G25</f>
        <v>0</v>
      </c>
    </row>
    <row r="26" spans="1:8" x14ac:dyDescent="0.25">
      <c r="A26" s="59" t="s">
        <v>154</v>
      </c>
      <c r="B26" s="1" t="s">
        <v>188</v>
      </c>
      <c r="C26" s="1" t="s">
        <v>166</v>
      </c>
      <c r="D26" s="17"/>
      <c r="E26" s="1" t="s">
        <v>20</v>
      </c>
      <c r="F26" s="62"/>
      <c r="G26" s="17"/>
      <c r="H26" s="27"/>
    </row>
    <row r="27" spans="1:8" x14ac:dyDescent="0.25">
      <c r="A27" s="59" t="s">
        <v>153</v>
      </c>
      <c r="B27" s="1" t="s">
        <v>187</v>
      </c>
      <c r="C27" s="1" t="s">
        <v>140</v>
      </c>
      <c r="D27" s="1" t="s">
        <v>165</v>
      </c>
      <c r="E27" s="1" t="s">
        <v>20</v>
      </c>
      <c r="F27" s="61">
        <f>$L$2*0.5/60</f>
        <v>0.20258969288926404</v>
      </c>
      <c r="G27" s="1"/>
      <c r="H27" s="27">
        <f>F27*G27</f>
        <v>0</v>
      </c>
    </row>
    <row r="28" spans="1:8" x14ac:dyDescent="0.25">
      <c r="A28" s="59" t="s">
        <v>152</v>
      </c>
      <c r="B28" s="1" t="s">
        <v>157</v>
      </c>
      <c r="C28" s="1" t="s">
        <v>166</v>
      </c>
      <c r="D28" s="17"/>
      <c r="E28" s="1" t="s">
        <v>20</v>
      </c>
      <c r="F28" s="62"/>
      <c r="G28" s="17"/>
      <c r="H28" s="27">
        <f>$L$2*5/60</f>
        <v>2.0258969288926405</v>
      </c>
    </row>
    <row r="29" spans="1:8" x14ac:dyDescent="0.25">
      <c r="A29" s="59" t="s">
        <v>38</v>
      </c>
      <c r="B29" s="1" t="s">
        <v>162</v>
      </c>
      <c r="C29" s="1" t="s">
        <v>166</v>
      </c>
      <c r="D29" s="17"/>
      <c r="E29" s="1" t="s">
        <v>20</v>
      </c>
      <c r="F29" s="62"/>
      <c r="G29" s="17"/>
      <c r="H29" s="27">
        <f>$L$2*5/60</f>
        <v>2.0258969288926405</v>
      </c>
    </row>
    <row r="30" spans="1:8" x14ac:dyDescent="0.25">
      <c r="A30" s="59" t="s">
        <v>145</v>
      </c>
      <c r="B30" s="1" t="s">
        <v>170</v>
      </c>
      <c r="C30" s="1" t="s">
        <v>140</v>
      </c>
      <c r="D30" s="1" t="s">
        <v>159</v>
      </c>
      <c r="E30" s="1" t="s">
        <v>20</v>
      </c>
      <c r="F30" s="61">
        <f>$L$2*0.5/60</f>
        <v>0.20258969288926404</v>
      </c>
      <c r="G30" s="1"/>
      <c r="H30" s="27">
        <f t="shared" ref="H30:H35" si="4">F30*G30</f>
        <v>0</v>
      </c>
    </row>
    <row r="31" spans="1:8" x14ac:dyDescent="0.25">
      <c r="A31" s="59" t="s">
        <v>145</v>
      </c>
      <c r="B31" s="1" t="s">
        <v>171</v>
      </c>
      <c r="C31" s="1" t="s">
        <v>139</v>
      </c>
      <c r="D31" s="1" t="s">
        <v>159</v>
      </c>
      <c r="E31" s="1" t="s">
        <v>20</v>
      </c>
      <c r="F31" s="61">
        <f>$L$2*0.25/60</f>
        <v>0.10129484644463202</v>
      </c>
      <c r="G31" s="1"/>
      <c r="H31" s="27">
        <f t="shared" si="4"/>
        <v>0</v>
      </c>
    </row>
    <row r="32" spans="1:8" x14ac:dyDescent="0.25">
      <c r="A32" s="59" t="s">
        <v>146</v>
      </c>
      <c r="B32" s="1" t="s">
        <v>181</v>
      </c>
      <c r="C32" s="1" t="s">
        <v>167</v>
      </c>
      <c r="D32" s="1" t="s">
        <v>163</v>
      </c>
      <c r="E32" s="1" t="s">
        <v>20</v>
      </c>
      <c r="F32" s="61">
        <f>$L$2/60</f>
        <v>0.40517938577852808</v>
      </c>
      <c r="G32" s="1"/>
      <c r="H32" s="27">
        <f t="shared" si="4"/>
        <v>0</v>
      </c>
    </row>
    <row r="33" spans="1:8" x14ac:dyDescent="0.25">
      <c r="A33" s="59" t="s">
        <v>147</v>
      </c>
      <c r="B33" s="1" t="s">
        <v>183</v>
      </c>
      <c r="C33" s="1" t="s">
        <v>139</v>
      </c>
      <c r="D33" s="1" t="s">
        <v>159</v>
      </c>
      <c r="E33" s="1" t="s">
        <v>20</v>
      </c>
      <c r="F33" s="61">
        <f>$L$2*0.25/60</f>
        <v>0.10129484644463202</v>
      </c>
      <c r="G33" s="1"/>
      <c r="H33" s="27">
        <f t="shared" si="4"/>
        <v>0</v>
      </c>
    </row>
    <row r="34" spans="1:8" x14ac:dyDescent="0.25">
      <c r="A34" s="59" t="s">
        <v>148</v>
      </c>
      <c r="B34" s="1"/>
      <c r="C34" s="1" t="s">
        <v>179</v>
      </c>
      <c r="D34" s="1" t="s">
        <v>168</v>
      </c>
      <c r="E34" s="1" t="s">
        <v>20</v>
      </c>
      <c r="F34" s="61">
        <f>L10*20/60</f>
        <v>0</v>
      </c>
      <c r="G34" s="1"/>
      <c r="H34" s="27">
        <f t="shared" si="4"/>
        <v>0</v>
      </c>
    </row>
    <row r="35" spans="1:8" ht="15.75" thickBot="1" x14ac:dyDescent="0.3">
      <c r="A35" s="39" t="s">
        <v>149</v>
      </c>
      <c r="B35" s="9" t="s">
        <v>177</v>
      </c>
      <c r="C35" s="9" t="s">
        <v>178</v>
      </c>
      <c r="D35" s="9" t="s">
        <v>168</v>
      </c>
      <c r="E35" s="9" t="s">
        <v>20</v>
      </c>
      <c r="F35" s="64">
        <f>L10/60</f>
        <v>0</v>
      </c>
      <c r="G35" s="9"/>
      <c r="H35" s="30">
        <f t="shared" si="4"/>
        <v>0</v>
      </c>
    </row>
    <row r="37" spans="1:8" ht="15.75" thickBot="1" x14ac:dyDescent="0.3"/>
    <row r="38" spans="1:8" x14ac:dyDescent="0.25">
      <c r="A38" s="4" t="s">
        <v>0</v>
      </c>
      <c r="B38" s="5" t="s">
        <v>122</v>
      </c>
      <c r="C38" s="5" t="s">
        <v>135</v>
      </c>
      <c r="D38" s="25"/>
      <c r="E38" s="5" t="s">
        <v>20</v>
      </c>
      <c r="F38" s="25"/>
      <c r="G38" s="25"/>
      <c r="H38" s="26">
        <f>$L$2*6/60</f>
        <v>2.4310763146711687</v>
      </c>
    </row>
    <row r="39" spans="1:8" x14ac:dyDescent="0.25">
      <c r="A39" s="6" t="s">
        <v>0</v>
      </c>
      <c r="B39" s="1" t="s">
        <v>99</v>
      </c>
      <c r="C39" s="1" t="s">
        <v>14</v>
      </c>
      <c r="D39" s="17"/>
      <c r="E39" s="1" t="s">
        <v>20</v>
      </c>
      <c r="F39" s="17"/>
      <c r="G39" s="17"/>
      <c r="H39" s="27">
        <f>$L$2*15/60</f>
        <v>6.0776907866779215</v>
      </c>
    </row>
    <row r="40" spans="1:8" x14ac:dyDescent="0.25">
      <c r="A40" s="6" t="s">
        <v>0</v>
      </c>
      <c r="B40" s="1" t="s">
        <v>100</v>
      </c>
      <c r="C40" s="1" t="s">
        <v>13</v>
      </c>
      <c r="D40" s="17"/>
      <c r="E40" s="1" t="s">
        <v>20</v>
      </c>
      <c r="F40" s="17"/>
      <c r="G40" s="17"/>
      <c r="H40" s="27">
        <f>$L$2*10/60</f>
        <v>4.051793857785281</v>
      </c>
    </row>
    <row r="41" spans="1:8" x14ac:dyDescent="0.25">
      <c r="A41" s="6" t="s">
        <v>0</v>
      </c>
      <c r="B41" s="1" t="s">
        <v>101</v>
      </c>
      <c r="C41" s="1" t="s">
        <v>14</v>
      </c>
      <c r="D41" s="17"/>
      <c r="E41" s="1" t="s">
        <v>20</v>
      </c>
      <c r="F41" s="17"/>
      <c r="G41" s="17"/>
      <c r="H41" s="27">
        <f>$L$2*15/60</f>
        <v>6.0776907866779215</v>
      </c>
    </row>
    <row r="42" spans="1:8" x14ac:dyDescent="0.25">
      <c r="A42" s="6" t="s">
        <v>0</v>
      </c>
      <c r="B42" s="1" t="s">
        <v>102</v>
      </c>
      <c r="C42" s="1" t="s">
        <v>136</v>
      </c>
      <c r="D42" s="17"/>
      <c r="E42" s="1" t="s">
        <v>20</v>
      </c>
      <c r="F42" s="17"/>
      <c r="G42" s="17"/>
      <c r="H42" s="27">
        <f>$L$2*30/60</f>
        <v>12.155381573355843</v>
      </c>
    </row>
    <row r="43" spans="1:8" x14ac:dyDescent="0.25">
      <c r="A43" s="6" t="s">
        <v>0</v>
      </c>
      <c r="B43" s="1" t="s">
        <v>103</v>
      </c>
      <c r="C43" s="1" t="s">
        <v>15</v>
      </c>
      <c r="D43" s="17"/>
      <c r="E43" s="1" t="s">
        <v>20</v>
      </c>
      <c r="F43" s="17"/>
      <c r="G43" s="17"/>
      <c r="H43" s="27">
        <f>$L$2*5/60</f>
        <v>2.0258969288926405</v>
      </c>
    </row>
    <row r="44" spans="1:8" x14ac:dyDescent="0.25">
      <c r="A44" s="6" t="s">
        <v>0</v>
      </c>
      <c r="B44" s="1" t="s">
        <v>125</v>
      </c>
      <c r="C44" s="1" t="s">
        <v>15</v>
      </c>
      <c r="D44" s="17"/>
      <c r="E44" s="1" t="s">
        <v>20</v>
      </c>
      <c r="F44" s="17"/>
      <c r="G44" s="17"/>
      <c r="H44" s="27">
        <f t="shared" ref="H44" si="5">$L$2*5/60</f>
        <v>2.0258969288926405</v>
      </c>
    </row>
    <row r="45" spans="1:8" x14ac:dyDescent="0.25">
      <c r="A45" s="6" t="s">
        <v>0</v>
      </c>
      <c r="B45" s="1" t="s">
        <v>126</v>
      </c>
      <c r="C45" s="1" t="s">
        <v>13</v>
      </c>
      <c r="D45" s="17"/>
      <c r="E45" s="1" t="s">
        <v>20</v>
      </c>
      <c r="F45" s="17"/>
      <c r="G45" s="17"/>
      <c r="H45" s="27">
        <f>$L$2*10/60</f>
        <v>4.051793857785281</v>
      </c>
    </row>
    <row r="46" spans="1:8" x14ac:dyDescent="0.25">
      <c r="A46" s="6" t="s">
        <v>0</v>
      </c>
      <c r="B46" s="1" t="s">
        <v>127</v>
      </c>
      <c r="C46" s="1" t="s">
        <v>13</v>
      </c>
      <c r="D46" s="17"/>
      <c r="E46" s="1" t="s">
        <v>20</v>
      </c>
      <c r="F46" s="17"/>
      <c r="G46" s="17"/>
      <c r="H46" s="27">
        <f>$L$2*10/60</f>
        <v>4.051793857785281</v>
      </c>
    </row>
    <row r="47" spans="1:8" x14ac:dyDescent="0.25">
      <c r="A47" s="6" t="s">
        <v>0</v>
      </c>
      <c r="B47" s="1" t="s">
        <v>129</v>
      </c>
      <c r="C47" s="1" t="s">
        <v>86</v>
      </c>
      <c r="D47" s="17"/>
      <c r="E47" s="1" t="s">
        <v>20</v>
      </c>
      <c r="F47" s="17"/>
      <c r="G47" s="17"/>
      <c r="H47" s="27">
        <f>$L$2*1/60</f>
        <v>0.40517938577852808</v>
      </c>
    </row>
    <row r="48" spans="1:8" x14ac:dyDescent="0.25">
      <c r="A48" s="6" t="s">
        <v>0</v>
      </c>
      <c r="B48" s="1" t="s">
        <v>130</v>
      </c>
      <c r="C48" s="1" t="s">
        <v>86</v>
      </c>
      <c r="D48" s="17"/>
      <c r="E48" s="1" t="s">
        <v>20</v>
      </c>
      <c r="F48" s="17"/>
      <c r="G48" s="17"/>
      <c r="H48" s="27">
        <f>$L$2*1/60</f>
        <v>0.40517938577852808</v>
      </c>
    </row>
    <row r="49" spans="1:8" x14ac:dyDescent="0.25">
      <c r="A49" s="6" t="s">
        <v>0</v>
      </c>
      <c r="B49" s="1" t="s">
        <v>131</v>
      </c>
      <c r="C49" s="1" t="s">
        <v>15</v>
      </c>
      <c r="D49" s="17"/>
      <c r="E49" s="1" t="s">
        <v>20</v>
      </c>
      <c r="F49" s="17"/>
      <c r="G49" s="17"/>
      <c r="H49" s="27">
        <f>$L$2*5/60</f>
        <v>2.0258969288926405</v>
      </c>
    </row>
    <row r="50" spans="1:8" x14ac:dyDescent="0.25">
      <c r="A50" s="6" t="s">
        <v>0</v>
      </c>
      <c r="B50" s="1" t="s">
        <v>128</v>
      </c>
      <c r="C50" s="1" t="s">
        <v>15</v>
      </c>
      <c r="D50" s="17"/>
      <c r="E50" s="1" t="s">
        <v>20</v>
      </c>
      <c r="F50" s="17"/>
      <c r="G50" s="17"/>
      <c r="H50" s="27">
        <f>$L$2*5/60</f>
        <v>2.0258969288926405</v>
      </c>
    </row>
    <row r="51" spans="1:8" ht="45" x14ac:dyDescent="0.25">
      <c r="A51" s="6" t="s">
        <v>2</v>
      </c>
      <c r="B51" s="1" t="s">
        <v>104</v>
      </c>
      <c r="C51" s="2" t="s">
        <v>137</v>
      </c>
      <c r="D51" s="17"/>
      <c r="E51" s="1" t="s">
        <v>20</v>
      </c>
      <c r="F51" s="17"/>
      <c r="G51" s="17"/>
      <c r="H51" s="27">
        <f>$L$2*2*10/60</f>
        <v>8.103587715570562</v>
      </c>
    </row>
    <row r="52" spans="1:8" x14ac:dyDescent="0.25">
      <c r="A52" s="6" t="s">
        <v>4</v>
      </c>
      <c r="B52" s="1" t="s">
        <v>108</v>
      </c>
      <c r="C52" s="1" t="s">
        <v>15</v>
      </c>
      <c r="D52" s="17"/>
      <c r="E52" s="1" t="s">
        <v>20</v>
      </c>
      <c r="F52" s="17"/>
      <c r="G52" s="17"/>
      <c r="H52" s="27">
        <f>$L$2*5/60</f>
        <v>2.0258969288926405</v>
      </c>
    </row>
    <row r="53" spans="1:8" x14ac:dyDescent="0.25">
      <c r="A53" s="6" t="s">
        <v>4</v>
      </c>
      <c r="B53" s="1" t="s">
        <v>107</v>
      </c>
      <c r="C53" s="1" t="s">
        <v>13</v>
      </c>
      <c r="D53" s="17"/>
      <c r="E53" s="1" t="s">
        <v>20</v>
      </c>
      <c r="F53" s="17"/>
      <c r="G53" s="17"/>
      <c r="H53" s="27">
        <f>$L$2*10/60</f>
        <v>4.051793857785281</v>
      </c>
    </row>
    <row r="54" spans="1:8" x14ac:dyDescent="0.25">
      <c r="A54" s="6" t="s">
        <v>4</v>
      </c>
      <c r="B54" s="1" t="s">
        <v>109</v>
      </c>
      <c r="C54" s="1" t="s">
        <v>15</v>
      </c>
      <c r="D54" s="17"/>
      <c r="E54" s="1" t="s">
        <v>20</v>
      </c>
      <c r="F54" s="17"/>
      <c r="G54" s="17"/>
      <c r="H54" s="27">
        <f t="shared" ref="H54:H55" si="6">$L$2*5/60</f>
        <v>2.0258969288926405</v>
      </c>
    </row>
    <row r="55" spans="1:8" x14ac:dyDescent="0.25">
      <c r="A55" s="6" t="s">
        <v>4</v>
      </c>
      <c r="B55" s="1" t="s">
        <v>12</v>
      </c>
      <c r="C55" s="1" t="s">
        <v>15</v>
      </c>
      <c r="D55" s="17"/>
      <c r="E55" s="1" t="s">
        <v>20</v>
      </c>
      <c r="F55" s="17"/>
      <c r="G55" s="17"/>
      <c r="H55" s="27">
        <f t="shared" si="6"/>
        <v>2.0258969288926405</v>
      </c>
    </row>
    <row r="56" spans="1:8" x14ac:dyDescent="0.25">
      <c r="A56" s="6" t="s">
        <v>4</v>
      </c>
      <c r="B56" s="18" t="s">
        <v>110</v>
      </c>
      <c r="C56" s="18" t="s">
        <v>86</v>
      </c>
      <c r="D56" s="1" t="s">
        <v>111</v>
      </c>
      <c r="E56" s="1" t="s">
        <v>20</v>
      </c>
      <c r="F56" s="12">
        <f>$L$2*1/60</f>
        <v>0.40517938577852808</v>
      </c>
      <c r="G56" s="1"/>
      <c r="H56" s="27">
        <f>G56*F56</f>
        <v>0</v>
      </c>
    </row>
  </sheetData>
  <sortState xmlns:xlrd2="http://schemas.microsoft.com/office/spreadsheetml/2017/richdata2" ref="A16:H35">
    <sortCondition ref="A16:A35"/>
  </sortState>
  <pageMargins left="0.7" right="0.7" top="0.75" bottom="0.75" header="0.3" footer="0.3"/>
  <pageSetup paperSize="9" orientation="portrait" r:id="rId1"/>
  <ignoredErrors>
    <ignoredError sqref="H8 F4 F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workbookViewId="0">
      <selection activeCell="L2" sqref="L2"/>
    </sheetView>
  </sheetViews>
  <sheetFormatPr baseColWidth="10" defaultRowHeight="15" x14ac:dyDescent="0.25"/>
  <cols>
    <col min="1" max="1" width="17.28515625" customWidth="1"/>
    <col min="2" max="2" width="8.28515625" customWidth="1"/>
    <col min="3" max="3" width="42" customWidth="1"/>
    <col min="4" max="4" width="10.85546875" customWidth="1"/>
    <col min="5" max="5" width="8.85546875" customWidth="1"/>
    <col min="6" max="6" width="13.7109375" customWidth="1"/>
    <col min="7" max="7" width="16.28515625" customWidth="1"/>
    <col min="11" max="11" width="18.5703125" customWidth="1"/>
  </cols>
  <sheetData>
    <row r="1" spans="1:12" ht="15.75" thickBot="1" x14ac:dyDescent="0.3">
      <c r="A1" s="31" t="s">
        <v>17</v>
      </c>
      <c r="B1" s="32" t="s">
        <v>134</v>
      </c>
      <c r="C1" s="32" t="s">
        <v>18</v>
      </c>
      <c r="D1" s="32" t="s">
        <v>19</v>
      </c>
      <c r="E1" s="33" t="s">
        <v>22</v>
      </c>
      <c r="K1" s="11" t="s">
        <v>21</v>
      </c>
      <c r="L1" s="1"/>
    </row>
    <row r="2" spans="1:12" x14ac:dyDescent="0.25">
      <c r="A2" s="34" t="s">
        <v>5</v>
      </c>
      <c r="B2" s="36" t="s">
        <v>15</v>
      </c>
      <c r="C2" s="36" t="s">
        <v>25</v>
      </c>
      <c r="D2" s="36" t="s">
        <v>20</v>
      </c>
      <c r="E2" s="35">
        <f>L2*5/60</f>
        <v>2.0258969288926405</v>
      </c>
      <c r="K2" s="1" t="str">
        <f>Assembly!K2</f>
        <v>Operator cost/hour</v>
      </c>
      <c r="L2" s="13">
        <f>Assembly!L2</f>
        <v>24.310763146711686</v>
      </c>
    </row>
    <row r="3" spans="1:12" x14ac:dyDescent="0.25">
      <c r="A3" s="6" t="s">
        <v>27</v>
      </c>
      <c r="B3" s="1" t="s">
        <v>15</v>
      </c>
      <c r="C3" s="1" t="s">
        <v>23</v>
      </c>
      <c r="D3" s="1" t="s">
        <v>24</v>
      </c>
      <c r="E3" s="27">
        <f>L4*5/60</f>
        <v>3.5152322463529582</v>
      </c>
      <c r="K3" s="1" t="str">
        <f>Assembly!K3</f>
        <v>Technician cost/hour</v>
      </c>
      <c r="L3" s="13">
        <f>Assembly!L3</f>
        <v>35.906001241949781</v>
      </c>
    </row>
    <row r="4" spans="1:12" x14ac:dyDescent="0.25">
      <c r="A4" s="6" t="s">
        <v>27</v>
      </c>
      <c r="B4" s="1" t="s">
        <v>14</v>
      </c>
      <c r="C4" s="1" t="s">
        <v>30</v>
      </c>
      <c r="D4" s="1" t="s">
        <v>20</v>
      </c>
      <c r="E4" s="27">
        <f>$L$2*15/60</f>
        <v>6.0776907866779215</v>
      </c>
      <c r="K4" s="1" t="str">
        <f>Assembly!K4</f>
        <v>Welder cost/hour</v>
      </c>
      <c r="L4" s="13">
        <f>Assembly!L4</f>
        <v>42.182786956235496</v>
      </c>
    </row>
    <row r="5" spans="1:12" x14ac:dyDescent="0.25">
      <c r="A5" s="6" t="s">
        <v>27</v>
      </c>
      <c r="B5" s="1" t="s">
        <v>14</v>
      </c>
      <c r="C5" s="1" t="s">
        <v>29</v>
      </c>
      <c r="D5" s="1" t="s">
        <v>20</v>
      </c>
      <c r="E5" s="27">
        <f>$L$2*15/60</f>
        <v>6.0776907866779215</v>
      </c>
      <c r="K5" s="1" t="str">
        <f>Assembly!K5</f>
        <v>Engineer cost/hour</v>
      </c>
      <c r="L5" s="13">
        <f>Assembly!L5</f>
        <v>54.131001241949782</v>
      </c>
    </row>
    <row r="6" spans="1:12" ht="15.75" thickBot="1" x14ac:dyDescent="0.3">
      <c r="A6" s="8" t="s">
        <v>27</v>
      </c>
      <c r="B6" s="9" t="s">
        <v>14</v>
      </c>
      <c r="C6" s="9" t="s">
        <v>28</v>
      </c>
      <c r="D6" s="9" t="s">
        <v>20</v>
      </c>
      <c r="E6" s="30">
        <f>$L$2*15/60</f>
        <v>6.0776907866779215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"/>
  <sheetViews>
    <sheetView workbookViewId="0">
      <selection activeCell="D29" sqref="D29"/>
    </sheetView>
  </sheetViews>
  <sheetFormatPr baseColWidth="10" defaultRowHeight="15" x14ac:dyDescent="0.25"/>
  <cols>
    <col min="1" max="1" width="26" customWidth="1"/>
    <col min="2" max="2" width="8" customWidth="1"/>
    <col min="3" max="3" width="15.140625" customWidth="1"/>
    <col min="4" max="4" width="14.140625" customWidth="1"/>
    <col min="5" max="5" width="10.42578125" customWidth="1"/>
    <col min="6" max="6" width="9.7109375" customWidth="1"/>
    <col min="11" max="11" width="18.7109375" customWidth="1"/>
  </cols>
  <sheetData>
    <row r="1" spans="1:12" ht="15.75" thickBot="1" x14ac:dyDescent="0.3">
      <c r="A1" s="31" t="s">
        <v>17</v>
      </c>
      <c r="B1" s="37" t="s">
        <v>134</v>
      </c>
      <c r="C1" s="32" t="s">
        <v>18</v>
      </c>
      <c r="D1" s="32" t="s">
        <v>19</v>
      </c>
      <c r="E1" s="33" t="s">
        <v>22</v>
      </c>
      <c r="K1" s="11" t="s">
        <v>21</v>
      </c>
      <c r="L1" s="1"/>
    </row>
    <row r="2" spans="1:12" x14ac:dyDescent="0.25">
      <c r="A2" s="34" t="s">
        <v>1</v>
      </c>
      <c r="B2" s="38" t="s">
        <v>13</v>
      </c>
      <c r="C2" s="36" t="s">
        <v>31</v>
      </c>
      <c r="D2" s="36" t="s">
        <v>20</v>
      </c>
      <c r="E2" s="35">
        <f>$L$2*10/60</f>
        <v>4.051793857785281</v>
      </c>
      <c r="K2" s="1" t="str">
        <f>Assembly!K2</f>
        <v>Operator cost/hour</v>
      </c>
      <c r="L2" s="13">
        <f>Assembly!L2</f>
        <v>24.310763146711686</v>
      </c>
    </row>
    <row r="3" spans="1:12" ht="15.75" thickBot="1" x14ac:dyDescent="0.3">
      <c r="A3" s="8" t="s">
        <v>3</v>
      </c>
      <c r="B3" s="39" t="s">
        <v>13</v>
      </c>
      <c r="C3" s="9" t="s">
        <v>31</v>
      </c>
      <c r="D3" s="9" t="s">
        <v>20</v>
      </c>
      <c r="E3" s="30">
        <f>$L$2*10/60</f>
        <v>4.051793857785281</v>
      </c>
      <c r="K3" s="1" t="str">
        <f>Assembly!K3</f>
        <v>Technician cost/hour</v>
      </c>
      <c r="L3" s="13">
        <f>Assembly!L3</f>
        <v>35.906001241949781</v>
      </c>
    </row>
    <row r="4" spans="1:12" x14ac:dyDescent="0.25">
      <c r="K4" s="1" t="str">
        <f>Assembly!K4</f>
        <v>Welder cost/hour</v>
      </c>
      <c r="L4" s="13">
        <f>Assembly!L4</f>
        <v>42.182786956235496</v>
      </c>
    </row>
    <row r="5" spans="1:12" x14ac:dyDescent="0.25">
      <c r="K5" s="1" t="str">
        <f>Assembly!K5</f>
        <v>Engineer cost/hour</v>
      </c>
      <c r="L5" s="13">
        <f>Assembly!L5</f>
        <v>54.131001241949782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4"/>
  <sheetViews>
    <sheetView workbookViewId="0">
      <selection activeCell="A2" sqref="A2:B2"/>
    </sheetView>
  </sheetViews>
  <sheetFormatPr baseColWidth="10" defaultRowHeight="15" x14ac:dyDescent="0.25"/>
  <cols>
    <col min="1" max="1" width="29.42578125" customWidth="1"/>
    <col min="2" max="2" width="23.140625" customWidth="1"/>
    <col min="3" max="3" width="14.140625" customWidth="1"/>
    <col min="4" max="4" width="10.28515625" customWidth="1"/>
    <col min="5" max="5" width="20.28515625" customWidth="1"/>
    <col min="6" max="6" width="12.5703125" customWidth="1"/>
    <col min="7" max="7" width="16.28515625" customWidth="1"/>
    <col min="8" max="8" width="8.85546875" customWidth="1"/>
    <col min="9" max="9" width="9.5703125" customWidth="1"/>
    <col min="11" max="11" width="15" customWidth="1"/>
    <col min="12" max="12" width="18.7109375" customWidth="1"/>
  </cols>
  <sheetData>
    <row r="1" spans="1:14" ht="15.75" thickBot="1" x14ac:dyDescent="0.3">
      <c r="A1" s="31" t="s">
        <v>17</v>
      </c>
      <c r="B1" s="32" t="s">
        <v>18</v>
      </c>
      <c r="C1" s="32" t="s">
        <v>41</v>
      </c>
      <c r="D1" s="32" t="s">
        <v>19</v>
      </c>
      <c r="E1" s="32" t="s">
        <v>62</v>
      </c>
      <c r="F1" s="32" t="s">
        <v>49</v>
      </c>
      <c r="G1" s="32" t="s">
        <v>43</v>
      </c>
      <c r="H1" s="32" t="s">
        <v>63</v>
      </c>
      <c r="I1" s="32" t="s">
        <v>73</v>
      </c>
      <c r="J1" s="33" t="s">
        <v>72</v>
      </c>
      <c r="L1" s="11" t="s">
        <v>21</v>
      </c>
      <c r="M1" s="1"/>
      <c r="N1" s="15"/>
    </row>
    <row r="2" spans="1:14" x14ac:dyDescent="0.25">
      <c r="A2" s="46" t="s">
        <v>32</v>
      </c>
      <c r="B2" s="36" t="s">
        <v>40</v>
      </c>
      <c r="C2" s="36" t="s">
        <v>42</v>
      </c>
      <c r="D2" s="36" t="s">
        <v>20</v>
      </c>
      <c r="E2" s="47"/>
      <c r="F2" s="48">
        <f>M2*2/60</f>
        <v>0.81035877155705616</v>
      </c>
      <c r="G2" s="36"/>
      <c r="H2" s="49">
        <f>G2*F2</f>
        <v>0</v>
      </c>
      <c r="I2" s="47"/>
      <c r="J2" s="50"/>
      <c r="L2" s="1" t="str">
        <f>Assembly!K2</f>
        <v>Operator cost/hour</v>
      </c>
      <c r="M2" s="13">
        <f>Assembly!L2</f>
        <v>24.310763146711686</v>
      </c>
      <c r="N2" s="15"/>
    </row>
    <row r="3" spans="1:14" x14ac:dyDescent="0.25">
      <c r="A3" s="65" t="s">
        <v>33</v>
      </c>
      <c r="B3" s="1" t="s">
        <v>45</v>
      </c>
      <c r="C3" s="1" t="s">
        <v>46</v>
      </c>
      <c r="D3" s="1" t="s">
        <v>20</v>
      </c>
      <c r="E3" s="1">
        <v>1</v>
      </c>
      <c r="F3" s="20">
        <f>([2]Summary!$R$63*[2]Summary!$R$64/E3+[2]Summary!$R$63*(1-[2]Summary!$R$64))*J3</f>
        <v>9.0352671777518655E-5</v>
      </c>
      <c r="G3" s="1"/>
      <c r="H3" s="13">
        <f t="shared" ref="H3:H6" si="0">G3*F3</f>
        <v>0</v>
      </c>
      <c r="I3" s="1" t="s">
        <v>75</v>
      </c>
      <c r="J3" s="7">
        <f>VLOOKUP(I3,$A$32:$B$34,2)</f>
        <v>1</v>
      </c>
      <c r="L3" s="1" t="str">
        <f>Assembly!K3</f>
        <v>Technician cost/hour</v>
      </c>
      <c r="M3" s="13">
        <f>Assembly!L3</f>
        <v>35.906001241949781</v>
      </c>
      <c r="N3" s="15"/>
    </row>
    <row r="4" spans="1:14" x14ac:dyDescent="0.25">
      <c r="A4" s="65"/>
      <c r="B4" s="1" t="s">
        <v>44</v>
      </c>
      <c r="C4" s="1" t="s">
        <v>46</v>
      </c>
      <c r="D4" s="1" t="s">
        <v>20</v>
      </c>
      <c r="E4" s="1">
        <v>1</v>
      </c>
      <c r="F4" s="20">
        <f>([2]Summary!$R$49*[2]Summary!$R$50/E4 + [2]Summary!$R$49* (1 - [2]Summary!$R$50))*J4</f>
        <v>9.9152219129231255E-5</v>
      </c>
      <c r="G4" s="1"/>
      <c r="H4" s="13">
        <f t="shared" si="0"/>
        <v>0</v>
      </c>
      <c r="I4" s="1" t="s">
        <v>75</v>
      </c>
      <c r="J4" s="7">
        <f t="shared" ref="J4:J6" si="1">VLOOKUP(I4,$A$32:$B$34,2)</f>
        <v>1</v>
      </c>
      <c r="L4" s="1" t="str">
        <f>Assembly!K4</f>
        <v>Welder cost/hour</v>
      </c>
      <c r="M4" s="13">
        <f>Assembly!L4</f>
        <v>42.182786956235496</v>
      </c>
      <c r="N4" s="15"/>
    </row>
    <row r="5" spans="1:14" x14ac:dyDescent="0.25">
      <c r="A5" s="65" t="s">
        <v>34</v>
      </c>
      <c r="B5" s="1" t="s">
        <v>45</v>
      </c>
      <c r="C5" s="1" t="s">
        <v>46</v>
      </c>
      <c r="D5" s="1" t="s">
        <v>20</v>
      </c>
      <c r="E5" s="19"/>
      <c r="F5" s="20">
        <f>[2]Summary!$R$96*J5</f>
        <v>2.0743136387664342E-4</v>
      </c>
      <c r="G5" s="1"/>
      <c r="H5" s="13">
        <f t="shared" si="0"/>
        <v>0</v>
      </c>
      <c r="I5" s="1" t="s">
        <v>75</v>
      </c>
      <c r="J5" s="7">
        <f t="shared" si="1"/>
        <v>1</v>
      </c>
      <c r="L5" s="1" t="str">
        <f>Assembly!K5</f>
        <v>Engineer cost/hour</v>
      </c>
      <c r="M5" s="13">
        <f>Assembly!L5</f>
        <v>54.131001241949782</v>
      </c>
      <c r="N5" s="15"/>
    </row>
    <row r="6" spans="1:14" x14ac:dyDescent="0.25">
      <c r="A6" s="65" t="s">
        <v>34</v>
      </c>
      <c r="B6" s="1" t="s">
        <v>44</v>
      </c>
      <c r="C6" s="1" t="s">
        <v>46</v>
      </c>
      <c r="D6" s="1" t="s">
        <v>20</v>
      </c>
      <c r="E6" s="19"/>
      <c r="F6" s="20">
        <f>[2]Summary!$R$96</f>
        <v>2.0743136387664342E-4</v>
      </c>
      <c r="G6" s="1"/>
      <c r="H6" s="13">
        <f t="shared" si="0"/>
        <v>0</v>
      </c>
      <c r="I6" s="1" t="s">
        <v>75</v>
      </c>
      <c r="J6" s="7">
        <f t="shared" si="1"/>
        <v>1</v>
      </c>
      <c r="L6" s="15"/>
      <c r="M6" s="15"/>
      <c r="N6" s="15"/>
    </row>
    <row r="7" spans="1:14" x14ac:dyDescent="0.25">
      <c r="A7" s="65" t="s">
        <v>35</v>
      </c>
      <c r="B7" s="1" t="s">
        <v>50</v>
      </c>
      <c r="C7" s="1"/>
      <c r="D7" s="1" t="s">
        <v>20</v>
      </c>
      <c r="E7" s="19"/>
      <c r="F7" s="12">
        <f>[2]Summary!$R$72</f>
        <v>14.114977022170395</v>
      </c>
      <c r="G7" s="1" t="s">
        <v>48</v>
      </c>
      <c r="H7" s="13">
        <f>F7</f>
        <v>14.114977022170395</v>
      </c>
      <c r="I7" s="19"/>
      <c r="J7" s="41"/>
      <c r="L7" s="15"/>
      <c r="M7" s="15"/>
      <c r="N7" s="15"/>
    </row>
    <row r="8" spans="1:14" x14ac:dyDescent="0.25">
      <c r="A8" s="65"/>
      <c r="B8" s="1" t="s">
        <v>51</v>
      </c>
      <c r="C8" s="1"/>
      <c r="D8" s="1" t="s">
        <v>20</v>
      </c>
      <c r="E8" s="19"/>
      <c r="F8" s="12">
        <f>[2]Summary!$R$97</f>
        <v>7.7776081938321706</v>
      </c>
      <c r="G8" s="1" t="s">
        <v>48</v>
      </c>
      <c r="H8" s="13">
        <f t="shared" ref="H8:H14" si="2">F8</f>
        <v>7.7776081938321706</v>
      </c>
      <c r="I8" s="19"/>
      <c r="J8" s="41"/>
      <c r="L8" s="15"/>
      <c r="M8" s="15"/>
      <c r="N8" s="15"/>
    </row>
    <row r="9" spans="1:14" x14ac:dyDescent="0.25">
      <c r="A9" s="65"/>
      <c r="B9" s="1" t="s">
        <v>53</v>
      </c>
      <c r="C9" s="1"/>
      <c r="D9" s="1" t="s">
        <v>20</v>
      </c>
      <c r="E9" s="19"/>
      <c r="F9" s="12">
        <f>[2]Summary!$R$58</f>
        <v>15.87008144897448</v>
      </c>
      <c r="G9" s="1" t="s">
        <v>48</v>
      </c>
      <c r="H9" s="13">
        <f t="shared" si="2"/>
        <v>15.87008144897448</v>
      </c>
      <c r="I9" s="19"/>
      <c r="J9" s="41"/>
    </row>
    <row r="10" spans="1:14" x14ac:dyDescent="0.25">
      <c r="A10" s="65" t="s">
        <v>35</v>
      </c>
      <c r="B10" s="1" t="s">
        <v>52</v>
      </c>
      <c r="C10" s="1"/>
      <c r="D10" s="1" t="s">
        <v>20</v>
      </c>
      <c r="E10" s="19"/>
      <c r="F10" s="12">
        <f>[2]Summary!$R$97</f>
        <v>7.7776081938321706</v>
      </c>
      <c r="G10" s="1" t="s">
        <v>48</v>
      </c>
      <c r="H10" s="13">
        <f t="shared" si="2"/>
        <v>7.7776081938321706</v>
      </c>
      <c r="I10" s="19"/>
      <c r="J10" s="41"/>
    </row>
    <row r="11" spans="1:14" x14ac:dyDescent="0.25">
      <c r="A11" s="65" t="s">
        <v>36</v>
      </c>
      <c r="B11" s="1" t="s">
        <v>50</v>
      </c>
      <c r="C11" s="1"/>
      <c r="D11" s="1" t="s">
        <v>20</v>
      </c>
      <c r="E11" s="19"/>
      <c r="F11" s="12">
        <f>[2]Summary!$R$72</f>
        <v>14.114977022170395</v>
      </c>
      <c r="G11" s="1" t="s">
        <v>48</v>
      </c>
      <c r="H11" s="13">
        <f t="shared" si="2"/>
        <v>14.114977022170395</v>
      </c>
      <c r="I11" s="19"/>
      <c r="J11" s="41"/>
    </row>
    <row r="12" spans="1:14" x14ac:dyDescent="0.25">
      <c r="A12" s="65"/>
      <c r="B12" s="1" t="s">
        <v>51</v>
      </c>
      <c r="C12" s="1"/>
      <c r="D12" s="1" t="s">
        <v>20</v>
      </c>
      <c r="E12" s="19"/>
      <c r="F12" s="12">
        <f>[2]Summary!$R$97</f>
        <v>7.7776081938321706</v>
      </c>
      <c r="G12" s="1" t="s">
        <v>48</v>
      </c>
      <c r="H12" s="13">
        <f t="shared" si="2"/>
        <v>7.7776081938321706</v>
      </c>
      <c r="I12" s="19"/>
      <c r="J12" s="41"/>
    </row>
    <row r="13" spans="1:14" x14ac:dyDescent="0.25">
      <c r="A13" s="65"/>
      <c r="B13" s="1" t="s">
        <v>53</v>
      </c>
      <c r="C13" s="1"/>
      <c r="D13" s="1" t="s">
        <v>20</v>
      </c>
      <c r="E13" s="19"/>
      <c r="F13" s="12">
        <f>[2]Summary!$R$58</f>
        <v>15.87008144897448</v>
      </c>
      <c r="G13" s="1" t="s">
        <v>48</v>
      </c>
      <c r="H13" s="13">
        <f t="shared" si="2"/>
        <v>15.87008144897448</v>
      </c>
      <c r="I13" s="19"/>
      <c r="J13" s="41"/>
    </row>
    <row r="14" spans="1:14" x14ac:dyDescent="0.25">
      <c r="A14" s="65" t="s">
        <v>36</v>
      </c>
      <c r="B14" s="1" t="s">
        <v>52</v>
      </c>
      <c r="C14" s="1"/>
      <c r="D14" s="1" t="s">
        <v>20</v>
      </c>
      <c r="E14" s="19"/>
      <c r="F14" s="12">
        <f>[2]Summary!$R$97</f>
        <v>7.7776081938321706</v>
      </c>
      <c r="G14" s="1" t="s">
        <v>48</v>
      </c>
      <c r="H14" s="13">
        <f t="shared" si="2"/>
        <v>7.7776081938321706</v>
      </c>
      <c r="I14" s="19"/>
      <c r="J14" s="41"/>
    </row>
    <row r="15" spans="1:14" x14ac:dyDescent="0.25">
      <c r="A15" s="65" t="s">
        <v>37</v>
      </c>
      <c r="B15" s="21" t="s">
        <v>57</v>
      </c>
      <c r="C15" s="1" t="s">
        <v>46</v>
      </c>
      <c r="D15" s="1" t="s">
        <v>20</v>
      </c>
      <c r="E15" s="1">
        <v>1</v>
      </c>
      <c r="F15" s="20">
        <f>[2]Summary!$R$69/E15</f>
        <v>1.6207175431141127E-5</v>
      </c>
      <c r="G15" s="1"/>
      <c r="H15" s="13">
        <f>G15*F15</f>
        <v>0</v>
      </c>
      <c r="I15" s="19"/>
      <c r="J15" s="41"/>
    </row>
    <row r="16" spans="1:14" x14ac:dyDescent="0.25">
      <c r="A16" s="65"/>
      <c r="B16" s="21" t="s">
        <v>55</v>
      </c>
      <c r="C16" s="1" t="s">
        <v>46</v>
      </c>
      <c r="D16" s="1" t="s">
        <v>26</v>
      </c>
      <c r="E16" s="1">
        <v>1</v>
      </c>
      <c r="F16" s="20">
        <f>[2]Summary!$R$70/E16</f>
        <v>2.3937334161299856E-5</v>
      </c>
      <c r="G16" s="1"/>
      <c r="H16" s="13">
        <f>G16*F16</f>
        <v>0</v>
      </c>
      <c r="I16" s="19"/>
      <c r="J16" s="41"/>
    </row>
    <row r="17" spans="1:10" x14ac:dyDescent="0.25">
      <c r="A17" s="65"/>
      <c r="B17" s="21" t="s">
        <v>56</v>
      </c>
      <c r="C17" s="1" t="s">
        <v>46</v>
      </c>
      <c r="D17" s="1" t="s">
        <v>54</v>
      </c>
      <c r="E17" s="1">
        <v>1</v>
      </c>
      <c r="F17" s="20">
        <f>[2]Summary!$R$71/E17</f>
        <v>3.6087334161299856E-5</v>
      </c>
      <c r="G17" s="1"/>
      <c r="H17" s="13">
        <f t="shared" ref="H17:H28" si="3">G17*F17</f>
        <v>0</v>
      </c>
      <c r="I17" s="19"/>
      <c r="J17" s="41"/>
    </row>
    <row r="18" spans="1:10" x14ac:dyDescent="0.25">
      <c r="A18" s="65"/>
      <c r="B18" s="1" t="s">
        <v>58</v>
      </c>
      <c r="C18" s="1" t="s">
        <v>46</v>
      </c>
      <c r="D18" s="1" t="s">
        <v>20</v>
      </c>
      <c r="E18" s="1">
        <v>1</v>
      </c>
      <c r="F18" s="20">
        <f>[2]Summary!$R$55/E18</f>
        <v>1.6207175431141127E-5</v>
      </c>
      <c r="G18" s="1"/>
      <c r="H18" s="13">
        <f t="shared" si="3"/>
        <v>0</v>
      </c>
      <c r="I18" s="19"/>
      <c r="J18" s="41"/>
    </row>
    <row r="19" spans="1:10" x14ac:dyDescent="0.25">
      <c r="A19" s="65"/>
      <c r="B19" s="1" t="s">
        <v>59</v>
      </c>
      <c r="C19" s="1" t="s">
        <v>46</v>
      </c>
      <c r="D19" s="1" t="s">
        <v>26</v>
      </c>
      <c r="E19" s="1">
        <v>1</v>
      </c>
      <c r="F19" s="20">
        <f>[2]Summary!$R$56/E19</f>
        <v>2.3937334161299856E-5</v>
      </c>
      <c r="G19" s="1"/>
      <c r="H19" s="13">
        <f t="shared" si="3"/>
        <v>0</v>
      </c>
      <c r="I19" s="19"/>
      <c r="J19" s="41"/>
    </row>
    <row r="20" spans="1:10" ht="13.9" customHeight="1" x14ac:dyDescent="0.25">
      <c r="A20" s="65" t="s">
        <v>37</v>
      </c>
      <c r="B20" s="1" t="s">
        <v>60</v>
      </c>
      <c r="C20" s="1" t="s">
        <v>46</v>
      </c>
      <c r="D20" s="1" t="s">
        <v>54</v>
      </c>
      <c r="E20" s="1">
        <v>1</v>
      </c>
      <c r="F20" s="20">
        <f>[2]Summary!$R$57/E20</f>
        <v>3.6087334161299856E-5</v>
      </c>
      <c r="G20" s="1"/>
      <c r="H20" s="13">
        <f t="shared" si="3"/>
        <v>0</v>
      </c>
      <c r="I20" s="19"/>
      <c r="J20" s="41"/>
    </row>
    <row r="21" spans="1:10" x14ac:dyDescent="0.25">
      <c r="A21" s="65" t="s">
        <v>38</v>
      </c>
      <c r="B21" s="21" t="s">
        <v>57</v>
      </c>
      <c r="C21" s="1" t="s">
        <v>46</v>
      </c>
      <c r="D21" s="1" t="s">
        <v>20</v>
      </c>
      <c r="E21" s="1">
        <v>1</v>
      </c>
      <c r="F21" s="20">
        <f>[2]Summary!$R$66/E21</f>
        <v>2.0258969288926407E-5</v>
      </c>
      <c r="G21" s="1"/>
      <c r="H21" s="13">
        <f t="shared" si="3"/>
        <v>0</v>
      </c>
      <c r="I21" s="19"/>
      <c r="J21" s="41"/>
    </row>
    <row r="22" spans="1:10" x14ac:dyDescent="0.25">
      <c r="A22" s="65"/>
      <c r="B22" s="21" t="s">
        <v>55</v>
      </c>
      <c r="C22" s="1" t="s">
        <v>46</v>
      </c>
      <c r="D22" s="1" t="s">
        <v>26</v>
      </c>
      <c r="E22" s="1">
        <v>1</v>
      </c>
      <c r="F22" s="20">
        <f>[2]Summary!$R$67/E22</f>
        <v>2.9921667701624819E-5</v>
      </c>
      <c r="G22" s="1"/>
      <c r="H22" s="13">
        <f t="shared" si="3"/>
        <v>0</v>
      </c>
      <c r="I22" s="19"/>
      <c r="J22" s="41"/>
    </row>
    <row r="23" spans="1:10" x14ac:dyDescent="0.25">
      <c r="A23" s="65"/>
      <c r="B23" s="21" t="s">
        <v>56</v>
      </c>
      <c r="C23" s="1" t="s">
        <v>46</v>
      </c>
      <c r="D23" s="1" t="s">
        <v>54</v>
      </c>
      <c r="E23" s="1">
        <v>1</v>
      </c>
      <c r="F23" s="20">
        <f>[2]Summary!$R$68/E23</f>
        <v>4.5109167701624822E-5</v>
      </c>
      <c r="G23" s="1"/>
      <c r="H23" s="13">
        <f t="shared" si="3"/>
        <v>0</v>
      </c>
      <c r="I23" s="19"/>
      <c r="J23" s="41"/>
    </row>
    <row r="24" spans="1:10" x14ac:dyDescent="0.25">
      <c r="A24" s="65"/>
      <c r="B24" s="1" t="s">
        <v>58</v>
      </c>
      <c r="C24" s="1" t="s">
        <v>46</v>
      </c>
      <c r="D24" s="1" t="s">
        <v>20</v>
      </c>
      <c r="E24" s="1">
        <v>1</v>
      </c>
      <c r="F24" s="20">
        <f>[2]Summary!$R$52/E24</f>
        <v>2.0258969288926407E-5</v>
      </c>
      <c r="G24" s="1"/>
      <c r="H24" s="13">
        <f t="shared" si="3"/>
        <v>0</v>
      </c>
      <c r="I24" s="19"/>
      <c r="J24" s="41"/>
    </row>
    <row r="25" spans="1:10" x14ac:dyDescent="0.25">
      <c r="A25" s="65"/>
      <c r="B25" s="1" t="s">
        <v>59</v>
      </c>
      <c r="C25" s="1" t="s">
        <v>46</v>
      </c>
      <c r="D25" s="1" t="s">
        <v>26</v>
      </c>
      <c r="E25" s="1">
        <v>1</v>
      </c>
      <c r="F25" s="20">
        <f>[2]Summary!$R$53/E25</f>
        <v>2.9921667701624819E-5</v>
      </c>
      <c r="G25" s="1"/>
      <c r="H25" s="13">
        <f t="shared" si="3"/>
        <v>0</v>
      </c>
      <c r="I25" s="19"/>
      <c r="J25" s="41"/>
    </row>
    <row r="26" spans="1:10" x14ac:dyDescent="0.25">
      <c r="A26" s="65"/>
      <c r="B26" s="1" t="s">
        <v>60</v>
      </c>
      <c r="C26" s="1" t="s">
        <v>46</v>
      </c>
      <c r="D26" s="1" t="s">
        <v>54</v>
      </c>
      <c r="E26" s="1">
        <v>1</v>
      </c>
      <c r="F26" s="20">
        <f>[2]Summary!$R$54/E26</f>
        <v>4.5109167701624822E-5</v>
      </c>
      <c r="G26" s="1"/>
      <c r="H26" s="13">
        <f t="shared" si="3"/>
        <v>0</v>
      </c>
      <c r="I26" s="19"/>
      <c r="J26" s="41"/>
    </row>
    <row r="27" spans="1:10" x14ac:dyDescent="0.25">
      <c r="A27" s="40" t="s">
        <v>9</v>
      </c>
      <c r="B27" s="1" t="s">
        <v>40</v>
      </c>
      <c r="C27" s="1" t="s">
        <v>47</v>
      </c>
      <c r="D27" s="1" t="s">
        <v>20</v>
      </c>
      <c r="E27" s="19"/>
      <c r="F27" s="13">
        <f>$M$2*5/60</f>
        <v>2.0258969288926405</v>
      </c>
      <c r="G27" s="1"/>
      <c r="H27" s="13">
        <f t="shared" si="3"/>
        <v>0</v>
      </c>
      <c r="I27" s="19"/>
      <c r="J27" s="41"/>
    </row>
    <row r="28" spans="1:10" ht="15.75" thickBot="1" x14ac:dyDescent="0.3">
      <c r="A28" s="42" t="s">
        <v>39</v>
      </c>
      <c r="B28" s="9" t="s">
        <v>40</v>
      </c>
      <c r="C28" s="9" t="s">
        <v>42</v>
      </c>
      <c r="D28" s="9" t="s">
        <v>20</v>
      </c>
      <c r="E28" s="43"/>
      <c r="F28" s="44">
        <f>$M$2*2/60</f>
        <v>0.81035877155705616</v>
      </c>
      <c r="G28" s="9"/>
      <c r="H28" s="44">
        <f t="shared" si="3"/>
        <v>0</v>
      </c>
      <c r="I28" s="43"/>
      <c r="J28" s="45"/>
    </row>
    <row r="30" spans="1:10" ht="15.75" thickBot="1" x14ac:dyDescent="0.3"/>
    <row r="31" spans="1:10" ht="15.75" thickBot="1" x14ac:dyDescent="0.3">
      <c r="A31" s="31" t="s">
        <v>73</v>
      </c>
      <c r="B31" s="33" t="s">
        <v>72</v>
      </c>
    </row>
    <row r="32" spans="1:10" x14ac:dyDescent="0.25">
      <c r="A32" s="34" t="s">
        <v>75</v>
      </c>
      <c r="B32" s="51">
        <v>1</v>
      </c>
    </row>
    <row r="33" spans="1:2" x14ac:dyDescent="0.25">
      <c r="A33" s="6" t="s">
        <v>76</v>
      </c>
      <c r="B33" s="7">
        <v>0.5</v>
      </c>
    </row>
    <row r="34" spans="1:2" ht="15.75" thickBot="1" x14ac:dyDescent="0.3">
      <c r="A34" s="8" t="s">
        <v>74</v>
      </c>
      <c r="B34" s="10">
        <v>2.5</v>
      </c>
    </row>
  </sheetData>
  <mergeCells count="6">
    <mergeCell ref="A21:A26"/>
    <mergeCell ref="A3:A4"/>
    <mergeCell ref="A5:A6"/>
    <mergeCell ref="A7:A10"/>
    <mergeCell ref="A11:A14"/>
    <mergeCell ref="A15:A20"/>
  </mergeCells>
  <dataValidations count="1">
    <dataValidation type="list" allowBlank="1" showInputMessage="1" showErrorMessage="1" sqref="I3:I6" xr:uid="{00000000-0002-0000-0300-000000000000}">
      <formula1>"Steel,Aluminium,Plastic"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3"/>
  <sheetViews>
    <sheetView workbookViewId="0">
      <selection activeCell="F2" sqref="F2"/>
    </sheetView>
  </sheetViews>
  <sheetFormatPr baseColWidth="10" defaultRowHeight="15" x14ac:dyDescent="0.25"/>
  <cols>
    <col min="1" max="1" width="32.7109375" bestFit="1" customWidth="1"/>
    <col min="2" max="2" width="19.85546875" bestFit="1" customWidth="1"/>
    <col min="3" max="3" width="11.5703125" customWidth="1"/>
    <col min="4" max="4" width="9.28515625" customWidth="1"/>
    <col min="5" max="5" width="19.42578125" customWidth="1"/>
    <col min="6" max="6" width="12.28515625" customWidth="1"/>
    <col min="7" max="7" width="16.85546875" customWidth="1"/>
    <col min="8" max="8" width="8.140625" customWidth="1"/>
    <col min="9" max="9" width="8.28515625" customWidth="1"/>
    <col min="10" max="10" width="11.7109375" customWidth="1"/>
    <col min="12" max="12" width="18.28515625" customWidth="1"/>
  </cols>
  <sheetData>
    <row r="1" spans="1:13" ht="15.75" thickBot="1" x14ac:dyDescent="0.3">
      <c r="A1" s="31" t="s">
        <v>17</v>
      </c>
      <c r="B1" s="32" t="s">
        <v>18</v>
      </c>
      <c r="C1" s="32" t="s">
        <v>41</v>
      </c>
      <c r="D1" s="32" t="s">
        <v>19</v>
      </c>
      <c r="E1" s="32" t="s">
        <v>62</v>
      </c>
      <c r="F1" s="32" t="s">
        <v>49</v>
      </c>
      <c r="G1" s="32" t="s">
        <v>43</v>
      </c>
      <c r="H1" s="32" t="s">
        <v>63</v>
      </c>
      <c r="I1" s="32" t="s">
        <v>73</v>
      </c>
      <c r="J1" s="33" t="s">
        <v>72</v>
      </c>
      <c r="L1" s="11" t="s">
        <v>21</v>
      </c>
      <c r="M1" s="1"/>
    </row>
    <row r="2" spans="1:13" x14ac:dyDescent="0.25">
      <c r="A2" s="46" t="s">
        <v>64</v>
      </c>
      <c r="B2" s="36" t="s">
        <v>71</v>
      </c>
      <c r="C2" s="36" t="s">
        <v>70</v>
      </c>
      <c r="D2" s="36" t="s">
        <v>20</v>
      </c>
      <c r="E2" s="47"/>
      <c r="F2" s="48">
        <f>M2*5/60</f>
        <v>2.0258969288926405</v>
      </c>
      <c r="G2" s="36"/>
      <c r="H2" s="49">
        <f>F2*G2</f>
        <v>0</v>
      </c>
      <c r="I2" s="47"/>
      <c r="J2" s="50"/>
      <c r="L2" s="1" t="str">
        <f>Assembly!K2</f>
        <v>Operator cost/hour</v>
      </c>
      <c r="M2" s="13">
        <f>Assembly!L2</f>
        <v>24.310763146711686</v>
      </c>
    </row>
    <row r="3" spans="1:13" x14ac:dyDescent="0.25">
      <c r="A3" s="40" t="s">
        <v>65</v>
      </c>
      <c r="B3" s="1"/>
      <c r="C3" s="1" t="s">
        <v>84</v>
      </c>
      <c r="D3" s="1" t="s">
        <v>20</v>
      </c>
      <c r="E3" s="19"/>
      <c r="F3" s="24">
        <f>M2*1/(60*200)</f>
        <v>2.0258969288926404E-3</v>
      </c>
      <c r="G3" s="1"/>
      <c r="H3" s="13">
        <f>G3*F3</f>
        <v>0</v>
      </c>
      <c r="I3" s="19"/>
      <c r="J3" s="41"/>
      <c r="L3" s="1" t="str">
        <f>Assembly!K3</f>
        <v>Technician cost/hour</v>
      </c>
      <c r="M3" s="13">
        <f>Assembly!L3</f>
        <v>35.906001241949781</v>
      </c>
    </row>
    <row r="4" spans="1:13" x14ac:dyDescent="0.25">
      <c r="A4" s="40" t="s">
        <v>66</v>
      </c>
      <c r="B4" s="1"/>
      <c r="C4" s="1" t="s">
        <v>84</v>
      </c>
      <c r="D4" s="1" t="s">
        <v>20</v>
      </c>
      <c r="E4" s="1">
        <v>1</v>
      </c>
      <c r="F4" s="20">
        <f>([2]Summary!$R$77*[2]Summary!$R$78/E4+[2]Summary!$R$77*(1-[2]Summary!$R$78))*J4</f>
        <v>2.8289877074371322E-4</v>
      </c>
      <c r="G4" s="1"/>
      <c r="H4" s="13">
        <f>G4*F4</f>
        <v>0</v>
      </c>
      <c r="I4" s="1" t="s">
        <v>74</v>
      </c>
      <c r="J4" s="7">
        <f>VLOOKUP(I4,$A$12:$B$13,2)</f>
        <v>1</v>
      </c>
      <c r="L4" s="1" t="str">
        <f>Assembly!K4</f>
        <v>Welder cost/hour</v>
      </c>
      <c r="M4" s="13">
        <f>Assembly!L4</f>
        <v>42.182786956235496</v>
      </c>
    </row>
    <row r="5" spans="1:13" x14ac:dyDescent="0.25">
      <c r="A5" s="40" t="s">
        <v>67</v>
      </c>
      <c r="B5" s="1"/>
      <c r="C5" s="1" t="s">
        <v>123</v>
      </c>
      <c r="D5" s="1" t="s">
        <v>20</v>
      </c>
      <c r="E5" s="19"/>
      <c r="F5" s="12">
        <f>[2]Summary!$R$84/(1.5*3)</f>
        <v>1.8736726504033518</v>
      </c>
      <c r="G5" s="1"/>
      <c r="H5" s="13">
        <f>(ROUNDUP(G5*F5,2))</f>
        <v>0</v>
      </c>
      <c r="I5" s="19"/>
      <c r="J5" s="41"/>
      <c r="L5" s="1" t="str">
        <f>Assembly!K5</f>
        <v>Engineer cost/hour</v>
      </c>
      <c r="M5" s="13">
        <f>Assembly!L5</f>
        <v>54.131001241949782</v>
      </c>
    </row>
    <row r="6" spans="1:13" x14ac:dyDescent="0.25">
      <c r="A6" s="65" t="s">
        <v>37</v>
      </c>
      <c r="B6" s="1" t="s">
        <v>68</v>
      </c>
      <c r="C6" s="1"/>
      <c r="D6" s="1" t="s">
        <v>20</v>
      </c>
      <c r="E6" s="19"/>
      <c r="F6" s="12">
        <f>[2]Summary!$R$82</f>
        <v>0.40517938577852808</v>
      </c>
      <c r="G6" s="1" t="s">
        <v>48</v>
      </c>
      <c r="H6" s="13">
        <f>F6</f>
        <v>0.40517938577852808</v>
      </c>
      <c r="I6" s="19"/>
      <c r="J6" s="41"/>
    </row>
    <row r="7" spans="1:13" x14ac:dyDescent="0.25">
      <c r="A7" s="65" t="s">
        <v>37</v>
      </c>
      <c r="B7" s="1" t="s">
        <v>69</v>
      </c>
      <c r="C7" s="1"/>
      <c r="D7" s="1" t="s">
        <v>26</v>
      </c>
      <c r="E7" s="19"/>
      <c r="F7" s="12">
        <f>[2]Summary!$R$83</f>
        <v>0.59843335403249631</v>
      </c>
      <c r="G7" s="1" t="s">
        <v>48</v>
      </c>
      <c r="H7" s="13">
        <f t="shared" ref="H7:H9" si="0">F7</f>
        <v>0.59843335403249631</v>
      </c>
      <c r="I7" s="19"/>
      <c r="J7" s="41"/>
    </row>
    <row r="8" spans="1:13" x14ac:dyDescent="0.25">
      <c r="A8" s="65" t="s">
        <v>38</v>
      </c>
      <c r="B8" s="1" t="s">
        <v>68</v>
      </c>
      <c r="C8" s="1"/>
      <c r="D8" s="1" t="s">
        <v>20</v>
      </c>
      <c r="E8" s="19"/>
      <c r="F8" s="12">
        <f>[2]Summary!$R$80</f>
        <v>0.60776907866779217</v>
      </c>
      <c r="G8" s="1" t="s">
        <v>48</v>
      </c>
      <c r="H8" s="13">
        <f t="shared" si="0"/>
        <v>0.60776907866779217</v>
      </c>
      <c r="I8" s="19"/>
      <c r="J8" s="41"/>
    </row>
    <row r="9" spans="1:13" ht="15.75" thickBot="1" x14ac:dyDescent="0.3">
      <c r="A9" s="66"/>
      <c r="B9" s="9" t="s">
        <v>69</v>
      </c>
      <c r="C9" s="9"/>
      <c r="D9" s="9" t="s">
        <v>26</v>
      </c>
      <c r="E9" s="43"/>
      <c r="F9" s="29">
        <f>[2]Summary!$R$81</f>
        <v>0.89765003104874452</v>
      </c>
      <c r="G9" s="9" t="s">
        <v>48</v>
      </c>
      <c r="H9" s="44">
        <f t="shared" si="0"/>
        <v>0.89765003104874452</v>
      </c>
      <c r="I9" s="43"/>
      <c r="J9" s="45"/>
    </row>
    <row r="10" spans="1:13" ht="15.75" thickBot="1" x14ac:dyDescent="0.3">
      <c r="A10" s="14"/>
    </row>
    <row r="11" spans="1:13" ht="15.75" thickBot="1" x14ac:dyDescent="0.3">
      <c r="A11" s="31" t="s">
        <v>73</v>
      </c>
      <c r="B11" s="33" t="s">
        <v>72</v>
      </c>
    </row>
    <row r="12" spans="1:13" x14ac:dyDescent="0.25">
      <c r="A12" s="34" t="s">
        <v>75</v>
      </c>
      <c r="B12" s="51">
        <v>0.72</v>
      </c>
    </row>
    <row r="13" spans="1:13" ht="15.75" thickBot="1" x14ac:dyDescent="0.3">
      <c r="A13" s="8" t="s">
        <v>74</v>
      </c>
      <c r="B13" s="10">
        <v>1</v>
      </c>
    </row>
  </sheetData>
  <mergeCells count="2">
    <mergeCell ref="A8:A9"/>
    <mergeCell ref="A6:A7"/>
  </mergeCells>
  <dataValidations count="1">
    <dataValidation type="list" allowBlank="1" showInputMessage="1" showErrorMessage="1" sqref="I4" xr:uid="{00000000-0002-0000-0400-000000000000}">
      <formula1>"Steel,Aluminium"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>
      <selection activeCell="E5" sqref="E5"/>
    </sheetView>
  </sheetViews>
  <sheetFormatPr baseColWidth="10" defaultRowHeight="15" x14ac:dyDescent="0.25"/>
  <cols>
    <col min="1" max="1" width="23.7109375" customWidth="1"/>
    <col min="2" max="2" width="16.85546875" customWidth="1"/>
    <col min="3" max="3" width="16.7109375" customWidth="1"/>
    <col min="5" max="5" width="13.140625" customWidth="1"/>
    <col min="6" max="6" width="16.7109375" customWidth="1"/>
    <col min="7" max="7" width="8.28515625" customWidth="1"/>
    <col min="10" max="10" width="19.28515625" customWidth="1"/>
  </cols>
  <sheetData>
    <row r="1" spans="1:11" ht="15.75" thickBot="1" x14ac:dyDescent="0.3">
      <c r="A1" s="31" t="s">
        <v>17</v>
      </c>
      <c r="B1" s="32" t="s">
        <v>18</v>
      </c>
      <c r="C1" s="32" t="s">
        <v>41</v>
      </c>
      <c r="D1" s="32" t="s">
        <v>19</v>
      </c>
      <c r="E1" s="32" t="s">
        <v>49</v>
      </c>
      <c r="F1" s="32" t="s">
        <v>43</v>
      </c>
      <c r="G1" s="33" t="s">
        <v>63</v>
      </c>
      <c r="J1" s="11" t="s">
        <v>21</v>
      </c>
      <c r="K1" s="1"/>
    </row>
    <row r="2" spans="1:11" x14ac:dyDescent="0.25">
      <c r="A2" s="46" t="s">
        <v>77</v>
      </c>
      <c r="B2" s="36" t="s">
        <v>80</v>
      </c>
      <c r="C2" s="36" t="s">
        <v>81</v>
      </c>
      <c r="D2" s="36" t="s">
        <v>20</v>
      </c>
      <c r="E2" s="48">
        <f>K2*2/60</f>
        <v>0.81035877155705616</v>
      </c>
      <c r="F2" s="36"/>
      <c r="G2" s="35">
        <f>F2*E2</f>
        <v>0</v>
      </c>
      <c r="J2" s="1" t="str">
        <f>Assembly!K2</f>
        <v>Operator cost/hour</v>
      </c>
      <c r="K2" s="13">
        <f>Assembly!L2</f>
        <v>24.310763146711686</v>
      </c>
    </row>
    <row r="3" spans="1:11" x14ac:dyDescent="0.25">
      <c r="A3" s="40" t="s">
        <v>78</v>
      </c>
      <c r="B3" s="1"/>
      <c r="C3" s="1" t="s">
        <v>82</v>
      </c>
      <c r="D3" s="1" t="s">
        <v>20</v>
      </c>
      <c r="E3" s="12">
        <f>K2*0.5/60</f>
        <v>0.20258969288926404</v>
      </c>
      <c r="F3" s="1"/>
      <c r="G3" s="27">
        <f t="shared" ref="G3:G5" si="0">F3*E3</f>
        <v>0</v>
      </c>
      <c r="J3" s="1" t="str">
        <f>Assembly!K3</f>
        <v>Technician cost/hour</v>
      </c>
      <c r="K3" s="13">
        <f>Assembly!L3</f>
        <v>35.906001241949781</v>
      </c>
    </row>
    <row r="4" spans="1:11" x14ac:dyDescent="0.25">
      <c r="A4" s="40" t="s">
        <v>7</v>
      </c>
      <c r="B4" s="1" t="s">
        <v>83</v>
      </c>
      <c r="C4" s="1" t="s">
        <v>124</v>
      </c>
      <c r="D4" s="1" t="s">
        <v>20</v>
      </c>
      <c r="E4" s="23">
        <f>K2*(5/60)/100</f>
        <v>2.0258969288926405E-2</v>
      </c>
      <c r="F4" s="1"/>
      <c r="G4" s="27">
        <f t="shared" si="0"/>
        <v>0</v>
      </c>
      <c r="J4" s="1" t="str">
        <f>Assembly!K4</f>
        <v>Welder cost/hour</v>
      </c>
      <c r="K4" s="13">
        <f>Assembly!L4</f>
        <v>42.182786956235496</v>
      </c>
    </row>
    <row r="5" spans="1:11" ht="15.75" thickBot="1" x14ac:dyDescent="0.3">
      <c r="A5" s="42" t="s">
        <v>79</v>
      </c>
      <c r="B5" s="9"/>
      <c r="C5" s="9" t="s">
        <v>124</v>
      </c>
      <c r="D5" s="9" t="s">
        <v>20</v>
      </c>
      <c r="E5" s="52">
        <f>K3*(0.5/60)/100</f>
        <v>2.9921667701624816E-3</v>
      </c>
      <c r="F5" s="9"/>
      <c r="G5" s="30">
        <f t="shared" si="0"/>
        <v>0</v>
      </c>
      <c r="J5" s="1" t="str">
        <f>Assembly!K5</f>
        <v>Engineer cost/hour</v>
      </c>
      <c r="K5" s="13">
        <f>Assembly!L5</f>
        <v>54.131001241949782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"/>
  <sheetViews>
    <sheetView workbookViewId="0">
      <selection activeCell="B37" sqref="B37"/>
    </sheetView>
  </sheetViews>
  <sheetFormatPr baseColWidth="10" defaultRowHeight="15" x14ac:dyDescent="0.25"/>
  <cols>
    <col min="1" max="1" width="14.7109375" customWidth="1"/>
    <col min="2" max="2" width="18.28515625" customWidth="1"/>
    <col min="3" max="3" width="10.5703125" customWidth="1"/>
    <col min="4" max="4" width="7.5703125" customWidth="1"/>
    <col min="5" max="5" width="13.28515625" customWidth="1"/>
    <col min="6" max="6" width="16.85546875" customWidth="1"/>
    <col min="7" max="7" width="8" customWidth="1"/>
    <col min="11" max="11" width="20.140625" customWidth="1"/>
  </cols>
  <sheetData>
    <row r="1" spans="1:12" ht="15.75" thickBot="1" x14ac:dyDescent="0.3">
      <c r="A1" s="31" t="s">
        <v>17</v>
      </c>
      <c r="B1" s="32" t="s">
        <v>18</v>
      </c>
      <c r="C1" s="32" t="s">
        <v>41</v>
      </c>
      <c r="D1" s="32" t="s">
        <v>134</v>
      </c>
      <c r="E1" s="32" t="s">
        <v>49</v>
      </c>
      <c r="F1" s="32" t="s">
        <v>43</v>
      </c>
      <c r="G1" s="33" t="s">
        <v>63</v>
      </c>
      <c r="K1" s="11" t="s">
        <v>21</v>
      </c>
      <c r="L1" s="1"/>
    </row>
    <row r="2" spans="1:12" x14ac:dyDescent="0.25">
      <c r="A2" s="67" t="s">
        <v>87</v>
      </c>
      <c r="B2" s="36" t="s">
        <v>89</v>
      </c>
      <c r="C2" s="36" t="s">
        <v>90</v>
      </c>
      <c r="D2" s="36" t="s">
        <v>13</v>
      </c>
      <c r="E2" s="56">
        <f>([2]Summary!$R$86+[2]Summary!$J$45)*10/60</f>
        <v>7.3146340311353226</v>
      </c>
      <c r="F2" s="36"/>
      <c r="G2" s="57">
        <f>E2*F2</f>
        <v>0</v>
      </c>
      <c r="K2" s="1" t="str">
        <f>Assembly!K2</f>
        <v>Operator cost/hour</v>
      </c>
      <c r="L2" s="13">
        <f>Assembly!L2</f>
        <v>24.310763146711686</v>
      </c>
    </row>
    <row r="3" spans="1:12" x14ac:dyDescent="0.25">
      <c r="A3" s="65"/>
      <c r="B3" s="1" t="s">
        <v>88</v>
      </c>
      <c r="C3" s="1" t="s">
        <v>91</v>
      </c>
      <c r="D3" s="1" t="s">
        <v>138</v>
      </c>
      <c r="E3" s="22">
        <f>([2]Summary!$R$86+[2]Summary!$J$45)*3</f>
        <v>131.6634125604358</v>
      </c>
      <c r="F3" s="1"/>
      <c r="G3" s="53">
        <f t="shared" ref="G3:G5" si="0">E3*F3</f>
        <v>0</v>
      </c>
      <c r="K3" s="1" t="str">
        <f>Assembly!K3</f>
        <v>Technician cost/hour</v>
      </c>
      <c r="L3" s="13">
        <f>Assembly!L3</f>
        <v>35.906001241949781</v>
      </c>
    </row>
    <row r="4" spans="1:12" x14ac:dyDescent="0.25">
      <c r="A4" s="65" t="s">
        <v>92</v>
      </c>
      <c r="B4" s="1" t="s">
        <v>93</v>
      </c>
      <c r="C4" s="1" t="s">
        <v>84</v>
      </c>
      <c r="D4" s="1"/>
      <c r="E4" s="12">
        <f>[2]Summary!$R$89/1000</f>
        <v>0.11738840627635136</v>
      </c>
      <c r="F4" s="1"/>
      <c r="G4" s="53">
        <f t="shared" si="0"/>
        <v>0</v>
      </c>
      <c r="K4" s="1" t="str">
        <f>Assembly!K4</f>
        <v>Welder cost/hour</v>
      </c>
      <c r="L4" s="13">
        <f>Assembly!L4</f>
        <v>42.182786956235496</v>
      </c>
    </row>
    <row r="5" spans="1:12" ht="15.75" thickBot="1" x14ac:dyDescent="0.3">
      <c r="A5" s="66"/>
      <c r="B5" s="9" t="s">
        <v>94</v>
      </c>
      <c r="C5" s="9" t="s">
        <v>84</v>
      </c>
      <c r="D5" s="9"/>
      <c r="E5" s="54">
        <f>[2]Summary!$R$90/1000</f>
        <v>0.11735334421738171</v>
      </c>
      <c r="F5" s="9"/>
      <c r="G5" s="55">
        <f t="shared" si="0"/>
        <v>0</v>
      </c>
      <c r="K5" s="1" t="str">
        <f>Assembly!K5</f>
        <v>Engineer cost/hour</v>
      </c>
      <c r="L5" s="13">
        <f>Assembly!L5</f>
        <v>54.131001241949782</v>
      </c>
    </row>
  </sheetData>
  <mergeCells count="2">
    <mergeCell ref="A2:A3"/>
    <mergeCell ref="A4:A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C76C-5EA6-4E58-A8F6-BCDA33C44AFF}">
  <dimension ref="A1:B2"/>
  <sheetViews>
    <sheetView workbookViewId="0">
      <selection activeCell="C6" sqref="C6"/>
    </sheetView>
  </sheetViews>
  <sheetFormatPr baseColWidth="10" defaultRowHeight="15" x14ac:dyDescent="0.25"/>
  <sheetData>
    <row r="1" spans="1:2" x14ac:dyDescent="0.25">
      <c r="A1" t="s">
        <v>184</v>
      </c>
      <c r="B1" t="s">
        <v>186</v>
      </c>
    </row>
    <row r="2" spans="1:2" x14ac:dyDescent="0.25">
      <c r="A2" t="s">
        <v>185</v>
      </c>
      <c r="B2" s="63">
        <f>[2]Summary!$R$102</f>
        <v>1.0587385955593072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Assembly</vt:lpstr>
      <vt:lpstr>Assembly verification</vt:lpstr>
      <vt:lpstr>Hoses assembly</vt:lpstr>
      <vt:lpstr>Material removal</vt:lpstr>
      <vt:lpstr>Sheet material</vt:lpstr>
      <vt:lpstr>Surface operation</vt:lpstr>
      <vt:lpstr>Welding</vt:lpstr>
      <vt:lpstr>Card Heating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Thibaud Lassus</cp:lastModifiedBy>
  <dcterms:created xsi:type="dcterms:W3CDTF">2019-06-05T20:53:48Z</dcterms:created>
  <dcterms:modified xsi:type="dcterms:W3CDTF">2021-06-04T16:49:49Z</dcterms:modified>
</cp:coreProperties>
</file>