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Calixthe\Desktop\EPSA\STUF-2020\FR_Frame_Body\FR_A0100 (Frame)\Frame_SES\"/>
    </mc:Choice>
  </mc:AlternateContent>
  <xr:revisionPtr revIDLastSave="0" documentId="13_ncr:1_{F30DC8A5-DC32-4E52-92A9-52333F9F17F3}" xr6:coauthVersionLast="41" xr6:coauthVersionMax="45" xr10:uidLastSave="{00000000-0000-0000-0000-000000000000}"/>
  <bookViews>
    <workbookView xWindow="-108" yWindow="-108" windowWidth="23256" windowHeight="12576" xr2:uid="{71802922-AB76-4655-AF43-D39C754A08E5}"/>
  </bookViews>
  <sheets>
    <sheet name="F.3.1-4 Tube Chassis" sheetId="1" r:id="rId1"/>
    <sheet name="F.10-11 EV Accumulator" sheetId="17" r:id="rId2"/>
    <sheet name="F.8.4 Impact Attenuator" sheetId="14" r:id="rId3"/>
    <sheet name="F.3.3, F.4, F.8.4 Materials" sheetId="13" r:id="rId4"/>
    <sheet name="F.3.4.3 Welded Inserts" sheetId="16" r:id="rId5"/>
    <sheet name="F.5.10 Bolted Members" sheetId="11" r:id="rId6"/>
  </sheets>
  <externalReferences>
    <externalReference r:id="rId7"/>
  </externalReferences>
  <definedNames>
    <definedName name="ConstructionType">[1]MaterialData!$B$22:$B$24</definedName>
    <definedName name="Innertable">[1]MaterialData!$C$5:$L$10</definedName>
    <definedName name="Materials" localSheetId="1">#REF!</definedName>
    <definedName name="Materials" localSheetId="3">#REF!</definedName>
    <definedName name="Materials" localSheetId="5">#REF!</definedName>
    <definedName name="Materials" localSheetId="2">#REF!</definedName>
    <definedName name="Materials">#REF!</definedName>
    <definedName name="MaterialsIAD">#REF!</definedName>
    <definedName name="Tube_Type" localSheetId="1">#REF!</definedName>
    <definedName name="Tube_Type" localSheetId="2">#REF!</definedName>
    <definedName name="Tube_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56" i="17" l="1"/>
  <c r="AY56" i="17"/>
  <c r="AO56" i="17"/>
  <c r="AE56" i="17"/>
  <c r="U56" i="17"/>
  <c r="DG56" i="17"/>
  <c r="CW56" i="17"/>
  <c r="CM56" i="17"/>
  <c r="CC56" i="17"/>
  <c r="BS56" i="17"/>
  <c r="DG105" i="17"/>
  <c r="CW105" i="17"/>
  <c r="CM105" i="17"/>
  <c r="CC105" i="17"/>
  <c r="BS105" i="17"/>
  <c r="BI94" i="17"/>
  <c r="AY94" i="17"/>
  <c r="AO94" i="17"/>
  <c r="AE94" i="17"/>
  <c r="U94" i="17"/>
  <c r="DO85" i="17"/>
  <c r="DO84" i="17"/>
  <c r="DO83" i="17"/>
  <c r="DO82" i="17"/>
  <c r="DO81" i="17"/>
  <c r="DO77" i="17"/>
  <c r="DO76" i="17"/>
  <c r="DO75" i="17"/>
  <c r="DO74" i="17"/>
  <c r="DO73" i="17"/>
  <c r="DO72" i="17"/>
  <c r="DO71" i="17"/>
  <c r="DO70" i="17"/>
  <c r="DO69" i="17"/>
  <c r="DO68" i="17"/>
  <c r="DO67" i="17"/>
  <c r="DO66" i="17"/>
  <c r="DO65" i="17"/>
  <c r="DO64" i="17"/>
  <c r="DO63" i="17"/>
  <c r="BQ79" i="17"/>
  <c r="BQ78" i="17"/>
  <c r="BQ77" i="17"/>
  <c r="BQ76" i="17"/>
  <c r="BQ75" i="17"/>
  <c r="BQ74" i="17"/>
  <c r="BQ73" i="17"/>
  <c r="BQ72" i="17"/>
  <c r="BQ71" i="17"/>
  <c r="BQ70" i="17"/>
  <c r="BQ69" i="17"/>
  <c r="BQ68" i="17"/>
  <c r="BQ67" i="17"/>
  <c r="BQ66" i="17"/>
  <c r="BQ65" i="17"/>
  <c r="BQ64" i="17"/>
  <c r="BQ63" i="17"/>
  <c r="BQ62" i="17"/>
  <c r="DO132" i="17"/>
  <c r="DN132" i="17"/>
  <c r="DM132" i="17"/>
  <c r="DL132" i="17"/>
  <c r="DO131" i="17"/>
  <c r="DN131" i="17"/>
  <c r="DL131" i="17"/>
  <c r="DO130" i="17"/>
  <c r="DN130" i="17"/>
  <c r="DL130" i="17"/>
  <c r="DE132" i="17"/>
  <c r="DD132" i="17"/>
  <c r="DC132" i="17"/>
  <c r="DB132" i="17"/>
  <c r="DE131" i="17"/>
  <c r="DD131" i="17"/>
  <c r="DB131" i="17"/>
  <c r="DE130" i="17"/>
  <c r="DD130" i="17"/>
  <c r="DB130" i="17"/>
  <c r="CU132" i="17"/>
  <c r="CT132" i="17"/>
  <c r="CS132" i="17"/>
  <c r="CR132" i="17"/>
  <c r="CU131" i="17"/>
  <c r="CT131" i="17"/>
  <c r="CR131" i="17"/>
  <c r="CU130" i="17"/>
  <c r="CT130" i="17"/>
  <c r="CR130" i="17"/>
  <c r="CK132" i="17"/>
  <c r="CJ132" i="17"/>
  <c r="CI132" i="17"/>
  <c r="CH132" i="17"/>
  <c r="CK131" i="17"/>
  <c r="CJ131" i="17"/>
  <c r="CH131" i="17"/>
  <c r="CK130" i="17"/>
  <c r="CJ130" i="17"/>
  <c r="CH130" i="17"/>
  <c r="CA132" i="17"/>
  <c r="BX132" i="17"/>
  <c r="CA131" i="17"/>
  <c r="BX131" i="17"/>
  <c r="CA130" i="17"/>
  <c r="BX130" i="17"/>
  <c r="BZ132" i="17"/>
  <c r="BY132" i="17"/>
  <c r="BZ131" i="17"/>
  <c r="BZ130" i="17"/>
  <c r="BQ121" i="17"/>
  <c r="BP121" i="17"/>
  <c r="BO121" i="17"/>
  <c r="BN121" i="17"/>
  <c r="BQ120" i="17"/>
  <c r="BP120" i="17"/>
  <c r="BN120" i="17"/>
  <c r="BQ119" i="17"/>
  <c r="BP119" i="17"/>
  <c r="BN119" i="17"/>
  <c r="BG121" i="17"/>
  <c r="BF121" i="17"/>
  <c r="BE121" i="17"/>
  <c r="BD121" i="17"/>
  <c r="BG120" i="17"/>
  <c r="BF120" i="17"/>
  <c r="BD120" i="17"/>
  <c r="BG119" i="17"/>
  <c r="BF119" i="17"/>
  <c r="BD119" i="17"/>
  <c r="AW121" i="17"/>
  <c r="AV121" i="17"/>
  <c r="AU121" i="17"/>
  <c r="AT121" i="17"/>
  <c r="AW120" i="17"/>
  <c r="AV120" i="17"/>
  <c r="AT120" i="17"/>
  <c r="AW119" i="17"/>
  <c r="AV119" i="17"/>
  <c r="AT119" i="17"/>
  <c r="AM121" i="17"/>
  <c r="AL121" i="17"/>
  <c r="AK121" i="17"/>
  <c r="AJ121" i="17"/>
  <c r="AM120" i="17"/>
  <c r="AL120" i="17"/>
  <c r="AJ120" i="17"/>
  <c r="AM119" i="17"/>
  <c r="AL119" i="17"/>
  <c r="AJ119" i="17"/>
  <c r="AC121" i="17"/>
  <c r="AB121" i="17"/>
  <c r="AA121" i="17"/>
  <c r="Z121" i="17"/>
  <c r="AC120" i="17"/>
  <c r="AB120" i="17"/>
  <c r="Z120" i="17"/>
  <c r="AC119" i="17"/>
  <c r="AB119" i="17"/>
  <c r="Z119" i="17"/>
  <c r="V112" i="1" l="1"/>
  <c r="A25" i="17" l="1"/>
  <c r="G3" i="17" s="1"/>
  <c r="I3" i="17" l="1"/>
  <c r="C15" i="17"/>
  <c r="B15" i="17"/>
  <c r="A15" i="17"/>
  <c r="C14" i="17"/>
  <c r="B14" i="17"/>
  <c r="A14" i="17"/>
  <c r="C13" i="17"/>
  <c r="B13" i="17"/>
  <c r="A13" i="17"/>
  <c r="A12" i="17"/>
  <c r="A11" i="17"/>
  <c r="A10" i="17"/>
  <c r="S201" i="17"/>
  <c r="S200" i="17"/>
  <c r="S199" i="17"/>
  <c r="S198" i="17"/>
  <c r="S197" i="17"/>
  <c r="S196" i="17"/>
  <c r="Q196" i="17"/>
  <c r="R196" i="17" s="1"/>
  <c r="S195" i="17"/>
  <c r="Q195" i="17"/>
  <c r="R195" i="17" s="1"/>
  <c r="S194" i="17"/>
  <c r="Q194" i="17"/>
  <c r="S193" i="17"/>
  <c r="S192" i="17"/>
  <c r="S191" i="17"/>
  <c r="Q190" i="17"/>
  <c r="O189" i="17"/>
  <c r="S183" i="17"/>
  <c r="S182" i="17"/>
  <c r="S181" i="17"/>
  <c r="S180" i="17"/>
  <c r="Q180" i="17"/>
  <c r="S179" i="17"/>
  <c r="S178" i="17"/>
  <c r="S176" i="17"/>
  <c r="S175" i="17"/>
  <c r="S171" i="17"/>
  <c r="S170" i="17"/>
  <c r="S169" i="17"/>
  <c r="S168" i="17"/>
  <c r="S167" i="17"/>
  <c r="S166" i="17"/>
  <c r="Q166" i="17"/>
  <c r="R166" i="17" s="1"/>
  <c r="S165" i="17"/>
  <c r="Q165" i="17"/>
  <c r="R165" i="17" s="1"/>
  <c r="S164" i="17"/>
  <c r="Q164" i="17"/>
  <c r="S163" i="17"/>
  <c r="S162" i="17"/>
  <c r="S161" i="17"/>
  <c r="Q160" i="17"/>
  <c r="O159" i="17"/>
  <c r="S153" i="17"/>
  <c r="S152" i="17"/>
  <c r="S151" i="17"/>
  <c r="S150" i="17"/>
  <c r="Q150" i="17"/>
  <c r="S149" i="17"/>
  <c r="S148" i="17"/>
  <c r="S146" i="17"/>
  <c r="S142" i="17"/>
  <c r="S141" i="17"/>
  <c r="S140" i="17"/>
  <c r="S139" i="17"/>
  <c r="S138" i="17"/>
  <c r="S137" i="17"/>
  <c r="Q137" i="17"/>
  <c r="R137" i="17" s="1"/>
  <c r="S136" i="17"/>
  <c r="Q136" i="17"/>
  <c r="R136" i="17" s="1"/>
  <c r="S135" i="17"/>
  <c r="Q135" i="17"/>
  <c r="S134" i="17"/>
  <c r="S133" i="17"/>
  <c r="S132" i="17"/>
  <c r="Q131" i="17"/>
  <c r="O130" i="17"/>
  <c r="DO129" i="17"/>
  <c r="DN129" i="17"/>
  <c r="DM129" i="17"/>
  <c r="DL129" i="17"/>
  <c r="DE129" i="17"/>
  <c r="DD129" i="17"/>
  <c r="DC129" i="17"/>
  <c r="DB129" i="17"/>
  <c r="CU129" i="17"/>
  <c r="CT129" i="17"/>
  <c r="CS129" i="17"/>
  <c r="CR129" i="17"/>
  <c r="CK129" i="17"/>
  <c r="CJ129" i="17"/>
  <c r="CI129" i="17"/>
  <c r="CH129" i="17"/>
  <c r="CA129" i="17"/>
  <c r="BZ129" i="17"/>
  <c r="BY129" i="17"/>
  <c r="BX129" i="17"/>
  <c r="DO128" i="17"/>
  <c r="DN128" i="17"/>
  <c r="DM128" i="17"/>
  <c r="DL128" i="17"/>
  <c r="DE128" i="17"/>
  <c r="DD128" i="17"/>
  <c r="DC128" i="17"/>
  <c r="DB128" i="17"/>
  <c r="CU128" i="17"/>
  <c r="CT128" i="17"/>
  <c r="CS128" i="17"/>
  <c r="CR128" i="17"/>
  <c r="CK128" i="17"/>
  <c r="CJ128" i="17"/>
  <c r="CI128" i="17"/>
  <c r="CH128" i="17"/>
  <c r="CA128" i="17"/>
  <c r="BZ128" i="17"/>
  <c r="BY128" i="17"/>
  <c r="BX128" i="17"/>
  <c r="DO127" i="17"/>
  <c r="DL127" i="17"/>
  <c r="DE127" i="17"/>
  <c r="DB127" i="17"/>
  <c r="CU127" i="17"/>
  <c r="CR127" i="17"/>
  <c r="CK127" i="17"/>
  <c r="CH127" i="17"/>
  <c r="CA127" i="17"/>
  <c r="BX127" i="17"/>
  <c r="DO126" i="17"/>
  <c r="DL126" i="17"/>
  <c r="DE126" i="17"/>
  <c r="DB126" i="17"/>
  <c r="CU126" i="17"/>
  <c r="CR126" i="17"/>
  <c r="CK126" i="17"/>
  <c r="CH126" i="17"/>
  <c r="CA126" i="17"/>
  <c r="BX126" i="17"/>
  <c r="DO125" i="17"/>
  <c r="DL125" i="17"/>
  <c r="DE125" i="17"/>
  <c r="DB125" i="17"/>
  <c r="CU125" i="17"/>
  <c r="CR125" i="17"/>
  <c r="CK125" i="17"/>
  <c r="CH125" i="17"/>
  <c r="CA125" i="17"/>
  <c r="BX125" i="17"/>
  <c r="DO124" i="17"/>
  <c r="DN124" i="17"/>
  <c r="DM124" i="17"/>
  <c r="DL124" i="17"/>
  <c r="DE124" i="17"/>
  <c r="DD124" i="17"/>
  <c r="DC124" i="17"/>
  <c r="DB124" i="17"/>
  <c r="CU124" i="17"/>
  <c r="CT124" i="17"/>
  <c r="CS124" i="17"/>
  <c r="CR124" i="17"/>
  <c r="CK124" i="17"/>
  <c r="CJ124" i="17"/>
  <c r="CI124" i="17"/>
  <c r="CH124" i="17"/>
  <c r="CA124" i="17"/>
  <c r="BZ124" i="17"/>
  <c r="BY124" i="17"/>
  <c r="BX124" i="17"/>
  <c r="S124" i="17"/>
  <c r="DO123" i="17"/>
  <c r="DM123" i="17"/>
  <c r="DL123" i="17"/>
  <c r="DE123" i="17"/>
  <c r="DC123" i="17"/>
  <c r="DB123" i="17"/>
  <c r="CU123" i="17"/>
  <c r="CS123" i="17"/>
  <c r="CR123" i="17"/>
  <c r="CK123" i="17"/>
  <c r="CI123" i="17"/>
  <c r="CH123" i="17"/>
  <c r="CA123" i="17"/>
  <c r="BY123" i="17"/>
  <c r="BX123" i="17"/>
  <c r="S123" i="17"/>
  <c r="DO122" i="17"/>
  <c r="DL122" i="17"/>
  <c r="DE122" i="17"/>
  <c r="DB122" i="17"/>
  <c r="CU122" i="17"/>
  <c r="CR122" i="17"/>
  <c r="CK122" i="17"/>
  <c r="CH122" i="17"/>
  <c r="CA122" i="17"/>
  <c r="BX122" i="17"/>
  <c r="S122" i="17"/>
  <c r="DO121" i="17"/>
  <c r="DL121" i="17"/>
  <c r="DE121" i="17"/>
  <c r="DB121" i="17"/>
  <c r="CU121" i="17"/>
  <c r="CR121" i="17"/>
  <c r="CK121" i="17"/>
  <c r="CH121" i="17"/>
  <c r="CA121" i="17"/>
  <c r="BX121" i="17"/>
  <c r="S121" i="17"/>
  <c r="Q121" i="17"/>
  <c r="DO120" i="17"/>
  <c r="DL120" i="17"/>
  <c r="DE120" i="17"/>
  <c r="DB120" i="17"/>
  <c r="CU120" i="17"/>
  <c r="CR120" i="17"/>
  <c r="CK120" i="17"/>
  <c r="CH120" i="17"/>
  <c r="CA120" i="17"/>
  <c r="BX120" i="17"/>
  <c r="S120" i="17"/>
  <c r="DO119" i="17"/>
  <c r="DL119" i="17"/>
  <c r="DE119" i="17"/>
  <c r="DB119" i="17"/>
  <c r="CU119" i="17"/>
  <c r="CR119" i="17"/>
  <c r="CK119" i="17"/>
  <c r="CH119" i="17"/>
  <c r="CA119" i="17"/>
  <c r="BX119" i="17"/>
  <c r="S119" i="17"/>
  <c r="DO118" i="17"/>
  <c r="DN118" i="17"/>
  <c r="DM118" i="17"/>
  <c r="DL118" i="17"/>
  <c r="DE118" i="17"/>
  <c r="DD118" i="17"/>
  <c r="DC118" i="17"/>
  <c r="DB118" i="17"/>
  <c r="CU118" i="17"/>
  <c r="CT118" i="17"/>
  <c r="CS118" i="17"/>
  <c r="CR118" i="17"/>
  <c r="CK118" i="17"/>
  <c r="CJ118" i="17"/>
  <c r="CI118" i="17"/>
  <c r="CH118" i="17"/>
  <c r="CA118" i="17"/>
  <c r="BZ118" i="17"/>
  <c r="BY118" i="17"/>
  <c r="BX118" i="17"/>
  <c r="BP118" i="17"/>
  <c r="BO118" i="17"/>
  <c r="BF118" i="17"/>
  <c r="BE118" i="17"/>
  <c r="AV118" i="17"/>
  <c r="AU118" i="17"/>
  <c r="AL118" i="17"/>
  <c r="AK118" i="17"/>
  <c r="AB118" i="17"/>
  <c r="AA118" i="17"/>
  <c r="DO117" i="17"/>
  <c r="DL117" i="17"/>
  <c r="DE117" i="17"/>
  <c r="DB117" i="17"/>
  <c r="CU117" i="17"/>
  <c r="CR117" i="17"/>
  <c r="CK117" i="17"/>
  <c r="CH117" i="17"/>
  <c r="CA117" i="17"/>
  <c r="BX117" i="17"/>
  <c r="BP117" i="17"/>
  <c r="BO117" i="17"/>
  <c r="BF117" i="17"/>
  <c r="BE117" i="17"/>
  <c r="AV117" i="17"/>
  <c r="AU117" i="17"/>
  <c r="AL117" i="17"/>
  <c r="AK117" i="17"/>
  <c r="AB117" i="17"/>
  <c r="AA117" i="17"/>
  <c r="S117" i="17"/>
  <c r="DO116" i="17"/>
  <c r="DL116" i="17"/>
  <c r="DE116" i="17"/>
  <c r="DB116" i="17"/>
  <c r="CU116" i="17"/>
  <c r="CR116" i="17"/>
  <c r="CK116" i="17"/>
  <c r="CH116" i="17"/>
  <c r="CA116" i="17"/>
  <c r="BX116" i="17"/>
  <c r="DO115" i="17"/>
  <c r="DL115" i="17"/>
  <c r="DE115" i="17"/>
  <c r="DB115" i="17"/>
  <c r="CU115" i="17"/>
  <c r="CR115" i="17"/>
  <c r="CK115" i="17"/>
  <c r="CH115" i="17"/>
  <c r="CA115" i="17"/>
  <c r="BX115" i="17"/>
  <c r="DO114" i="17"/>
  <c r="DL114" i="17"/>
  <c r="DE114" i="17"/>
  <c r="DB114" i="17"/>
  <c r="CU114" i="17"/>
  <c r="CR114" i="17"/>
  <c r="CK114" i="17"/>
  <c r="CH114" i="17"/>
  <c r="CA114" i="17"/>
  <c r="BX114" i="17"/>
  <c r="DO113" i="17"/>
  <c r="DL113" i="17"/>
  <c r="DE113" i="17"/>
  <c r="DB113" i="17"/>
  <c r="CU113" i="17"/>
  <c r="CR113" i="17"/>
  <c r="CK113" i="17"/>
  <c r="CH113" i="17"/>
  <c r="CA113" i="17"/>
  <c r="BX113" i="17"/>
  <c r="BP113" i="17"/>
  <c r="BO113" i="17"/>
  <c r="BF113" i="17"/>
  <c r="BE113" i="17"/>
  <c r="AV113" i="17"/>
  <c r="AU113" i="17"/>
  <c r="AB113" i="17"/>
  <c r="AA113" i="17"/>
  <c r="S113" i="17"/>
  <c r="DO112" i="17"/>
  <c r="DL112" i="17"/>
  <c r="DE112" i="17"/>
  <c r="DB112" i="17"/>
  <c r="CU112" i="17"/>
  <c r="CR112" i="17"/>
  <c r="CK112" i="17"/>
  <c r="CH112" i="17"/>
  <c r="CA112" i="17"/>
  <c r="BX112" i="17"/>
  <c r="BO112" i="17"/>
  <c r="BN112" i="17"/>
  <c r="BE112" i="17"/>
  <c r="AU112" i="17"/>
  <c r="AK112" i="17"/>
  <c r="AA112" i="17"/>
  <c r="S112" i="17"/>
  <c r="DO111" i="17"/>
  <c r="DL111" i="17"/>
  <c r="DE111" i="17"/>
  <c r="DB111" i="17"/>
  <c r="CU111" i="17"/>
  <c r="CR111" i="17"/>
  <c r="CK111" i="17"/>
  <c r="CH111" i="17"/>
  <c r="CA111" i="17"/>
  <c r="BX111" i="17"/>
  <c r="S111" i="17"/>
  <c r="DO110" i="17"/>
  <c r="DL110" i="17"/>
  <c r="DE110" i="17"/>
  <c r="DB110" i="17"/>
  <c r="CU110" i="17"/>
  <c r="CR110" i="17"/>
  <c r="CK110" i="17"/>
  <c r="CH110" i="17"/>
  <c r="CA110" i="17"/>
  <c r="BX110" i="17"/>
  <c r="S110" i="17"/>
  <c r="DO109" i="17"/>
  <c r="DE109" i="17"/>
  <c r="CU109" i="17"/>
  <c r="CK109" i="17"/>
  <c r="CA109" i="17"/>
  <c r="S109" i="17"/>
  <c r="DO108" i="17"/>
  <c r="DE108" i="17"/>
  <c r="CU108" i="17"/>
  <c r="CK108" i="17"/>
  <c r="CA108" i="17"/>
  <c r="AW108" i="17"/>
  <c r="S108" i="17"/>
  <c r="Q108" i="17"/>
  <c r="R108" i="17" s="1"/>
  <c r="DO107" i="17"/>
  <c r="DE107" i="17"/>
  <c r="CU107" i="17"/>
  <c r="CK107" i="17"/>
  <c r="CA107" i="17"/>
  <c r="BO107" i="17"/>
  <c r="BP107" i="17" s="1"/>
  <c r="BF107" i="17"/>
  <c r="BE107" i="17"/>
  <c r="AU107" i="17"/>
  <c r="AV107" i="17" s="1"/>
  <c r="AK107" i="17"/>
  <c r="AL107" i="17" s="1"/>
  <c r="AB107" i="17"/>
  <c r="AA107" i="17"/>
  <c r="S107" i="17"/>
  <c r="Q107" i="17"/>
  <c r="R107" i="17" s="1"/>
  <c r="DO106" i="17"/>
  <c r="DE106" i="17"/>
  <c r="CU106" i="17"/>
  <c r="CK106" i="17"/>
  <c r="CA106" i="17"/>
  <c r="S106" i="17"/>
  <c r="Q106" i="17"/>
  <c r="AW105" i="17"/>
  <c r="S105" i="17"/>
  <c r="AW104" i="17"/>
  <c r="S104" i="17"/>
  <c r="BN103" i="17"/>
  <c r="S103" i="17"/>
  <c r="DO102" i="17"/>
  <c r="DM102" i="17"/>
  <c r="DN102" i="17" s="1"/>
  <c r="DC102" i="17"/>
  <c r="DD102" i="17" s="1"/>
  <c r="CS102" i="17"/>
  <c r="CT102" i="17" s="1"/>
  <c r="CI102" i="17"/>
  <c r="CJ102" i="17" s="1"/>
  <c r="CA102" i="17"/>
  <c r="BY102" i="17"/>
  <c r="BZ102" i="17" s="1"/>
  <c r="AJ102" i="17"/>
  <c r="Q102" i="17"/>
  <c r="DO101" i="17"/>
  <c r="DM101" i="17"/>
  <c r="DN101" i="17" s="1"/>
  <c r="DE101" i="17"/>
  <c r="DC101" i="17"/>
  <c r="DD101" i="17" s="1"/>
  <c r="CU101" i="17"/>
  <c r="CS101" i="17"/>
  <c r="CT101" i="17" s="1"/>
  <c r="CI101" i="17"/>
  <c r="CJ101" i="17" s="1"/>
  <c r="BY101" i="17"/>
  <c r="BZ101" i="17" s="1"/>
  <c r="BN101" i="17"/>
  <c r="O101" i="17"/>
  <c r="DO100" i="17"/>
  <c r="DE100" i="17"/>
  <c r="CK100" i="17"/>
  <c r="CA100" i="17"/>
  <c r="AM100" i="17"/>
  <c r="DO99" i="17"/>
  <c r="DE99" i="17"/>
  <c r="DE102" i="17" s="1"/>
  <c r="CU99" i="17"/>
  <c r="CK99" i="17"/>
  <c r="CA99" i="17"/>
  <c r="CA101" i="17" s="1"/>
  <c r="AM99" i="17"/>
  <c r="DO98" i="17"/>
  <c r="DM98" i="17"/>
  <c r="DN98" i="17" s="1"/>
  <c r="DE98" i="17"/>
  <c r="DC98" i="17"/>
  <c r="DD98" i="17" s="1"/>
  <c r="CS98" i="17"/>
  <c r="CT98" i="17" s="1"/>
  <c r="CI98" i="17"/>
  <c r="CJ98" i="17" s="1"/>
  <c r="BY98" i="17"/>
  <c r="BZ98" i="17" s="1"/>
  <c r="DM97" i="17"/>
  <c r="DE97" i="17"/>
  <c r="DC97" i="17"/>
  <c r="CS97" i="17"/>
  <c r="CK97" i="17"/>
  <c r="CI97" i="17"/>
  <c r="BY97" i="17"/>
  <c r="AM97" i="17"/>
  <c r="DO96" i="17"/>
  <c r="DE96" i="17"/>
  <c r="CA96" i="17"/>
  <c r="DO95" i="17"/>
  <c r="DO97" i="17" s="1"/>
  <c r="DE95" i="17"/>
  <c r="CU95" i="17"/>
  <c r="CK95" i="17"/>
  <c r="CK96" i="17" s="1"/>
  <c r="CA95" i="17"/>
  <c r="AM95" i="17"/>
  <c r="S95" i="17"/>
  <c r="S94" i="17"/>
  <c r="S93" i="17"/>
  <c r="S92" i="17"/>
  <c r="Q92" i="17"/>
  <c r="BO91" i="17"/>
  <c r="BP91" i="17" s="1"/>
  <c r="BE91" i="17"/>
  <c r="BF91" i="17" s="1"/>
  <c r="AU91" i="17"/>
  <c r="AV91" i="17" s="1"/>
  <c r="AK91" i="17"/>
  <c r="AL91" i="17" s="1"/>
  <c r="AA91" i="17"/>
  <c r="AB91" i="17" s="1"/>
  <c r="S91" i="17"/>
  <c r="DM90" i="17"/>
  <c r="DN90" i="17" s="1"/>
  <c r="DC90" i="17"/>
  <c r="DD90" i="17" s="1"/>
  <c r="CS90" i="17"/>
  <c r="CT90" i="17" s="1"/>
  <c r="CI90" i="17"/>
  <c r="CJ90" i="17" s="1"/>
  <c r="BY90" i="17"/>
  <c r="BZ90" i="17" s="1"/>
  <c r="BO90" i="17"/>
  <c r="BP90" i="17" s="1"/>
  <c r="BE90" i="17"/>
  <c r="BF90" i="17" s="1"/>
  <c r="AU90" i="17"/>
  <c r="AV90" i="17" s="1"/>
  <c r="AK90" i="17"/>
  <c r="AL90" i="17" s="1"/>
  <c r="AA90" i="17"/>
  <c r="AB90" i="17" s="1"/>
  <c r="S90" i="17"/>
  <c r="CK89" i="17"/>
  <c r="I89" i="17"/>
  <c r="A88" i="17" s="1"/>
  <c r="S88" i="17"/>
  <c r="DM87" i="17"/>
  <c r="DC87" i="17"/>
  <c r="CU87" i="17"/>
  <c r="CU88" i="17" s="1"/>
  <c r="CS87" i="17"/>
  <c r="CK87" i="17"/>
  <c r="CK88" i="17" s="1"/>
  <c r="CI87" i="17"/>
  <c r="CA87" i="17"/>
  <c r="CA88" i="17" s="1"/>
  <c r="CA89" i="17" s="1"/>
  <c r="BY87" i="17"/>
  <c r="BO87" i="17"/>
  <c r="BP87" i="17" s="1"/>
  <c r="BE87" i="17"/>
  <c r="BF87" i="17" s="1"/>
  <c r="AU87" i="17"/>
  <c r="AV87" i="17" s="1"/>
  <c r="AK87" i="17"/>
  <c r="AL87" i="17" s="1"/>
  <c r="AA87" i="17"/>
  <c r="AB87" i="17" s="1"/>
  <c r="S87" i="17"/>
  <c r="DE86" i="17"/>
  <c r="DE87" i="17" s="1"/>
  <c r="DE88" i="17" s="1"/>
  <c r="DE89" i="17" s="1"/>
  <c r="CU86" i="17"/>
  <c r="CK86" i="17"/>
  <c r="BO86" i="17"/>
  <c r="BE86" i="17"/>
  <c r="BF86" i="17" s="1"/>
  <c r="AU86" i="17"/>
  <c r="AK86" i="17"/>
  <c r="AA86" i="17"/>
  <c r="AB86" i="17" s="1"/>
  <c r="I86" i="17"/>
  <c r="DO86" i="17"/>
  <c r="DO87" i="17" s="1"/>
  <c r="DO88" i="17" s="1"/>
  <c r="DO89" i="17" s="1"/>
  <c r="DE85" i="17"/>
  <c r="CU85" i="17"/>
  <c r="CK85" i="17"/>
  <c r="CA85" i="17"/>
  <c r="CA86" i="17" s="1"/>
  <c r="I85" i="17"/>
  <c r="DE84" i="17"/>
  <c r="CU84" i="17"/>
  <c r="CK84" i="17"/>
  <c r="CA84" i="17"/>
  <c r="I84" i="17"/>
  <c r="DL83" i="17"/>
  <c r="DE83" i="17"/>
  <c r="DB83" i="17"/>
  <c r="CU83" i="17"/>
  <c r="CR83" i="17"/>
  <c r="CK83" i="17"/>
  <c r="CH83" i="17"/>
  <c r="CA83" i="17"/>
  <c r="BX83" i="17"/>
  <c r="S83" i="17"/>
  <c r="Q83" i="17"/>
  <c r="R83" i="17" s="1"/>
  <c r="P83" i="17"/>
  <c r="I83" i="17"/>
  <c r="DE82" i="17"/>
  <c r="CU82" i="17"/>
  <c r="CK82" i="17"/>
  <c r="CA82" i="17"/>
  <c r="S82" i="17"/>
  <c r="P82" i="17"/>
  <c r="I82" i="17"/>
  <c r="DE81" i="17"/>
  <c r="CU81" i="17"/>
  <c r="CK81" i="17"/>
  <c r="CA81" i="17"/>
  <c r="S81" i="17"/>
  <c r="P81" i="17"/>
  <c r="I81" i="17"/>
  <c r="S80" i="17"/>
  <c r="P80" i="17"/>
  <c r="I80" i="17"/>
  <c r="S79" i="17"/>
  <c r="P79" i="17"/>
  <c r="I79" i="17"/>
  <c r="S78" i="17"/>
  <c r="K76" i="17" s="1"/>
  <c r="P78" i="17"/>
  <c r="A78" i="17"/>
  <c r="BO77" i="17"/>
  <c r="BP77" i="17" s="1"/>
  <c r="BF77" i="17"/>
  <c r="BG77" i="17" s="1"/>
  <c r="BE77" i="17"/>
  <c r="AU77" i="17"/>
  <c r="AV77" i="17" s="1"/>
  <c r="AW77" i="17" s="1"/>
  <c r="AL77" i="17"/>
  <c r="AM77" i="17" s="1"/>
  <c r="AK77" i="17"/>
  <c r="AA77" i="17"/>
  <c r="AB77" i="17" s="1"/>
  <c r="AC77" i="17" s="1"/>
  <c r="BG76" i="17"/>
  <c r="AW76" i="17"/>
  <c r="AM76" i="17"/>
  <c r="AC76" i="17"/>
  <c r="G76" i="17"/>
  <c r="I76" i="17" s="1"/>
  <c r="DN75" i="17"/>
  <c r="DM75" i="17"/>
  <c r="DC75" i="17"/>
  <c r="DD75" i="17" s="1"/>
  <c r="DE75" i="17" s="1"/>
  <c r="CS75" i="17"/>
  <c r="CT75" i="17" s="1"/>
  <c r="CU75" i="17" s="1"/>
  <c r="CI75" i="17"/>
  <c r="CJ75" i="17" s="1"/>
  <c r="CK75" i="17" s="1"/>
  <c r="BZ75" i="17"/>
  <c r="CA75" i="17" s="1"/>
  <c r="BY75" i="17"/>
  <c r="BG75" i="17"/>
  <c r="AW75" i="17"/>
  <c r="AM75" i="17"/>
  <c r="AC75" i="17"/>
  <c r="K75" i="17"/>
  <c r="I75" i="17"/>
  <c r="G75" i="17"/>
  <c r="DE74" i="17"/>
  <c r="CU74" i="17"/>
  <c r="CK74" i="17"/>
  <c r="CA74" i="17"/>
  <c r="BG74" i="17"/>
  <c r="AW74" i="17"/>
  <c r="AM74" i="17"/>
  <c r="AC74" i="17"/>
  <c r="I74" i="17"/>
  <c r="DE73" i="17"/>
  <c r="CU73" i="17"/>
  <c r="CK73" i="17"/>
  <c r="CA73" i="17"/>
  <c r="BG73" i="17"/>
  <c r="AW73" i="17"/>
  <c r="AM73" i="17"/>
  <c r="AC73" i="17"/>
  <c r="S73" i="17"/>
  <c r="I73" i="17"/>
  <c r="DE72" i="17"/>
  <c r="CU72" i="17"/>
  <c r="CK72" i="17"/>
  <c r="CA72" i="17"/>
  <c r="BG72" i="17"/>
  <c r="AW72" i="17"/>
  <c r="AM72" i="17"/>
  <c r="AC72" i="17"/>
  <c r="S72" i="17"/>
  <c r="I72" i="17"/>
  <c r="G72" i="17"/>
  <c r="DE71" i="17"/>
  <c r="CU71" i="17"/>
  <c r="CK71" i="17"/>
  <c r="CA71" i="17"/>
  <c r="BG71" i="17"/>
  <c r="AW71" i="17"/>
  <c r="AM71" i="17"/>
  <c r="AC71" i="17"/>
  <c r="K71" i="17"/>
  <c r="G71" i="17"/>
  <c r="I71" i="17" s="1"/>
  <c r="DE70" i="17"/>
  <c r="CU70" i="17"/>
  <c r="CK70" i="17"/>
  <c r="CA70" i="17"/>
  <c r="BG70" i="17"/>
  <c r="AW70" i="17"/>
  <c r="AM70" i="17"/>
  <c r="AC70" i="17"/>
  <c r="I70" i="17"/>
  <c r="DE69" i="17"/>
  <c r="CU69" i="17"/>
  <c r="CK69" i="17"/>
  <c r="CA69" i="17"/>
  <c r="S69" i="17"/>
  <c r="K69" i="17"/>
  <c r="I69" i="17"/>
  <c r="DE68" i="17"/>
  <c r="CU68" i="17"/>
  <c r="CK68" i="17"/>
  <c r="CA68" i="17"/>
  <c r="S68" i="17"/>
  <c r="I68" i="17"/>
  <c r="DM67" i="17"/>
  <c r="S67" i="17"/>
  <c r="I67" i="17"/>
  <c r="A64" i="17" s="1"/>
  <c r="CI66" i="17"/>
  <c r="S66" i="17"/>
  <c r="I66" i="17"/>
  <c r="DM65" i="17"/>
  <c r="BO65" i="17"/>
  <c r="BE65" i="17"/>
  <c r="AU65" i="17"/>
  <c r="AW101" i="17" s="1"/>
  <c r="AK65" i="17"/>
  <c r="AA65" i="17"/>
  <c r="S65" i="17"/>
  <c r="K64" i="17" s="1"/>
  <c r="I65" i="17"/>
  <c r="BG64" i="17"/>
  <c r="AW64" i="17"/>
  <c r="AM64" i="17"/>
  <c r="AC64" i="17"/>
  <c r="DE63" i="17"/>
  <c r="CU63" i="17"/>
  <c r="CK63" i="17"/>
  <c r="CA63" i="17"/>
  <c r="BG63" i="17"/>
  <c r="AW63" i="17"/>
  <c r="AM63" i="17"/>
  <c r="AC63" i="17"/>
  <c r="BG62" i="17"/>
  <c r="AW62" i="17"/>
  <c r="AM62" i="17"/>
  <c r="AC62" i="17"/>
  <c r="CY56" i="17"/>
  <c r="CO56" i="17"/>
  <c r="CE56" i="17"/>
  <c r="BU56" i="17"/>
  <c r="BA56" i="17"/>
  <c r="AQ56" i="17"/>
  <c r="AG56" i="17"/>
  <c r="W56" i="17"/>
  <c r="CW39" i="17"/>
  <c r="CM39" i="17"/>
  <c r="CC39" i="17"/>
  <c r="BS39" i="17"/>
  <c r="AY39" i="17"/>
  <c r="AO39" i="17"/>
  <c r="AE39" i="17"/>
  <c r="U39" i="17"/>
  <c r="AA25" i="17"/>
  <c r="CT95" i="17"/>
  <c r="AA24" i="17"/>
  <c r="N23" i="17"/>
  <c r="AA22" i="17"/>
  <c r="N22" i="17"/>
  <c r="F21" i="17" s="1"/>
  <c r="O19" i="17"/>
  <c r="N19" i="17"/>
  <c r="M19" i="17"/>
  <c r="K19" i="17"/>
  <c r="I19" i="17"/>
  <c r="G19" i="17"/>
  <c r="O18" i="17"/>
  <c r="N18" i="17"/>
  <c r="M18" i="17"/>
  <c r="K18" i="17"/>
  <c r="I18" i="17"/>
  <c r="G18" i="17"/>
  <c r="O17" i="17"/>
  <c r="N17" i="17"/>
  <c r="M17" i="17"/>
  <c r="K17" i="17"/>
  <c r="I17" i="17"/>
  <c r="G17" i="17"/>
  <c r="O16" i="17"/>
  <c r="N16" i="17"/>
  <c r="M16" i="17"/>
  <c r="K16" i="17"/>
  <c r="I16" i="17"/>
  <c r="G16" i="17"/>
  <c r="O15" i="17"/>
  <c r="N15" i="17"/>
  <c r="M15" i="17"/>
  <c r="K15" i="17"/>
  <c r="I15" i="17"/>
  <c r="G15" i="17"/>
  <c r="O14" i="17"/>
  <c r="N14" i="17"/>
  <c r="M14" i="17"/>
  <c r="K14" i="17"/>
  <c r="I14" i="17"/>
  <c r="G14" i="17"/>
  <c r="O13" i="17"/>
  <c r="N13" i="17"/>
  <c r="M13" i="17"/>
  <c r="K13" i="17"/>
  <c r="I13" i="17"/>
  <c r="G13" i="17"/>
  <c r="O12" i="17"/>
  <c r="N12" i="17"/>
  <c r="M12" i="17"/>
  <c r="K12" i="17"/>
  <c r="I12" i="17"/>
  <c r="G12" i="17"/>
  <c r="O11" i="17"/>
  <c r="N11" i="17"/>
  <c r="M11" i="17"/>
  <c r="K11" i="17"/>
  <c r="I11" i="17"/>
  <c r="G11" i="17"/>
  <c r="O10" i="17"/>
  <c r="N10" i="17"/>
  <c r="M10" i="17"/>
  <c r="K10" i="17"/>
  <c r="I10" i="17"/>
  <c r="G10" i="17"/>
  <c r="O9" i="17"/>
  <c r="N9" i="17"/>
  <c r="M9" i="17"/>
  <c r="K9" i="17"/>
  <c r="I9" i="17"/>
  <c r="G9" i="17"/>
  <c r="O8" i="17"/>
  <c r="N8" i="17"/>
  <c r="M8" i="17"/>
  <c r="K8" i="17"/>
  <c r="I8" i="17"/>
  <c r="G8" i="17"/>
  <c r="O7" i="17"/>
  <c r="N7" i="17"/>
  <c r="M7" i="17"/>
  <c r="K7" i="17"/>
  <c r="I7" i="17"/>
  <c r="G7" i="17"/>
  <c r="O6" i="17"/>
  <c r="N6" i="17"/>
  <c r="M6" i="17"/>
  <c r="K3" i="17"/>
  <c r="DC67" i="17" s="1"/>
  <c r="CS66" i="17"/>
  <c r="DC65" i="17"/>
  <c r="AR2" i="17"/>
  <c r="K2" i="17"/>
  <c r="I2" i="17"/>
  <c r="G2" i="17"/>
  <c r="E1" i="17"/>
  <c r="DM121" i="17" l="1"/>
  <c r="DE90" i="17"/>
  <c r="CK90" i="17"/>
  <c r="CC80" i="17" s="1"/>
  <c r="AU110" i="17"/>
  <c r="CS121" i="17"/>
  <c r="BO110" i="17"/>
  <c r="CA90" i="17"/>
  <c r="BS80" i="17" s="1"/>
  <c r="A3" i="17"/>
  <c r="BP86" i="17"/>
  <c r="DG94" i="17"/>
  <c r="CT97" i="17"/>
  <c r="DO90" i="17"/>
  <c r="DG80" i="17" s="1"/>
  <c r="AV86" i="17"/>
  <c r="Q197" i="17"/>
  <c r="AU67" i="17"/>
  <c r="AK96" i="17"/>
  <c r="BI60" i="17"/>
  <c r="BY65" i="17"/>
  <c r="AA110" i="17"/>
  <c r="DN97" i="17"/>
  <c r="Q109" i="17"/>
  <c r="DC76" i="17"/>
  <c r="DD76" i="17" s="1"/>
  <c r="DE76" i="17" s="1"/>
  <c r="DC77" i="17"/>
  <c r="DD77" i="17" s="1"/>
  <c r="DE77" i="17" s="1"/>
  <c r="BF64" i="17"/>
  <c r="BF67" i="17"/>
  <c r="AB68" i="17"/>
  <c r="G4" i="17"/>
  <c r="M23" i="17"/>
  <c r="DG60" i="17"/>
  <c r="BP65" i="17"/>
  <c r="I4" i="17"/>
  <c r="K4" i="17" s="1"/>
  <c r="AB62" i="17"/>
  <c r="BF62" i="17"/>
  <c r="AL63" i="17"/>
  <c r="BP63" i="17"/>
  <c r="CT63" i="17"/>
  <c r="DD65" i="17"/>
  <c r="BY66" i="17"/>
  <c r="AV67" i="17"/>
  <c r="CS67" i="17"/>
  <c r="BP68" i="17"/>
  <c r="CT68" i="17"/>
  <c r="AV69" i="17"/>
  <c r="CJ69" i="17"/>
  <c r="DN69" i="17"/>
  <c r="BZ73" i="17"/>
  <c r="AB76" i="17"/>
  <c r="Q103" i="17"/>
  <c r="BZ107" i="17"/>
  <c r="AV65" i="17"/>
  <c r="BF69" i="17"/>
  <c r="BF70" i="17"/>
  <c r="CJ71" i="17"/>
  <c r="AV73" i="17"/>
  <c r="DD74" i="17"/>
  <c r="BP88" i="17"/>
  <c r="P194" i="17"/>
  <c r="P164" i="17"/>
  <c r="P135" i="17"/>
  <c r="DC107" i="17"/>
  <c r="CI107" i="17"/>
  <c r="BO96" i="17"/>
  <c r="CS107" i="17"/>
  <c r="P106" i="17"/>
  <c r="AA96" i="17"/>
  <c r="DM107" i="17"/>
  <c r="BE96" i="17"/>
  <c r="AU96" i="17"/>
  <c r="BO67" i="17"/>
  <c r="AK67" i="17"/>
  <c r="BY107" i="17"/>
  <c r="BE67" i="17"/>
  <c r="AA67" i="17"/>
  <c r="M22" i="17"/>
  <c r="V23" i="17"/>
  <c r="K25" i="17"/>
  <c r="AL62" i="17"/>
  <c r="BP62" i="17"/>
  <c r="AV63" i="17"/>
  <c r="BZ63" i="17"/>
  <c r="DD63" i="17"/>
  <c r="AC117" i="17"/>
  <c r="AC118" i="17"/>
  <c r="Z115" i="17"/>
  <c r="Z114" i="17"/>
  <c r="Z113" i="17"/>
  <c r="AC112" i="17"/>
  <c r="AC111" i="17"/>
  <c r="Z117" i="17"/>
  <c r="AC116" i="17"/>
  <c r="Z111" i="17"/>
  <c r="AC110" i="17"/>
  <c r="Z116" i="17"/>
  <c r="AC115" i="17"/>
  <c r="AC114" i="17"/>
  <c r="Z100" i="17"/>
  <c r="AC96" i="17"/>
  <c r="AC113" i="17"/>
  <c r="Z105" i="17"/>
  <c r="AC109" i="17"/>
  <c r="Z107" i="17"/>
  <c r="Z106" i="17"/>
  <c r="AC102" i="17"/>
  <c r="AC100" i="17"/>
  <c r="AC88" i="17"/>
  <c r="Z118" i="17"/>
  <c r="Z110" i="17"/>
  <c r="AC108" i="17"/>
  <c r="Z103" i="17"/>
  <c r="Z102" i="17"/>
  <c r="AC101" i="17"/>
  <c r="AC99" i="17"/>
  <c r="AC98" i="17"/>
  <c r="AC97" i="17"/>
  <c r="AC107" i="17"/>
  <c r="AC105" i="17"/>
  <c r="Z104" i="17"/>
  <c r="Z99" i="17"/>
  <c r="AC84" i="17"/>
  <c r="Z108" i="17"/>
  <c r="AC103" i="17"/>
  <c r="Z112" i="17"/>
  <c r="Z109" i="17"/>
  <c r="AC106" i="17"/>
  <c r="Z101" i="17"/>
  <c r="AC104" i="17"/>
  <c r="AC95" i="17"/>
  <c r="BG117" i="17"/>
  <c r="BG116" i="17"/>
  <c r="BG118" i="17"/>
  <c r="BD113" i="17"/>
  <c r="BG112" i="17"/>
  <c r="BD117" i="17"/>
  <c r="BG110" i="17"/>
  <c r="BD109" i="17"/>
  <c r="BD118" i="17"/>
  <c r="BD114" i="17"/>
  <c r="BG109" i="17"/>
  <c r="BD100" i="17"/>
  <c r="BD112" i="17"/>
  <c r="BG111" i="17"/>
  <c r="BD110" i="17"/>
  <c r="BG115" i="17"/>
  <c r="BG113" i="17"/>
  <c r="BD111" i="17"/>
  <c r="BD116" i="17"/>
  <c r="BD115" i="17"/>
  <c r="BG114" i="17"/>
  <c r="BD105" i="17"/>
  <c r="BD104" i="17"/>
  <c r="BG103" i="17"/>
  <c r="BG107" i="17"/>
  <c r="BD106" i="17"/>
  <c r="BG101" i="17"/>
  <c r="BG88" i="17"/>
  <c r="BD108" i="17"/>
  <c r="BG102" i="17"/>
  <c r="BD101" i="17"/>
  <c r="BG100" i="17"/>
  <c r="BD99" i="17"/>
  <c r="BG96" i="17"/>
  <c r="BG106" i="17"/>
  <c r="BG99" i="17"/>
  <c r="BG97" i="17"/>
  <c r="BD102" i="17"/>
  <c r="BG95" i="17"/>
  <c r="BG108" i="17"/>
  <c r="BD107" i="17"/>
  <c r="BG105" i="17"/>
  <c r="BG104" i="17"/>
  <c r="BG84" i="17"/>
  <c r="BD103" i="17"/>
  <c r="BZ65" i="17"/>
  <c r="BP67" i="17"/>
  <c r="AL68" i="17"/>
  <c r="BZ68" i="17"/>
  <c r="DD68" i="17"/>
  <c r="BP69" i="17"/>
  <c r="CT69" i="17"/>
  <c r="BZ74" i="17"/>
  <c r="BF84" i="17"/>
  <c r="CJ86" i="17"/>
  <c r="CU89" i="17"/>
  <c r="CU90" i="17" s="1"/>
  <c r="DD88" i="17"/>
  <c r="BZ96" i="17"/>
  <c r="BZ99" i="17"/>
  <c r="P101" i="17"/>
  <c r="CT67" i="17"/>
  <c r="AK110" i="17"/>
  <c r="AL86" i="17"/>
  <c r="R93" i="17"/>
  <c r="BY121" i="17"/>
  <c r="BZ97" i="17"/>
  <c r="P195" i="17"/>
  <c r="P165" i="17"/>
  <c r="P136" i="17"/>
  <c r="DC108" i="17"/>
  <c r="AK97" i="17"/>
  <c r="DC86" i="17"/>
  <c r="CI86" i="17"/>
  <c r="BE97" i="17"/>
  <c r="DM108" i="17"/>
  <c r="BO97" i="17"/>
  <c r="AA97" i="17"/>
  <c r="BY86" i="17"/>
  <c r="BY108" i="17"/>
  <c r="CS86" i="17"/>
  <c r="CS108" i="17"/>
  <c r="AU97" i="17"/>
  <c r="DM86" i="17"/>
  <c r="BO68" i="17"/>
  <c r="AK68" i="17"/>
  <c r="CI108" i="17"/>
  <c r="P107" i="17"/>
  <c r="BE68" i="17"/>
  <c r="AA68" i="17"/>
  <c r="L25" i="17"/>
  <c r="U23" i="17" s="1"/>
  <c r="AA23" i="17" s="1"/>
  <c r="R21" i="17" s="1"/>
  <c r="AL64" i="17"/>
  <c r="BP64" i="17"/>
  <c r="AB65" i="17"/>
  <c r="BF65" i="17"/>
  <c r="CI65" i="17"/>
  <c r="CT66" i="17"/>
  <c r="AB67" i="17"/>
  <c r="DM77" i="17"/>
  <c r="DN77" i="17" s="1"/>
  <c r="DM76" i="17"/>
  <c r="DN76" i="17" s="1"/>
  <c r="AU68" i="17"/>
  <c r="AB69" i="17"/>
  <c r="AB70" i="17"/>
  <c r="BF71" i="17"/>
  <c r="CT73" i="17"/>
  <c r="DN74" i="17"/>
  <c r="R80" i="17"/>
  <c r="Q191" i="17"/>
  <c r="R182" i="17"/>
  <c r="R175" i="17"/>
  <c r="R153" i="17"/>
  <c r="R150" i="17"/>
  <c r="R146" i="17"/>
  <c r="L129" i="17"/>
  <c r="S127" i="17"/>
  <c r="DD122" i="17"/>
  <c r="CJ122" i="17"/>
  <c r="R122" i="17"/>
  <c r="R119" i="17"/>
  <c r="DN117" i="17"/>
  <c r="CT117" i="17"/>
  <c r="BZ117" i="17"/>
  <c r="BP115" i="17"/>
  <c r="AV115" i="17"/>
  <c r="AB115" i="17"/>
  <c r="DD114" i="17"/>
  <c r="CJ114" i="17"/>
  <c r="BP114" i="17"/>
  <c r="AV114" i="17"/>
  <c r="AB114" i="17"/>
  <c r="R192" i="17"/>
  <c r="P191" i="17"/>
  <c r="P192" i="17" s="1"/>
  <c r="M189" i="17"/>
  <c r="M188" i="17"/>
  <c r="M187" i="17"/>
  <c r="M186" i="17"/>
  <c r="M185" i="17"/>
  <c r="R164" i="17"/>
  <c r="R161" i="17"/>
  <c r="P159" i="17"/>
  <c r="P158" i="17"/>
  <c r="P157" i="17"/>
  <c r="P156" i="17"/>
  <c r="P155" i="17"/>
  <c r="R135" i="17"/>
  <c r="R132" i="17"/>
  <c r="P130" i="17"/>
  <c r="S129" i="17"/>
  <c r="M128" i="17"/>
  <c r="DD127" i="17"/>
  <c r="CJ127" i="17"/>
  <c r="DN126" i="17"/>
  <c r="CT126" i="17"/>
  <c r="BZ126" i="17"/>
  <c r="M126" i="17"/>
  <c r="DD125" i="17"/>
  <c r="CJ125" i="17"/>
  <c r="CT123" i="17"/>
  <c r="R123" i="17"/>
  <c r="DN116" i="17"/>
  <c r="CT116" i="17"/>
  <c r="BZ116" i="17"/>
  <c r="BF116" i="17"/>
  <c r="AL116" i="17"/>
  <c r="DN112" i="17"/>
  <c r="CT112" i="17"/>
  <c r="BZ112" i="17"/>
  <c r="L189" i="17"/>
  <c r="O187" i="17" s="1"/>
  <c r="L188" i="17"/>
  <c r="L187" i="17"/>
  <c r="L186" i="17"/>
  <c r="L185" i="17"/>
  <c r="R181" i="17"/>
  <c r="R178" i="17"/>
  <c r="Q161" i="17"/>
  <c r="R152" i="17"/>
  <c r="Q132" i="17"/>
  <c r="L128" i="17"/>
  <c r="P127" i="17"/>
  <c r="L126" i="17"/>
  <c r="R193" i="17"/>
  <c r="S189" i="17"/>
  <c r="S188" i="17"/>
  <c r="S187" i="17"/>
  <c r="S186" i="17"/>
  <c r="S185" i="17"/>
  <c r="R162" i="17"/>
  <c r="P161" i="17"/>
  <c r="P162" i="17" s="1"/>
  <c r="M159" i="17"/>
  <c r="M158" i="17"/>
  <c r="M157" i="17"/>
  <c r="M156" i="17"/>
  <c r="M155" i="17"/>
  <c r="R133" i="17"/>
  <c r="P132" i="17"/>
  <c r="P133" i="17" s="1"/>
  <c r="M130" i="17"/>
  <c r="P129" i="17"/>
  <c r="S128" i="17"/>
  <c r="S126" i="17"/>
  <c r="R124" i="17"/>
  <c r="DD123" i="17"/>
  <c r="BZ123" i="17"/>
  <c r="DN122" i="17"/>
  <c r="CT122" i="17"/>
  <c r="BZ122" i="17"/>
  <c r="DD117" i="17"/>
  <c r="CJ117" i="17"/>
  <c r="BF115" i="17"/>
  <c r="AL115" i="17"/>
  <c r="DN114" i="17"/>
  <c r="CT114" i="17"/>
  <c r="BZ114" i="17"/>
  <c r="BF114" i="17"/>
  <c r="AL114" i="17"/>
  <c r="DN110" i="17"/>
  <c r="CT110" i="17"/>
  <c r="BZ110" i="17"/>
  <c r="DD109" i="17"/>
  <c r="CJ109" i="17"/>
  <c r="R194" i="17"/>
  <c r="R191" i="17"/>
  <c r="P189" i="17"/>
  <c r="P188" i="17"/>
  <c r="P187" i="17"/>
  <c r="P186" i="17"/>
  <c r="P185" i="17"/>
  <c r="R163" i="17"/>
  <c r="S159" i="17"/>
  <c r="S158" i="17"/>
  <c r="S157" i="17"/>
  <c r="S156" i="17"/>
  <c r="S155" i="17"/>
  <c r="R134" i="17"/>
  <c r="S130" i="17"/>
  <c r="M129" i="17"/>
  <c r="P128" i="17"/>
  <c r="L127" i="17"/>
  <c r="P126" i="17"/>
  <c r="DN123" i="17"/>
  <c r="CJ123" i="17"/>
  <c r="R117" i="17"/>
  <c r="BF111" i="17"/>
  <c r="AL111" i="17"/>
  <c r="R183" i="17"/>
  <c r="L159" i="17"/>
  <c r="O157" i="17" s="1"/>
  <c r="DN127" i="17"/>
  <c r="M127" i="17"/>
  <c r="BP116" i="17"/>
  <c r="DD112" i="17"/>
  <c r="BF112" i="17"/>
  <c r="AL112" i="17"/>
  <c r="CJ110" i="17"/>
  <c r="BP106" i="17"/>
  <c r="AV106" i="17"/>
  <c r="AB106" i="17"/>
  <c r="BP105" i="17"/>
  <c r="AV105" i="17"/>
  <c r="AB105" i="17"/>
  <c r="BF103" i="17"/>
  <c r="AL103" i="17"/>
  <c r="R103" i="17"/>
  <c r="BF101" i="17"/>
  <c r="AL101" i="17"/>
  <c r="DN100" i="17"/>
  <c r="CJ100" i="17"/>
  <c r="L100" i="17"/>
  <c r="CT99" i="17"/>
  <c r="BP99" i="17"/>
  <c r="AV99" i="17"/>
  <c r="AB99" i="17"/>
  <c r="M99" i="17"/>
  <c r="BP98" i="17"/>
  <c r="AV98" i="17"/>
  <c r="AB98" i="17"/>
  <c r="M98" i="17"/>
  <c r="BP97" i="17"/>
  <c r="AV97" i="17"/>
  <c r="AB97" i="17"/>
  <c r="M97" i="17"/>
  <c r="DD95" i="17"/>
  <c r="BZ95" i="17"/>
  <c r="L157" i="17"/>
  <c r="R151" i="17"/>
  <c r="CT125" i="17"/>
  <c r="CJ116" i="17"/>
  <c r="AV116" i="17"/>
  <c r="CT109" i="17"/>
  <c r="R176" i="17"/>
  <c r="L156" i="17"/>
  <c r="CJ126" i="17"/>
  <c r="DN125" i="17"/>
  <c r="R121" i="17"/>
  <c r="DD116" i="17"/>
  <c r="BP112" i="17"/>
  <c r="AV112" i="17"/>
  <c r="AB112" i="17"/>
  <c r="DN109" i="17"/>
  <c r="BF106" i="17"/>
  <c r="AL106" i="17"/>
  <c r="R106" i="17"/>
  <c r="BF105" i="17"/>
  <c r="AL105" i="17"/>
  <c r="R105" i="17"/>
  <c r="R180" i="17"/>
  <c r="L155" i="17"/>
  <c r="AV111" i="17"/>
  <c r="DD108" i="17"/>
  <c r="CJ108" i="17"/>
  <c r="P103" i="17"/>
  <c r="P104" i="17" s="1"/>
  <c r="BP101" i="17"/>
  <c r="S101" i="17"/>
  <c r="DD126" i="17"/>
  <c r="BZ125" i="17"/>
  <c r="AB116" i="17"/>
  <c r="DD110" i="17"/>
  <c r="BZ109" i="17"/>
  <c r="R148" i="17"/>
  <c r="BZ127" i="17"/>
  <c r="AB111" i="17"/>
  <c r="AB103" i="17"/>
  <c r="CJ99" i="17"/>
  <c r="BF99" i="17"/>
  <c r="BF98" i="17"/>
  <c r="BF97" i="17"/>
  <c r="CT96" i="17"/>
  <c r="DN95" i="17"/>
  <c r="R94" i="17"/>
  <c r="DD89" i="17"/>
  <c r="BZ89" i="17"/>
  <c r="AV89" i="17"/>
  <c r="DN87" i="17"/>
  <c r="CT87" i="17"/>
  <c r="BZ87" i="17"/>
  <c r="R87" i="17"/>
  <c r="BF85" i="17"/>
  <c r="AB85" i="17"/>
  <c r="DD84" i="17"/>
  <c r="BZ84" i="17"/>
  <c r="AV84" i="17"/>
  <c r="H84" i="17"/>
  <c r="H82" i="17"/>
  <c r="L130" i="17"/>
  <c r="O128" i="17" s="1"/>
  <c r="CT127" i="17"/>
  <c r="DN108" i="17"/>
  <c r="CT108" i="17"/>
  <c r="BZ108" i="17"/>
  <c r="AV103" i="17"/>
  <c r="M101" i="17"/>
  <c r="CT100" i="17"/>
  <c r="S100" i="17"/>
  <c r="DN99" i="17"/>
  <c r="L99" i="17"/>
  <c r="L98" i="17"/>
  <c r="L97" i="17"/>
  <c r="AL96" i="17"/>
  <c r="R95" i="17"/>
  <c r="DN88" i="17"/>
  <c r="CJ88" i="17"/>
  <c r="BF88" i="17"/>
  <c r="AB88" i="17"/>
  <c r="DN107" i="17"/>
  <c r="AV101" i="17"/>
  <c r="L101" i="17"/>
  <c r="O99" i="17" s="1"/>
  <c r="BZ100" i="17"/>
  <c r="DD99" i="17"/>
  <c r="P98" i="17"/>
  <c r="BF96" i="17"/>
  <c r="CJ95" i="17"/>
  <c r="R92" i="17"/>
  <c r="CT88" i="17"/>
  <c r="AV88" i="17"/>
  <c r="AV85" i="17"/>
  <c r="CJ84" i="17"/>
  <c r="AL84" i="17"/>
  <c r="H79" i="17"/>
  <c r="L158" i="17"/>
  <c r="P100" i="17"/>
  <c r="S99" i="17"/>
  <c r="S97" i="17"/>
  <c r="DD96" i="17"/>
  <c r="DN89" i="17"/>
  <c r="BP89" i="17"/>
  <c r="AB89" i="17"/>
  <c r="CT86" i="17"/>
  <c r="DN84" i="17"/>
  <c r="R81" i="17"/>
  <c r="H80" i="17"/>
  <c r="CJ107" i="17"/>
  <c r="R104" i="17"/>
  <c r="AB101" i="17"/>
  <c r="AL98" i="17"/>
  <c r="CJ96" i="17"/>
  <c r="AV96" i="17"/>
  <c r="BZ88" i="17"/>
  <c r="AL88" i="17"/>
  <c r="CJ87" i="17"/>
  <c r="DN86" i="17"/>
  <c r="AL85" i="17"/>
  <c r="BP84" i="17"/>
  <c r="AB84" i="17"/>
  <c r="DD83" i="17"/>
  <c r="CJ83" i="17"/>
  <c r="CT74" i="17"/>
  <c r="DN73" i="17"/>
  <c r="CJ73" i="17"/>
  <c r="BF73" i="17"/>
  <c r="AB73" i="17"/>
  <c r="BP111" i="17"/>
  <c r="DD107" i="17"/>
  <c r="BP103" i="17"/>
  <c r="DD100" i="17"/>
  <c r="M100" i="17"/>
  <c r="P99" i="17"/>
  <c r="P97" i="17"/>
  <c r="CT89" i="17"/>
  <c r="BF89" i="17"/>
  <c r="DD87" i="17"/>
  <c r="H86" i="17"/>
  <c r="H83" i="17"/>
  <c r="AV76" i="17"/>
  <c r="BP75" i="17"/>
  <c r="AL75" i="17"/>
  <c r="DD71" i="17"/>
  <c r="BZ71" i="17"/>
  <c r="AV71" i="17"/>
  <c r="AV70" i="17"/>
  <c r="DN67" i="17"/>
  <c r="CJ67" i="17"/>
  <c r="DN66" i="17"/>
  <c r="CJ66" i="17"/>
  <c r="CT65" i="17"/>
  <c r="CJ112" i="17"/>
  <c r="CT107" i="17"/>
  <c r="AL99" i="17"/>
  <c r="AL97" i="17"/>
  <c r="DN96" i="17"/>
  <c r="BP96" i="17"/>
  <c r="AB96" i="17"/>
  <c r="R90" i="17"/>
  <c r="CJ89" i="17"/>
  <c r="AL89" i="17"/>
  <c r="DD86" i="17"/>
  <c r="BZ86" i="17"/>
  <c r="H85" i="17"/>
  <c r="DN83" i="17"/>
  <c r="CT83" i="17"/>
  <c r="BZ83" i="17"/>
  <c r="BP76" i="17"/>
  <c r="AL76" i="17"/>
  <c r="BF75" i="17"/>
  <c r="AB75" i="17"/>
  <c r="CT71" i="17"/>
  <c r="BP71" i="17"/>
  <c r="AL71" i="17"/>
  <c r="BP70" i="17"/>
  <c r="AL70" i="17"/>
  <c r="DD67" i="17"/>
  <c r="BZ67" i="17"/>
  <c r="DD66" i="17"/>
  <c r="BZ66" i="17"/>
  <c r="DN65" i="17"/>
  <c r="CJ65" i="17"/>
  <c r="P166" i="17"/>
  <c r="P137" i="17"/>
  <c r="P196" i="17"/>
  <c r="DC109" i="17"/>
  <c r="BY109" i="17"/>
  <c r="CS109" i="17"/>
  <c r="DM109" i="17"/>
  <c r="P108" i="17"/>
  <c r="AK98" i="17"/>
  <c r="BE98" i="17"/>
  <c r="AU98" i="17"/>
  <c r="BO98" i="17"/>
  <c r="AA98" i="17"/>
  <c r="BO69" i="17"/>
  <c r="AK69" i="17"/>
  <c r="CI109" i="17"/>
  <c r="BE69" i="17"/>
  <c r="AA69" i="17"/>
  <c r="L24" i="17"/>
  <c r="M25" i="17"/>
  <c r="AV62" i="17"/>
  <c r="AB63" i="17"/>
  <c r="BF63" i="17"/>
  <c r="CJ63" i="17"/>
  <c r="DN63" i="17"/>
  <c r="CS65" i="17"/>
  <c r="DC66" i="17"/>
  <c r="AL67" i="17"/>
  <c r="BY67" i="17"/>
  <c r="AV68" i="17"/>
  <c r="CJ68" i="17"/>
  <c r="DN68" i="17"/>
  <c r="AL69" i="17"/>
  <c r="BZ69" i="17"/>
  <c r="DD69" i="17"/>
  <c r="BP73" i="17"/>
  <c r="CJ74" i="17"/>
  <c r="AV75" i="17"/>
  <c r="BF76" i="17"/>
  <c r="R82" i="17"/>
  <c r="BP85" i="17"/>
  <c r="CW94" i="17"/>
  <c r="S98" i="17"/>
  <c r="AB64" i="17"/>
  <c r="M24" i="17"/>
  <c r="AV64" i="17"/>
  <c r="AL65" i="17"/>
  <c r="DM66" i="17"/>
  <c r="CI67" i="17"/>
  <c r="BF68" i="17"/>
  <c r="AU69" i="17"/>
  <c r="AB71" i="17"/>
  <c r="DN71" i="17"/>
  <c r="AL73" i="17"/>
  <c r="DD73" i="17"/>
  <c r="H81" i="17"/>
  <c r="CT84" i="17"/>
  <c r="R88" i="17"/>
  <c r="BG98" i="17"/>
  <c r="AJ118" i="17"/>
  <c r="AM116" i="17"/>
  <c r="AM113" i="17"/>
  <c r="AM117" i="17"/>
  <c r="AM118" i="17"/>
  <c r="AJ113" i="17"/>
  <c r="AM112" i="17"/>
  <c r="AJ117" i="17"/>
  <c r="AM110" i="17"/>
  <c r="AJ115" i="17"/>
  <c r="AJ111" i="17"/>
  <c r="AJ108" i="17"/>
  <c r="AM107" i="17"/>
  <c r="AM104" i="17"/>
  <c r="AM102" i="17"/>
  <c r="AJ114" i="17"/>
  <c r="AJ112" i="17"/>
  <c r="AJ110" i="17"/>
  <c r="AJ116" i="17"/>
  <c r="AJ109" i="17"/>
  <c r="AM108" i="17"/>
  <c r="AJ107" i="17"/>
  <c r="AJ106" i="17"/>
  <c r="AJ103" i="17"/>
  <c r="AM115" i="17"/>
  <c r="AM114" i="17"/>
  <c r="AM111" i="17"/>
  <c r="AM109" i="17"/>
  <c r="AJ101" i="17"/>
  <c r="AJ99" i="17"/>
  <c r="AM96" i="17"/>
  <c r="AM105" i="17"/>
  <c r="AJ104" i="17"/>
  <c r="AM84" i="17"/>
  <c r="BN118" i="17"/>
  <c r="BQ113" i="17"/>
  <c r="BN115" i="17"/>
  <c r="BN114" i="17"/>
  <c r="BQ111" i="17"/>
  <c r="BQ117" i="17"/>
  <c r="BQ118" i="17"/>
  <c r="BQ116" i="17"/>
  <c r="BN113" i="17"/>
  <c r="BQ112" i="17"/>
  <c r="BN111" i="17"/>
  <c r="BN117" i="17"/>
  <c r="BN116" i="17"/>
  <c r="BQ115" i="17"/>
  <c r="BQ114" i="17"/>
  <c r="BQ110" i="17"/>
  <c r="BN110" i="17"/>
  <c r="BN108" i="17"/>
  <c r="BQ107" i="17"/>
  <c r="BQ104" i="17"/>
  <c r="BQ102" i="17"/>
  <c r="BQ96" i="17"/>
  <c r="BQ109" i="17"/>
  <c r="BQ108" i="17"/>
  <c r="BN107" i="17"/>
  <c r="BN106" i="17"/>
  <c r="BN102" i="17"/>
  <c r="BN100" i="17"/>
  <c r="BN109" i="17"/>
  <c r="BQ105" i="17"/>
  <c r="BQ103" i="17"/>
  <c r="BQ95" i="17"/>
  <c r="BQ84" i="17"/>
  <c r="AW84" i="17"/>
  <c r="BE110" i="17"/>
  <c r="AW88" i="17"/>
  <c r="BQ97" i="17"/>
  <c r="AW98" i="17"/>
  <c r="CK98" i="17"/>
  <c r="BQ99" i="17"/>
  <c r="AJ100" i="17"/>
  <c r="AJ105" i="17"/>
  <c r="BQ106" i="17"/>
  <c r="AT117" i="17"/>
  <c r="AT115" i="17"/>
  <c r="AT114" i="17"/>
  <c r="AW111" i="17"/>
  <c r="AT118" i="17"/>
  <c r="AW116" i="17"/>
  <c r="AT111" i="17"/>
  <c r="AW118" i="17"/>
  <c r="AT116" i="17"/>
  <c r="AW115" i="17"/>
  <c r="AW114" i="17"/>
  <c r="AT113" i="17"/>
  <c r="AW112" i="17"/>
  <c r="AW113" i="17"/>
  <c r="AT109" i="17"/>
  <c r="AW96" i="17"/>
  <c r="AW110" i="17"/>
  <c r="AW109" i="17"/>
  <c r="AW117" i="17"/>
  <c r="AT108" i="17"/>
  <c r="AW107" i="17"/>
  <c r="AT102" i="17"/>
  <c r="AT101" i="17"/>
  <c r="AT112" i="17"/>
  <c r="AT110" i="17"/>
  <c r="AT107" i="17"/>
  <c r="AT105" i="17"/>
  <c r="AT104" i="17"/>
  <c r="AW103" i="17"/>
  <c r="AW106" i="17"/>
  <c r="BQ88" i="17"/>
  <c r="AW95" i="17"/>
  <c r="CU96" i="17"/>
  <c r="CU98" i="17"/>
  <c r="CU97" i="17"/>
  <c r="CI121" i="17"/>
  <c r="CJ97" i="17"/>
  <c r="DN121" i="17"/>
  <c r="AT99" i="17"/>
  <c r="AT100" i="17"/>
  <c r="BQ101" i="17"/>
  <c r="AW102" i="17"/>
  <c r="BP110" i="17"/>
  <c r="CW80" i="17"/>
  <c r="AW97" i="17"/>
  <c r="BQ98" i="17"/>
  <c r="AW99" i="17"/>
  <c r="CK102" i="17"/>
  <c r="CK101" i="17"/>
  <c r="AW100" i="17"/>
  <c r="BN104" i="17"/>
  <c r="BN105" i="17"/>
  <c r="AM106" i="17"/>
  <c r="AM88" i="17"/>
  <c r="AM98" i="17"/>
  <c r="CU102" i="17"/>
  <c r="CU100" i="17"/>
  <c r="BQ100" i="17"/>
  <c r="AM101" i="17"/>
  <c r="AM103" i="17"/>
  <c r="AT106" i="17"/>
  <c r="BN99" i="17"/>
  <c r="AT103" i="17"/>
  <c r="CA97" i="17"/>
  <c r="DC121" i="17"/>
  <c r="DD97" i="17"/>
  <c r="CA98" i="17"/>
  <c r="Q138" i="17"/>
  <c r="Q167" i="17"/>
  <c r="K145" i="17" l="1"/>
  <c r="DD121" i="17"/>
  <c r="CT121" i="17"/>
  <c r="AB110" i="17"/>
  <c r="BS94" i="17"/>
  <c r="K86" i="17"/>
  <c r="O129" i="17"/>
  <c r="Q140" i="17" s="1"/>
  <c r="A56" i="17"/>
  <c r="CW60" i="17"/>
  <c r="K116" i="17"/>
  <c r="K174" i="17"/>
  <c r="O100" i="17"/>
  <c r="Q110" i="17" s="1"/>
  <c r="P105" i="17"/>
  <c r="P113" i="17" s="1"/>
  <c r="BZ121" i="17"/>
  <c r="BE109" i="17"/>
  <c r="BF109" i="17" s="1"/>
  <c r="BE108" i="17"/>
  <c r="BF108" i="17" s="1"/>
  <c r="AM90" i="17"/>
  <c r="AM89" i="17"/>
  <c r="AM91" i="17"/>
  <c r="AA79" i="17"/>
  <c r="AB79" i="17" s="1"/>
  <c r="AC79" i="17" s="1"/>
  <c r="AA78" i="17"/>
  <c r="AB78" i="17" s="1"/>
  <c r="AC78" i="17" s="1"/>
  <c r="CS119" i="17"/>
  <c r="CT119" i="17" s="1"/>
  <c r="CS120" i="17"/>
  <c r="CT120" i="17" s="1"/>
  <c r="CJ121" i="17"/>
  <c r="BY77" i="17"/>
  <c r="BZ77" i="17" s="1"/>
  <c r="CA77" i="17" s="1"/>
  <c r="BY76" i="17"/>
  <c r="BZ76" i="17" s="1"/>
  <c r="CA76" i="17" s="1"/>
  <c r="BE79" i="17"/>
  <c r="BF79" i="17" s="1"/>
  <c r="BG79" i="17" s="1"/>
  <c r="BE78" i="17"/>
  <c r="BF78" i="17" s="1"/>
  <c r="BG78" i="17" s="1"/>
  <c r="AV110" i="17"/>
  <c r="AU109" i="17"/>
  <c r="AV109" i="17" s="1"/>
  <c r="AU108" i="17"/>
  <c r="AV108" i="17" s="1"/>
  <c r="BY120" i="17"/>
  <c r="BZ120" i="17" s="1"/>
  <c r="BY119" i="17"/>
  <c r="BZ119" i="17" s="1"/>
  <c r="O158" i="17"/>
  <c r="O186" i="17"/>
  <c r="R186" i="17"/>
  <c r="P134" i="17"/>
  <c r="P140" i="17" s="1"/>
  <c r="AM86" i="17"/>
  <c r="AM85" i="17"/>
  <c r="AM87" i="17"/>
  <c r="R156" i="17"/>
  <c r="O156" i="17"/>
  <c r="CS77" i="17"/>
  <c r="CT77" i="17" s="1"/>
  <c r="CU77" i="17" s="1"/>
  <c r="CS76" i="17"/>
  <c r="CT76" i="17" s="1"/>
  <c r="CU76" i="17" s="1"/>
  <c r="BF110" i="17"/>
  <c r="AK78" i="17"/>
  <c r="AL78" i="17" s="1"/>
  <c r="AM78" i="17" s="1"/>
  <c r="AK79" i="17"/>
  <c r="AL79" i="17" s="1"/>
  <c r="AM79" i="17" s="1"/>
  <c r="AK109" i="17"/>
  <c r="AL109" i="17" s="1"/>
  <c r="AK113" i="17"/>
  <c r="AL113" i="17" s="1"/>
  <c r="AK108" i="17"/>
  <c r="AL108" i="17" s="1"/>
  <c r="P193" i="17"/>
  <c r="P199" i="17" s="1"/>
  <c r="P163" i="17"/>
  <c r="P169" i="17" s="1"/>
  <c r="CI120" i="17"/>
  <c r="CJ120" i="17" s="1"/>
  <c r="CI119" i="17"/>
  <c r="CJ119" i="17" s="1"/>
  <c r="R155" i="17"/>
  <c r="O155" i="17"/>
  <c r="CI77" i="17"/>
  <c r="CJ77" i="17" s="1"/>
  <c r="CK77" i="17" s="1"/>
  <c r="CI76" i="17"/>
  <c r="CJ76" i="17" s="1"/>
  <c r="CK76" i="17" s="1"/>
  <c r="BO78" i="17"/>
  <c r="BP78" i="17" s="1"/>
  <c r="BO79" i="17"/>
  <c r="BP79" i="17" s="1"/>
  <c r="O185" i="17"/>
  <c r="R185" i="17"/>
  <c r="R127" i="17"/>
  <c r="O127" i="17"/>
  <c r="P110" i="17"/>
  <c r="P139" i="17"/>
  <c r="BG90" i="17"/>
  <c r="BG89" i="17"/>
  <c r="BG91" i="17"/>
  <c r="AC85" i="17"/>
  <c r="AC86" i="17"/>
  <c r="AC87" i="17"/>
  <c r="AW91" i="17"/>
  <c r="AW90" i="17"/>
  <c r="AW89" i="17"/>
  <c r="DC120" i="17"/>
  <c r="DD120" i="17" s="1"/>
  <c r="DC119" i="17"/>
  <c r="DD119" i="17" s="1"/>
  <c r="CM94" i="17"/>
  <c r="AW85" i="17"/>
  <c r="AW86" i="17"/>
  <c r="AW87" i="17"/>
  <c r="CC94" i="17"/>
  <c r="BQ87" i="17"/>
  <c r="BQ86" i="17"/>
  <c r="BQ85" i="17"/>
  <c r="AA109" i="17"/>
  <c r="AB109" i="17" s="1"/>
  <c r="AA108" i="17"/>
  <c r="AB108" i="17" s="1"/>
  <c r="DM120" i="17"/>
  <c r="DN120" i="17" s="1"/>
  <c r="DM119" i="17"/>
  <c r="DN119" i="17" s="1"/>
  <c r="O98" i="17"/>
  <c r="R98" i="17"/>
  <c r="P168" i="17"/>
  <c r="AL110" i="17"/>
  <c r="CM80" i="17"/>
  <c r="AU79" i="17"/>
  <c r="AV79" i="17" s="1"/>
  <c r="AW79" i="17" s="1"/>
  <c r="AU78" i="17"/>
  <c r="AV78" i="17" s="1"/>
  <c r="AW78" i="17" s="1"/>
  <c r="O126" i="17"/>
  <c r="R126" i="17"/>
  <c r="BQ91" i="17"/>
  <c r="BQ89" i="17"/>
  <c r="BQ90" i="17"/>
  <c r="BO108" i="17"/>
  <c r="BP108" i="17" s="1"/>
  <c r="BO109" i="17"/>
  <c r="BP109" i="17" s="1"/>
  <c r="O97" i="17"/>
  <c r="R97" i="17"/>
  <c r="R99" i="17" s="1"/>
  <c r="O188" i="17"/>
  <c r="P198" i="17"/>
  <c r="BG86" i="17"/>
  <c r="BG87" i="17"/>
  <c r="BG85" i="17"/>
  <c r="AC91" i="17"/>
  <c r="AC89" i="17"/>
  <c r="AC90" i="17"/>
  <c r="R157" i="17" l="1"/>
  <c r="P109" i="17"/>
  <c r="R109" i="17" s="1"/>
  <c r="P138" i="17"/>
  <c r="R138" i="17" s="1"/>
  <c r="Q139" i="17"/>
  <c r="R139" i="17" s="1"/>
  <c r="P112" i="17"/>
  <c r="P111" i="17"/>
  <c r="AO83" i="17"/>
  <c r="AY60" i="17"/>
  <c r="AY83" i="17"/>
  <c r="AO60" i="17"/>
  <c r="Q104" i="17"/>
  <c r="Q111" i="17"/>
  <c r="Q112" i="17" s="1"/>
  <c r="Q192" i="17"/>
  <c r="R100" i="17"/>
  <c r="R101" i="17" s="1"/>
  <c r="BI83" i="17"/>
  <c r="Q162" i="17"/>
  <c r="R158" i="17"/>
  <c r="R129" i="17"/>
  <c r="U83" i="17"/>
  <c r="BS60" i="17"/>
  <c r="AE83" i="17"/>
  <c r="Q133" i="17"/>
  <c r="R188" i="17"/>
  <c r="R140" i="17"/>
  <c r="R128" i="17"/>
  <c r="R110" i="17"/>
  <c r="P170" i="17"/>
  <c r="P171" i="17"/>
  <c r="AE60" i="17"/>
  <c r="P167" i="17"/>
  <c r="R167" i="17" s="1"/>
  <c r="U60" i="17"/>
  <c r="Q141" i="17"/>
  <c r="Q142" i="17"/>
  <c r="P200" i="17"/>
  <c r="P201" i="17"/>
  <c r="CM60" i="17"/>
  <c r="P141" i="17"/>
  <c r="P142" i="17"/>
  <c r="R187" i="17"/>
  <c r="CC60" i="17"/>
  <c r="P197" i="17"/>
  <c r="R197" i="17" s="1"/>
  <c r="Q198" i="17"/>
  <c r="R198" i="17" s="1"/>
  <c r="Q199" i="17"/>
  <c r="R199" i="17" s="1"/>
  <c r="Q169" i="17"/>
  <c r="Q168" i="17"/>
  <c r="R168" i="17" s="1"/>
  <c r="R189" i="17" l="1"/>
  <c r="Q193" i="17" s="1"/>
  <c r="Q113" i="17"/>
  <c r="R113" i="17" s="1"/>
  <c r="R159" i="17"/>
  <c r="Q163" i="17" s="1"/>
  <c r="R130" i="17"/>
  <c r="Q134" i="17" s="1"/>
  <c r="R112" i="17"/>
  <c r="R142" i="17"/>
  <c r="R141" i="17"/>
  <c r="R111" i="17"/>
  <c r="Q105" i="17"/>
  <c r="Q170" i="17"/>
  <c r="R170" i="17" s="1"/>
  <c r="Q171" i="17"/>
  <c r="R171" i="17" s="1"/>
  <c r="Q200" i="17"/>
  <c r="R200" i="17" s="1"/>
  <c r="Q201" i="17"/>
  <c r="R201" i="17" s="1"/>
  <c r="R169" i="17"/>
  <c r="K56" i="17" l="1"/>
  <c r="A17" i="17"/>
  <c r="BI116" i="1" s="1"/>
  <c r="F86" i="1"/>
  <c r="F82" i="1"/>
  <c r="G86" i="1"/>
  <c r="G82" i="1"/>
  <c r="G87" i="1"/>
  <c r="G83" i="1"/>
  <c r="A86" i="1"/>
  <c r="A87" i="1" s="1"/>
  <c r="A82" i="1"/>
  <c r="A83" i="1" s="1"/>
  <c r="H85" i="1"/>
  <c r="H84" i="1"/>
  <c r="H79" i="1"/>
  <c r="I79" i="1"/>
  <c r="H81" i="1"/>
  <c r="H80" i="1"/>
  <c r="I84" i="1"/>
  <c r="I80" i="1"/>
  <c r="I81" i="1" s="1"/>
  <c r="I78" i="1"/>
  <c r="H87" i="1" l="1"/>
  <c r="I87" i="1" s="1"/>
  <c r="H83" i="1"/>
  <c r="I83" i="1" s="1"/>
  <c r="H82" i="1"/>
  <c r="I82" i="1" s="1"/>
  <c r="H86" i="1"/>
  <c r="I86" i="1" s="1"/>
  <c r="I85" i="1"/>
  <c r="CR108" i="1" l="1"/>
  <c r="BM106" i="1"/>
  <c r="BI111" i="1" l="1"/>
  <c r="BI108" i="1"/>
  <c r="BO99" i="1"/>
  <c r="BQ98" i="1"/>
  <c r="BQ103" i="1"/>
  <c r="BP100" i="1"/>
  <c r="BO100" i="1"/>
  <c r="BQ100" i="1" s="1"/>
  <c r="BP99" i="1"/>
  <c r="BN99" i="1"/>
  <c r="BQ99" i="1"/>
  <c r="BP105" i="1"/>
  <c r="BQ102" i="1"/>
  <c r="BP104" i="1"/>
  <c r="BP103" i="1"/>
  <c r="BP102" i="1"/>
  <c r="C37" i="16" l="1"/>
  <c r="B37" i="16"/>
  <c r="A37" i="16"/>
  <c r="C36" i="16"/>
  <c r="B36" i="16"/>
  <c r="A36" i="16"/>
  <c r="C35" i="16"/>
  <c r="B35" i="16"/>
  <c r="A35" i="16"/>
  <c r="A34" i="16"/>
  <c r="A33" i="16"/>
  <c r="A32" i="16"/>
  <c r="A19" i="16"/>
  <c r="AN49" i="16" s="1"/>
  <c r="AP49" i="16" s="1"/>
  <c r="AW55" i="16"/>
  <c r="AM55" i="16"/>
  <c r="AC55" i="16"/>
  <c r="S55" i="16"/>
  <c r="I55" i="16"/>
  <c r="AW54" i="16"/>
  <c r="AM54" i="16"/>
  <c r="AC54" i="16"/>
  <c r="S54" i="16"/>
  <c r="I54" i="16"/>
  <c r="AX53" i="16"/>
  <c r="AX55" i="16" s="1"/>
  <c r="AW53" i="16"/>
  <c r="AN53" i="16"/>
  <c r="AN54" i="16" s="1"/>
  <c r="AM53" i="16"/>
  <c r="AD53" i="16"/>
  <c r="AD55" i="16" s="1"/>
  <c r="AC53" i="16"/>
  <c r="T53" i="16"/>
  <c r="T55" i="16" s="1"/>
  <c r="S53" i="16"/>
  <c r="J53" i="16"/>
  <c r="J54" i="16" s="1"/>
  <c r="I53" i="16"/>
  <c r="AX52" i="16"/>
  <c r="AW52" i="16"/>
  <c r="AN52" i="16"/>
  <c r="AM52" i="16"/>
  <c r="AD52" i="16"/>
  <c r="AC52" i="16"/>
  <c r="T52" i="16"/>
  <c r="S52" i="16"/>
  <c r="J52" i="16"/>
  <c r="I52" i="16"/>
  <c r="AX51" i="16"/>
  <c r="AW51" i="16"/>
  <c r="AN51" i="16"/>
  <c r="AM51" i="16"/>
  <c r="AD51" i="16"/>
  <c r="AC51" i="16"/>
  <c r="T51" i="16"/>
  <c r="S51" i="16"/>
  <c r="J51" i="16"/>
  <c r="I51" i="16"/>
  <c r="AX50" i="16"/>
  <c r="AW50" i="16"/>
  <c r="AN50" i="16"/>
  <c r="AM50" i="16"/>
  <c r="AD50" i="16"/>
  <c r="AC50" i="16"/>
  <c r="T50" i="16"/>
  <c r="S50" i="16"/>
  <c r="J50" i="16"/>
  <c r="I50" i="16"/>
  <c r="AR47" i="16"/>
  <c r="AH47" i="16"/>
  <c r="X47" i="16"/>
  <c r="N47" i="16"/>
  <c r="D47" i="16"/>
  <c r="AZ46" i="16"/>
  <c r="AP46" i="16"/>
  <c r="AF46" i="16"/>
  <c r="V46" i="16"/>
  <c r="AZ45" i="16"/>
  <c r="AP45" i="16"/>
  <c r="AF45" i="16"/>
  <c r="V45" i="16"/>
  <c r="AZ44" i="16"/>
  <c r="AP44" i="16"/>
  <c r="AF44" i="16"/>
  <c r="V44" i="16"/>
  <c r="AZ43" i="16"/>
  <c r="AP43" i="16"/>
  <c r="AF43" i="16"/>
  <c r="V43" i="16"/>
  <c r="U42" i="16"/>
  <c r="AZ40" i="16"/>
  <c r="AS40" i="16"/>
  <c r="AP40" i="16"/>
  <c r="AI40" i="16"/>
  <c r="AF40" i="16"/>
  <c r="Y40" i="16"/>
  <c r="V40" i="16"/>
  <c r="O40" i="16"/>
  <c r="E40" i="16"/>
  <c r="AZ39" i="16"/>
  <c r="AP39" i="16"/>
  <c r="AF39" i="16"/>
  <c r="V39" i="16"/>
  <c r="AZ38" i="16"/>
  <c r="AP38" i="16"/>
  <c r="AF38" i="16"/>
  <c r="V38" i="16"/>
  <c r="L38" i="16"/>
  <c r="AZ37" i="16"/>
  <c r="AP37" i="16"/>
  <c r="AF37" i="16"/>
  <c r="V37" i="16"/>
  <c r="L37" i="16"/>
  <c r="N32" i="16"/>
  <c r="A12" i="16"/>
  <c r="A17" i="16" s="1"/>
  <c r="A6" i="16"/>
  <c r="CU92" i="1"/>
  <c r="AO54" i="16" l="1"/>
  <c r="AP54" i="16" s="1"/>
  <c r="AX49" i="16"/>
  <c r="AZ49" i="16" s="1"/>
  <c r="I39" i="16"/>
  <c r="U51" i="16"/>
  <c r="V51" i="16" s="1"/>
  <c r="AM40" i="16"/>
  <c r="AY51" i="16"/>
  <c r="AZ51" i="16" s="1"/>
  <c r="AE52" i="16"/>
  <c r="AF52" i="16" s="1"/>
  <c r="AY48" i="16"/>
  <c r="AC41" i="16"/>
  <c r="I49" i="16"/>
  <c r="AE50" i="16"/>
  <c r="AF50" i="16" s="1"/>
  <c r="U55" i="16"/>
  <c r="V55" i="16" s="1"/>
  <c r="AE51" i="16"/>
  <c r="AF51" i="16" s="1"/>
  <c r="K52" i="16"/>
  <c r="L52" i="16" s="1"/>
  <c r="S40" i="16"/>
  <c r="J49" i="16"/>
  <c r="L49" i="16" s="1"/>
  <c r="AW47" i="16"/>
  <c r="AE49" i="16"/>
  <c r="AE39" i="16"/>
  <c r="AE42" i="16"/>
  <c r="U46" i="16"/>
  <c r="AX47" i="16"/>
  <c r="AZ47" i="16" s="1"/>
  <c r="U41" i="16"/>
  <c r="K45" i="16"/>
  <c r="T47" i="16"/>
  <c r="V47" i="16" s="1"/>
  <c r="U48" i="16"/>
  <c r="AY46" i="16"/>
  <c r="AC47" i="16"/>
  <c r="AC48" i="16"/>
  <c r="AM49" i="16"/>
  <c r="AM42" i="16"/>
  <c r="S41" i="16"/>
  <c r="AD48" i="16"/>
  <c r="AF48" i="16" s="1"/>
  <c r="AO49" i="16"/>
  <c r="K54" i="16"/>
  <c r="L54" i="16" s="1"/>
  <c r="U39" i="16"/>
  <c r="I47" i="16"/>
  <c r="AE47" i="16"/>
  <c r="AE48" i="16"/>
  <c r="S49" i="16"/>
  <c r="AW49" i="16"/>
  <c r="AY39" i="16"/>
  <c r="AY41" i="16"/>
  <c r="U43" i="16"/>
  <c r="AE44" i="16"/>
  <c r="K47" i="16"/>
  <c r="I48" i="16"/>
  <c r="AO48" i="16"/>
  <c r="U49" i="16"/>
  <c r="AY49" i="16"/>
  <c r="K51" i="16"/>
  <c r="L51" i="16" s="1"/>
  <c r="U52" i="16"/>
  <c r="V52" i="16" s="1"/>
  <c r="AH32" i="16"/>
  <c r="AW39" i="16"/>
  <c r="AY47" i="16"/>
  <c r="AC39" i="16"/>
  <c r="AC40" i="16"/>
  <c r="I42" i="16"/>
  <c r="AO45" i="16"/>
  <c r="AM47" i="16"/>
  <c r="S48" i="16"/>
  <c r="AW48" i="16"/>
  <c r="AC49" i="16"/>
  <c r="AM41" i="16"/>
  <c r="AY42" i="16"/>
  <c r="AY55" i="16"/>
  <c r="AZ55" i="16" s="1"/>
  <c r="K50" i="16"/>
  <c r="L50" i="16" s="1"/>
  <c r="X32" i="16"/>
  <c r="K39" i="16"/>
  <c r="AO39" i="16"/>
  <c r="I40" i="16"/>
  <c r="AE40" i="16"/>
  <c r="AW40" i="16"/>
  <c r="AW41" i="16"/>
  <c r="AO42" i="16"/>
  <c r="AY43" i="16"/>
  <c r="AN47" i="16"/>
  <c r="AP47" i="16" s="1"/>
  <c r="K48" i="16"/>
  <c r="AM48" i="16"/>
  <c r="K49" i="16"/>
  <c r="U50" i="16"/>
  <c r="V50" i="16" s="1"/>
  <c r="AO50" i="16"/>
  <c r="AP50" i="16" s="1"/>
  <c r="AY52" i="16"/>
  <c r="AZ52" i="16" s="1"/>
  <c r="K53" i="16"/>
  <c r="L53" i="16" s="1"/>
  <c r="AY53" i="16"/>
  <c r="AZ53" i="16" s="1"/>
  <c r="AN55" i="16"/>
  <c r="AO55" i="16" s="1"/>
  <c r="AP55" i="16" s="1"/>
  <c r="AO51" i="16"/>
  <c r="AP51" i="16" s="1"/>
  <c r="J55" i="16"/>
  <c r="K55" i="16" s="1"/>
  <c r="L55" i="16" s="1"/>
  <c r="AY50" i="16"/>
  <c r="AZ50" i="16" s="1"/>
  <c r="AO52" i="16"/>
  <c r="AP52" i="16" s="1"/>
  <c r="AO53" i="16"/>
  <c r="AP53" i="16" s="1"/>
  <c r="AE53" i="16"/>
  <c r="AF53" i="16" s="1"/>
  <c r="U53" i="16"/>
  <c r="V53" i="16" s="1"/>
  <c r="AD54" i="16"/>
  <c r="AE54" i="16" s="1"/>
  <c r="AF54" i="16" s="1"/>
  <c r="L46" i="16"/>
  <c r="L40" i="16"/>
  <c r="L44" i="16"/>
  <c r="L45" i="16"/>
  <c r="L39" i="16"/>
  <c r="L43" i="16"/>
  <c r="AE55" i="16"/>
  <c r="AF55" i="16" s="1"/>
  <c r="AR32" i="16"/>
  <c r="S39" i="16"/>
  <c r="AM39" i="16"/>
  <c r="U40" i="16"/>
  <c r="AY40" i="16"/>
  <c r="AE41" i="16"/>
  <c r="S42" i="16"/>
  <c r="AW42" i="16"/>
  <c r="AE43" i="16"/>
  <c r="K44" i="16"/>
  <c r="AO44" i="16"/>
  <c r="U45" i="16"/>
  <c r="AY45" i="16"/>
  <c r="AE46" i="16"/>
  <c r="S47" i="16"/>
  <c r="AD47" i="16"/>
  <c r="AF47" i="16" s="1"/>
  <c r="AO47" i="16"/>
  <c r="T48" i="16"/>
  <c r="V48" i="16" s="1"/>
  <c r="AX48" i="16"/>
  <c r="AZ48" i="16" s="1"/>
  <c r="AD49" i="16"/>
  <c r="AF49" i="16" s="1"/>
  <c r="T54" i="16"/>
  <c r="U54" i="16" s="1"/>
  <c r="V54" i="16" s="1"/>
  <c r="AX54" i="16"/>
  <c r="AY54" i="16" s="1"/>
  <c r="AZ54" i="16" s="1"/>
  <c r="D32" i="16"/>
  <c r="K40" i="16"/>
  <c r="AO40" i="16"/>
  <c r="I41" i="16"/>
  <c r="AO41" i="16"/>
  <c r="AC42" i="16"/>
  <c r="K43" i="16"/>
  <c r="AO43" i="16"/>
  <c r="U44" i="16"/>
  <c r="AY44" i="16"/>
  <c r="AE45" i="16"/>
  <c r="K46" i="16"/>
  <c r="AO46" i="16"/>
  <c r="J47" i="16"/>
  <c r="L47" i="16" s="1"/>
  <c r="U47" i="16"/>
  <c r="J48" i="16"/>
  <c r="L48" i="16" s="1"/>
  <c r="AN48" i="16"/>
  <c r="AP48" i="16" s="1"/>
  <c r="T49" i="16"/>
  <c r="V49" i="16" s="1"/>
  <c r="A18" i="13"/>
  <c r="A14" i="13"/>
  <c r="A10" i="13"/>
  <c r="A6" i="13"/>
  <c r="A2" i="13"/>
  <c r="A2" i="11"/>
  <c r="AR33" i="16" l="1"/>
  <c r="AR30" i="16" s="1"/>
  <c r="AH33" i="16"/>
  <c r="AH30" i="16" s="1"/>
  <c r="D33" i="16"/>
  <c r="D30" i="16" s="1"/>
  <c r="N33" i="16"/>
  <c r="N30" i="16" s="1"/>
  <c r="X33" i="16"/>
  <c r="X30" i="16" s="1"/>
  <c r="BQ91" i="1"/>
  <c r="BQ90" i="1"/>
  <c r="A22" i="16" l="1"/>
  <c r="BI122" i="1" s="1"/>
  <c r="BO95" i="1"/>
  <c r="BQ95" i="1" s="1"/>
  <c r="BM95" i="1"/>
  <c r="BO94" i="1"/>
  <c r="BQ94" i="1" s="1"/>
  <c r="BP93" i="1"/>
  <c r="BN93" i="1"/>
  <c r="BQ93" i="1" s="1"/>
  <c r="BM93" i="1"/>
  <c r="BP92" i="1"/>
  <c r="BN92" i="1"/>
  <c r="BQ92" i="1" s="1"/>
  <c r="BJ91" i="1"/>
  <c r="CQ101" i="1"/>
  <c r="BO96" i="1" l="1"/>
  <c r="BQ96" i="1" s="1"/>
  <c r="BO97" i="1"/>
  <c r="CU96" i="1"/>
  <c r="CU95" i="1"/>
  <c r="CU94" i="1"/>
  <c r="CU102" i="1"/>
  <c r="CU103" i="1"/>
  <c r="CU104" i="1"/>
  <c r="CU106" i="1"/>
  <c r="CU107" i="1"/>
  <c r="CU108" i="1"/>
  <c r="CU101" i="1"/>
  <c r="CU93" i="1"/>
  <c r="CU82" i="1"/>
  <c r="CU81" i="1"/>
  <c r="CU83" i="1"/>
  <c r="CK71" i="1"/>
  <c r="CK70" i="1"/>
  <c r="CK69" i="1"/>
  <c r="CA71" i="1"/>
  <c r="CA70" i="1"/>
  <c r="CA69" i="1"/>
  <c r="CQ95" i="1"/>
  <c r="CQ96" i="1"/>
  <c r="CQ97" i="1"/>
  <c r="CQ98" i="1"/>
  <c r="CQ99" i="1"/>
  <c r="CQ100" i="1"/>
  <c r="CR101" i="1"/>
  <c r="CR104" i="1"/>
  <c r="CR103" i="1"/>
  <c r="CR102" i="1"/>
  <c r="CM113" i="1"/>
  <c r="CM112" i="1"/>
  <c r="CM111" i="1"/>
  <c r="CM110" i="1"/>
  <c r="CM109" i="1"/>
  <c r="CQ113" i="1"/>
  <c r="CQ112" i="1"/>
  <c r="CQ111" i="1"/>
  <c r="CQ110" i="1"/>
  <c r="CQ109" i="1"/>
  <c r="CQ108" i="1"/>
  <c r="CQ105" i="1"/>
  <c r="CQ104" i="1"/>
  <c r="CQ103" i="1"/>
  <c r="CQ102" i="1"/>
  <c r="CT108" i="1"/>
  <c r="CT107" i="1"/>
  <c r="CT106" i="1"/>
  <c r="CT105" i="1"/>
  <c r="CT104" i="1"/>
  <c r="CT103" i="1"/>
  <c r="CT102" i="1"/>
  <c r="CR96" i="1"/>
  <c r="CR95" i="1"/>
  <c r="CT96" i="1"/>
  <c r="CT95" i="1"/>
  <c r="CS98" i="1"/>
  <c r="CU98" i="1" s="1"/>
  <c r="CS97" i="1"/>
  <c r="CU97" i="1" s="1"/>
  <c r="CR94" i="1"/>
  <c r="CQ87" i="1"/>
  <c r="CR85" i="1"/>
  <c r="CU85" i="1" s="1"/>
  <c r="CQ85" i="1"/>
  <c r="CR84" i="1"/>
  <c r="CU84" i="1" s="1"/>
  <c r="CS87" i="1"/>
  <c r="CU87" i="1" s="1"/>
  <c r="CS86" i="1"/>
  <c r="CU86" i="1" s="1"/>
  <c r="CT85" i="1"/>
  <c r="CT84" i="1"/>
  <c r="CI73" i="1"/>
  <c r="CI74" i="1" s="1"/>
  <c r="CK74" i="1" s="1"/>
  <c r="CG73" i="1"/>
  <c r="CI72" i="1"/>
  <c r="CK72" i="1" s="1"/>
  <c r="CJ71" i="1"/>
  <c r="CH71" i="1"/>
  <c r="CG71" i="1"/>
  <c r="CJ70" i="1"/>
  <c r="CH70" i="1"/>
  <c r="CD69" i="1"/>
  <c r="BY73" i="1"/>
  <c r="BY75" i="1" s="1"/>
  <c r="CA75" i="1" s="1"/>
  <c r="BW73" i="1"/>
  <c r="BY72" i="1"/>
  <c r="CA72" i="1" s="1"/>
  <c r="BZ71" i="1"/>
  <c r="BX71" i="1"/>
  <c r="BW71" i="1"/>
  <c r="BZ70" i="1"/>
  <c r="BX70" i="1"/>
  <c r="BT69" i="1"/>
  <c r="CQ107" i="1"/>
  <c r="CQ106" i="1"/>
  <c r="CR83" i="1"/>
  <c r="CN83" i="1" s="1"/>
  <c r="CN94" i="1" s="1"/>
  <c r="CM81" i="1"/>
  <c r="CM92" i="1" s="1"/>
  <c r="AM71" i="1"/>
  <c r="AM72" i="1"/>
  <c r="BQ97" i="1" l="1"/>
  <c r="CS88" i="1"/>
  <c r="CS89" i="1"/>
  <c r="CI75" i="1"/>
  <c r="CK75" i="1" s="1"/>
  <c r="CK73" i="1"/>
  <c r="CA73" i="1"/>
  <c r="BY74" i="1"/>
  <c r="CA74" i="1" s="1"/>
  <c r="CS109" i="1"/>
  <c r="CS99" i="1"/>
  <c r="CU99" i="1" s="1"/>
  <c r="CS100" i="1"/>
  <c r="CU100" i="1" s="1"/>
  <c r="CN82" i="1"/>
  <c r="CN93" i="1" s="1"/>
  <c r="CR89" i="1"/>
  <c r="CR100" i="1" s="1"/>
  <c r="CR107" i="1" s="1"/>
  <c r="CR109" i="1" s="1"/>
  <c r="CR88" i="1"/>
  <c r="CR99" i="1" s="1"/>
  <c r="CR106" i="1" s="1"/>
  <c r="AF79" i="1"/>
  <c r="L64" i="1"/>
  <c r="AP84" i="1"/>
  <c r="AP73" i="1"/>
  <c r="V90" i="1"/>
  <c r="B110" i="1"/>
  <c r="AP102" i="1"/>
  <c r="AZ95" i="1"/>
  <c r="AZ85" i="1"/>
  <c r="AF89" i="1"/>
  <c r="B71" i="1"/>
  <c r="P65" i="1"/>
  <c r="AT85" i="1"/>
  <c r="AT74" i="1"/>
  <c r="S73" i="1"/>
  <c r="BE99" i="1"/>
  <c r="BG99" i="1" s="1"/>
  <c r="BC99" i="1"/>
  <c r="BE98" i="1"/>
  <c r="BG98" i="1" s="1"/>
  <c r="BG97" i="1"/>
  <c r="BF97" i="1"/>
  <c r="BD97" i="1"/>
  <c r="BC97" i="1"/>
  <c r="BG96" i="1"/>
  <c r="BF96" i="1"/>
  <c r="BD96" i="1"/>
  <c r="BG95" i="1"/>
  <c r="AU77" i="1"/>
  <c r="AW77" i="1" s="1"/>
  <c r="AS77" i="1"/>
  <c r="AU76" i="1"/>
  <c r="AW76" i="1" s="1"/>
  <c r="AW75" i="1"/>
  <c r="AV75" i="1"/>
  <c r="AT75" i="1"/>
  <c r="AS75" i="1"/>
  <c r="AW74" i="1"/>
  <c r="AV74" i="1"/>
  <c r="AW73" i="1"/>
  <c r="BE89" i="1"/>
  <c r="BG89" i="1" s="1"/>
  <c r="BC89" i="1"/>
  <c r="BE88" i="1"/>
  <c r="BG88" i="1" s="1"/>
  <c r="BG87" i="1"/>
  <c r="BF87" i="1"/>
  <c r="BD87" i="1"/>
  <c r="BC87" i="1"/>
  <c r="BF86" i="1"/>
  <c r="BD86" i="1"/>
  <c r="BG86" i="1" s="1"/>
  <c r="BG85" i="1"/>
  <c r="AW104" i="1"/>
  <c r="AW103" i="1"/>
  <c r="AW102" i="1"/>
  <c r="AW101" i="1"/>
  <c r="AW84" i="1"/>
  <c r="AU90" i="1"/>
  <c r="AW90" i="1" s="1"/>
  <c r="AU89" i="1"/>
  <c r="AW89" i="1" s="1"/>
  <c r="AU88" i="1"/>
  <c r="AW88" i="1" s="1"/>
  <c r="AS88" i="1"/>
  <c r="AU87" i="1"/>
  <c r="AW87" i="1" s="1"/>
  <c r="AW86" i="1"/>
  <c r="AV86" i="1"/>
  <c r="AT86" i="1"/>
  <c r="AS86" i="1"/>
  <c r="AW85" i="1"/>
  <c r="AV85" i="1"/>
  <c r="AP92" i="1"/>
  <c r="AU108" i="1"/>
  <c r="AW108" i="1" s="1"/>
  <c r="AU107" i="1"/>
  <c r="AW107" i="1" s="1"/>
  <c r="AU106" i="1"/>
  <c r="AW106" i="1" s="1"/>
  <c r="AS106" i="1"/>
  <c r="AU105" i="1"/>
  <c r="AW105" i="1" s="1"/>
  <c r="AV104" i="1"/>
  <c r="AT104" i="1"/>
  <c r="AS104" i="1"/>
  <c r="AV103" i="1"/>
  <c r="AT103" i="1"/>
  <c r="AK83" i="1"/>
  <c r="AJ81" i="1"/>
  <c r="AJ85" i="1"/>
  <c r="AJ84" i="1"/>
  <c r="AJ83" i="1"/>
  <c r="AJ79" i="1"/>
  <c r="AK93" i="1"/>
  <c r="AM93" i="1" s="1"/>
  <c r="AI93" i="1"/>
  <c r="AK92" i="1"/>
  <c r="AM92" i="1" s="1"/>
  <c r="AM91" i="1"/>
  <c r="AL91" i="1"/>
  <c r="AJ91" i="1"/>
  <c r="AI91" i="1"/>
  <c r="AM90" i="1"/>
  <c r="AL90" i="1"/>
  <c r="AJ90" i="1"/>
  <c r="AM89" i="1"/>
  <c r="AM77" i="1"/>
  <c r="AI83" i="1"/>
  <c r="AK82" i="1"/>
  <c r="AM82" i="1" s="1"/>
  <c r="AM81" i="1"/>
  <c r="AL81" i="1"/>
  <c r="AI81" i="1"/>
  <c r="AM80" i="1"/>
  <c r="AL80" i="1"/>
  <c r="AJ80" i="1"/>
  <c r="AM79" i="1"/>
  <c r="AL74" i="1"/>
  <c r="AK74" i="1"/>
  <c r="AM74" i="1" s="1"/>
  <c r="AM73" i="1"/>
  <c r="AL73" i="1"/>
  <c r="AJ73" i="1"/>
  <c r="AL72" i="1"/>
  <c r="AJ72" i="1"/>
  <c r="D36" i="14"/>
  <c r="AA129" i="1"/>
  <c r="AA127" i="1"/>
  <c r="AA128" i="1" s="1"/>
  <c r="Y127" i="1"/>
  <c r="AA126" i="1"/>
  <c r="AB125" i="1"/>
  <c r="Z125" i="1"/>
  <c r="Y125" i="1"/>
  <c r="AB124" i="1"/>
  <c r="Z124" i="1"/>
  <c r="AA116" i="1"/>
  <c r="AC116" i="1" s="1"/>
  <c r="Y116" i="1"/>
  <c r="AA115" i="1"/>
  <c r="AC115" i="1" s="1"/>
  <c r="AC114" i="1"/>
  <c r="AB114" i="1"/>
  <c r="Z114" i="1"/>
  <c r="Y114" i="1"/>
  <c r="AC113" i="1"/>
  <c r="AB113" i="1"/>
  <c r="Z113" i="1"/>
  <c r="AC112" i="1"/>
  <c r="AA96" i="1"/>
  <c r="AC96" i="1" s="1"/>
  <c r="AA95" i="1"/>
  <c r="AC95" i="1" s="1"/>
  <c r="AA94" i="1"/>
  <c r="AC94" i="1" s="1"/>
  <c r="Y94" i="1"/>
  <c r="AA93" i="1"/>
  <c r="AC93" i="1" s="1"/>
  <c r="AC92" i="1"/>
  <c r="AB92" i="1"/>
  <c r="Z92" i="1"/>
  <c r="Y92" i="1"/>
  <c r="AC91" i="1"/>
  <c r="AB91" i="1"/>
  <c r="Z91" i="1"/>
  <c r="AC90" i="1"/>
  <c r="Q70" i="1"/>
  <c r="S70" i="1" s="1"/>
  <c r="Q69" i="1"/>
  <c r="S69" i="1" s="1"/>
  <c r="Q68" i="1"/>
  <c r="S68" i="1" s="1"/>
  <c r="O68" i="1"/>
  <c r="Q67" i="1"/>
  <c r="S67" i="1" s="1"/>
  <c r="S66" i="1"/>
  <c r="R66" i="1"/>
  <c r="P66" i="1"/>
  <c r="O66" i="1"/>
  <c r="S65" i="1"/>
  <c r="R65" i="1"/>
  <c r="S64" i="1"/>
  <c r="G115" i="1"/>
  <c r="G116" i="1" s="1"/>
  <c r="E115" i="1"/>
  <c r="G114" i="1"/>
  <c r="H113" i="1"/>
  <c r="F113" i="1"/>
  <c r="E113" i="1"/>
  <c r="H112" i="1"/>
  <c r="F112" i="1"/>
  <c r="G117" i="1" l="1"/>
  <c r="AK94" i="1"/>
  <c r="AM94" i="1" s="1"/>
  <c r="AK95" i="1"/>
  <c r="AM95" i="1" s="1"/>
  <c r="AA117" i="1"/>
  <c r="AC117" i="1" s="1"/>
  <c r="AA118" i="1"/>
  <c r="AC118" i="1" s="1"/>
  <c r="CU89" i="1"/>
  <c r="CU88" i="1"/>
  <c r="BE91" i="1"/>
  <c r="CC67" i="1"/>
  <c r="CC56" i="1" s="1"/>
  <c r="BS67" i="1"/>
  <c r="BS56" i="1" s="1"/>
  <c r="AU79" i="1"/>
  <c r="AW79" i="1" s="1"/>
  <c r="AU78" i="1"/>
  <c r="AW78" i="1" s="1"/>
  <c r="BE90" i="1"/>
  <c r="BG90" i="1" s="1"/>
  <c r="BE100" i="1"/>
  <c r="BG100" i="1" s="1"/>
  <c r="BE101" i="1"/>
  <c r="BG101" i="1" s="1"/>
  <c r="AE70" i="1"/>
  <c r="AO100" i="1"/>
  <c r="AE87" i="1"/>
  <c r="AK85" i="1"/>
  <c r="AM85" i="1" s="1"/>
  <c r="AM83" i="1"/>
  <c r="AK84" i="1"/>
  <c r="AM84" i="1" s="1"/>
  <c r="U110" i="1"/>
  <c r="U88" i="1"/>
  <c r="K62" i="1"/>
  <c r="CM80" i="1" l="1"/>
  <c r="BO101" i="1"/>
  <c r="BG91" i="1"/>
  <c r="AY83" i="1" s="1"/>
  <c r="AO71" i="1"/>
  <c r="CT109" i="1"/>
  <c r="CU109" i="1" s="1"/>
  <c r="AY93" i="1"/>
  <c r="AE76" i="1"/>
  <c r="AE56" i="1" s="1"/>
  <c r="BQ105" i="1" l="1"/>
  <c r="BO104" i="1"/>
  <c r="BQ101" i="1"/>
  <c r="BQ104" i="1"/>
  <c r="CS105" i="1"/>
  <c r="CU105" i="1" s="1"/>
  <c r="CR105" i="1"/>
  <c r="CS110" i="1" l="1"/>
  <c r="CS111" i="1"/>
  <c r="CR111" i="1"/>
  <c r="CR110" i="1"/>
  <c r="G75" i="1"/>
  <c r="G74" i="1"/>
  <c r="E75" i="1"/>
  <c r="F73" i="1"/>
  <c r="I73" i="1" s="1"/>
  <c r="F72" i="1"/>
  <c r="I72" i="1" s="1"/>
  <c r="I102" i="1"/>
  <c r="A106" i="1"/>
  <c r="F36" i="14" s="1"/>
  <c r="I36" i="14" s="1"/>
  <c r="L43" i="14" s="1"/>
  <c r="I105" i="1"/>
  <c r="H105" i="1"/>
  <c r="I104" i="1"/>
  <c r="H104" i="1"/>
  <c r="G103" i="1"/>
  <c r="I101" i="1"/>
  <c r="I61" i="1"/>
  <c r="BM46" i="14"/>
  <c r="BL53" i="14"/>
  <c r="A21" i="14"/>
  <c r="BN51" i="14" s="1"/>
  <c r="C19" i="14"/>
  <c r="B19" i="14"/>
  <c r="A19" i="14"/>
  <c r="C18" i="14"/>
  <c r="B18" i="14"/>
  <c r="A18" i="14"/>
  <c r="C17" i="14"/>
  <c r="B17" i="14"/>
  <c r="A17" i="14"/>
  <c r="A16" i="14"/>
  <c r="A15" i="14"/>
  <c r="A14" i="14"/>
  <c r="BM55" i="14"/>
  <c r="BN55" i="14" s="1"/>
  <c r="BO52" i="14"/>
  <c r="BO51" i="14"/>
  <c r="BO48" i="14"/>
  <c r="BO47" i="14"/>
  <c r="BM45" i="14"/>
  <c r="BE39" i="14"/>
  <c r="BB39" i="14"/>
  <c r="L39" i="14"/>
  <c r="BE38" i="14"/>
  <c r="AK11" i="14"/>
  <c r="AI11" i="14"/>
  <c r="AH11" i="14"/>
  <c r="C41" i="13"/>
  <c r="B41" i="13"/>
  <c r="A41" i="13"/>
  <c r="C40" i="13"/>
  <c r="B40" i="13"/>
  <c r="A40" i="13"/>
  <c r="C39" i="13"/>
  <c r="B39" i="13"/>
  <c r="A39" i="13"/>
  <c r="A38" i="13"/>
  <c r="A37" i="13"/>
  <c r="A36" i="13"/>
  <c r="A21" i="13"/>
  <c r="A17" i="13"/>
  <c r="A13" i="13"/>
  <c r="A9" i="13"/>
  <c r="A5" i="13"/>
  <c r="C36" i="11"/>
  <c r="B36" i="11"/>
  <c r="C35" i="11"/>
  <c r="B35" i="11"/>
  <c r="K4" i="1"/>
  <c r="C16" i="1"/>
  <c r="C13" i="1"/>
  <c r="G76" i="1" l="1"/>
  <c r="I74" i="1"/>
  <c r="A26" i="13"/>
  <c r="BI120" i="1" s="1"/>
  <c r="C15" i="1" s="1"/>
  <c r="CS113" i="1"/>
  <c r="CS112" i="1"/>
  <c r="CR112" i="1"/>
  <c r="CR113" i="1"/>
  <c r="CT111" i="1"/>
  <c r="CU111" i="1" s="1"/>
  <c r="CT110" i="1"/>
  <c r="CU110" i="1" s="1"/>
  <c r="U34" i="14"/>
  <c r="BD39" i="14"/>
  <c r="L44" i="14"/>
  <c r="I116" i="1"/>
  <c r="I112" i="1"/>
  <c r="I115" i="1"/>
  <c r="I111" i="1"/>
  <c r="I114" i="1"/>
  <c r="I110" i="1"/>
  <c r="I117" i="1"/>
  <c r="I113" i="1"/>
  <c r="I109" i="1"/>
  <c r="G77" i="1"/>
  <c r="I77" i="1" s="1"/>
  <c r="I75" i="1"/>
  <c r="A100" i="1"/>
  <c r="AE41" i="14"/>
  <c r="U35" i="14"/>
  <c r="BD41" i="14"/>
  <c r="AH9" i="14"/>
  <c r="AE39" i="14"/>
  <c r="BD40" i="14"/>
  <c r="K42" i="14"/>
  <c r="BN53" i="14"/>
  <c r="AI9" i="14"/>
  <c r="BN54" i="14"/>
  <c r="I41" i="14"/>
  <c r="BC40" i="14"/>
  <c r="BC41" i="14" s="1"/>
  <c r="BE41" i="14" s="1"/>
  <c r="L41" i="14"/>
  <c r="BO54" i="14"/>
  <c r="BO55" i="14"/>
  <c r="L42" i="14"/>
  <c r="BO53" i="14"/>
  <c r="BL55" i="14"/>
  <c r="L40" i="14"/>
  <c r="BC43" i="14"/>
  <c r="BE43" i="14" s="1"/>
  <c r="BL54" i="14"/>
  <c r="U36" i="14"/>
  <c r="K41" i="14"/>
  <c r="BB41" i="14"/>
  <c r="I42" i="14"/>
  <c r="BO49" i="14"/>
  <c r="I76" i="1" l="1"/>
  <c r="CT112" i="1"/>
  <c r="CU112" i="1" s="1"/>
  <c r="CT113" i="1"/>
  <c r="CU113" i="1" s="1"/>
  <c r="A108" i="1"/>
  <c r="BG44" i="14"/>
  <c r="BG30" i="14" s="1"/>
  <c r="BC42" i="14"/>
  <c r="AW45" i="14" s="1"/>
  <c r="AF40" i="14"/>
  <c r="V35" i="14"/>
  <c r="AF42" i="14"/>
  <c r="AF41" i="14"/>
  <c r="AU39" i="14"/>
  <c r="AM38" i="14" s="1"/>
  <c r="AM30" i="14" s="1"/>
  <c r="AF39" i="14"/>
  <c r="V34" i="14"/>
  <c r="AF38" i="14"/>
  <c r="V36" i="14"/>
  <c r="AW46" i="14"/>
  <c r="AW47" i="14"/>
  <c r="BB45" i="14"/>
  <c r="CM91" i="1" l="1"/>
  <c r="CM56" i="1" s="1"/>
  <c r="D38" i="14"/>
  <c r="D30" i="14" s="1"/>
  <c r="N33" i="14"/>
  <c r="N30" i="14" s="1"/>
  <c r="AW44" i="14"/>
  <c r="BE42" i="14"/>
  <c r="AW37" i="14" s="1"/>
  <c r="AW30" i="14" s="1"/>
  <c r="X37" i="14"/>
  <c r="X30" i="14" s="1"/>
  <c r="A23" i="14" l="1"/>
  <c r="BI118" i="1" s="1"/>
  <c r="C14" i="1" s="1"/>
  <c r="I64" i="1" l="1"/>
  <c r="I60" i="1"/>
  <c r="A59" i="1" s="1"/>
  <c r="I71" i="1"/>
  <c r="A69" i="1" s="1"/>
  <c r="AW82" i="1"/>
  <c r="AO81" i="1" s="1"/>
  <c r="AC103" i="1"/>
  <c r="AC102" i="1"/>
  <c r="AW116" i="1"/>
  <c r="AW111" i="1"/>
  <c r="BG77" i="1"/>
  <c r="BQ78" i="1"/>
  <c r="BQ89" i="1"/>
  <c r="BI88" i="1" s="1"/>
  <c r="AZ52" i="11"/>
  <c r="AZ51" i="11"/>
  <c r="AZ50" i="11"/>
  <c r="AZ49" i="11"/>
  <c r="AP52" i="11"/>
  <c r="AP51" i="11"/>
  <c r="AP50" i="11"/>
  <c r="AP49" i="11"/>
  <c r="AF52" i="11"/>
  <c r="AF51" i="11"/>
  <c r="AF50" i="11"/>
  <c r="AF49" i="11"/>
  <c r="L52" i="11"/>
  <c r="L51" i="11"/>
  <c r="L50" i="11"/>
  <c r="L49" i="11"/>
  <c r="V52" i="11"/>
  <c r="AZ40" i="11"/>
  <c r="AZ39" i="11"/>
  <c r="AP40" i="11"/>
  <c r="AP39" i="11"/>
  <c r="AF40" i="11"/>
  <c r="AF39" i="11"/>
  <c r="L40" i="11"/>
  <c r="L39" i="11"/>
  <c r="V51" i="11"/>
  <c r="V50" i="11"/>
  <c r="V49" i="11"/>
  <c r="V40" i="11"/>
  <c r="V39" i="11"/>
  <c r="A20" i="11"/>
  <c r="C37" i="11"/>
  <c r="B37" i="11"/>
  <c r="A37" i="11"/>
  <c r="A36" i="11"/>
  <c r="A35" i="11"/>
  <c r="A34" i="11"/>
  <c r="A33" i="11"/>
  <c r="A32" i="11"/>
  <c r="AX52" i="11" l="1"/>
  <c r="AN52" i="11"/>
  <c r="AD52" i="11"/>
  <c r="T52" i="11"/>
  <c r="J52" i="11"/>
  <c r="AS51" i="11"/>
  <c r="AI51" i="11"/>
  <c r="Y51" i="11"/>
  <c r="O51" i="11"/>
  <c r="K51" i="11"/>
  <c r="E51" i="11"/>
  <c r="AY50" i="11"/>
  <c r="AS50" i="11"/>
  <c r="AI50" i="11"/>
  <c r="Y50" i="11"/>
  <c r="O50" i="11"/>
  <c r="E50" i="11"/>
  <c r="U49" i="11"/>
  <c r="AY41" i="11"/>
  <c r="AX41" i="11"/>
  <c r="AZ41" i="11" s="1"/>
  <c r="AS41" i="11"/>
  <c r="AR41" i="11"/>
  <c r="AO41" i="11"/>
  <c r="AN41" i="11"/>
  <c r="AP41" i="11" s="1"/>
  <c r="AI41" i="11"/>
  <c r="AH41" i="11"/>
  <c r="AE41" i="11"/>
  <c r="AD41" i="11"/>
  <c r="AF41" i="11" s="1"/>
  <c r="X38" i="11" s="1"/>
  <c r="Y41" i="11"/>
  <c r="X41" i="11"/>
  <c r="U41" i="11"/>
  <c r="T41" i="11"/>
  <c r="V41" i="11" s="1"/>
  <c r="O41" i="11"/>
  <c r="N41" i="11"/>
  <c r="K41" i="11"/>
  <c r="J41" i="11"/>
  <c r="L41" i="11" s="1"/>
  <c r="E41" i="11"/>
  <c r="D41" i="11"/>
  <c r="AS40" i="11"/>
  <c r="AR40" i="11"/>
  <c r="AI40" i="11"/>
  <c r="AH40" i="11"/>
  <c r="Y40" i="11"/>
  <c r="X40" i="11"/>
  <c r="O40" i="11"/>
  <c r="N40" i="11"/>
  <c r="E40" i="11"/>
  <c r="D40" i="11"/>
  <c r="AS39" i="11"/>
  <c r="AR39" i="11"/>
  <c r="AI39" i="11"/>
  <c r="AH39" i="11"/>
  <c r="Y39" i="11"/>
  <c r="X39" i="11"/>
  <c r="O39" i="11"/>
  <c r="N39" i="11"/>
  <c r="E39" i="11"/>
  <c r="D39" i="11"/>
  <c r="AZ34" i="11"/>
  <c r="AR33" i="11" s="1"/>
  <c r="AP34" i="11"/>
  <c r="AH33" i="11" s="1"/>
  <c r="AF34" i="11"/>
  <c r="X33" i="11" s="1"/>
  <c r="V34" i="11"/>
  <c r="N33" i="11" s="1"/>
  <c r="U51" i="11"/>
  <c r="A5" i="11"/>
  <c r="L34" i="11" s="1"/>
  <c r="D33" i="11" s="1"/>
  <c r="N38" i="11" l="1"/>
  <c r="AR48" i="11"/>
  <c r="N48" i="11"/>
  <c r="X48" i="11"/>
  <c r="D38" i="11"/>
  <c r="AH38" i="11"/>
  <c r="D48" i="11"/>
  <c r="AR38" i="11"/>
  <c r="U50" i="11"/>
  <c r="AY51" i="11"/>
  <c r="AO49" i="11"/>
  <c r="K50" i="11"/>
  <c r="AO51" i="11"/>
  <c r="AH48" i="11"/>
  <c r="K39" i="11"/>
  <c r="U39" i="11"/>
  <c r="AE39" i="11"/>
  <c r="AO39" i="11"/>
  <c r="AY39" i="11"/>
  <c r="K40" i="11"/>
  <c r="U40" i="11"/>
  <c r="AE40" i="11"/>
  <c r="AO40" i="11"/>
  <c r="AY40" i="11"/>
  <c r="K49" i="11"/>
  <c r="AE49" i="11"/>
  <c r="AY49" i="11"/>
  <c r="AO50" i="11"/>
  <c r="AE51" i="11"/>
  <c r="AE50" i="11"/>
  <c r="K8" i="1"/>
  <c r="K6" i="1"/>
  <c r="K5" i="1"/>
  <c r="K2" i="1"/>
  <c r="K1" i="1"/>
  <c r="N30" i="11" l="1"/>
  <c r="AR30" i="11"/>
  <c r="D30" i="11"/>
  <c r="AH30" i="11"/>
  <c r="X30" i="11"/>
  <c r="A9" i="1"/>
  <c r="K9" i="1"/>
  <c r="A22" i="11" l="1"/>
  <c r="BI124" i="1" s="1"/>
  <c r="C17" i="1" s="1"/>
  <c r="S79" i="1" l="1"/>
  <c r="K78" i="1" s="1"/>
  <c r="AW125" i="1" l="1"/>
  <c r="I67" i="1"/>
  <c r="BQ75" i="1"/>
  <c r="BI74" i="1" s="1"/>
  <c r="BQ79" i="1"/>
  <c r="BI77" i="1" s="1"/>
  <c r="U104" i="1" l="1"/>
  <c r="AZ81" i="1"/>
  <c r="U103" i="1" l="1"/>
  <c r="V99" i="1"/>
  <c r="V108" i="1"/>
  <c r="CW13" i="1" l="1"/>
  <c r="AW95" i="1" l="1"/>
  <c r="AO94" i="1" s="1"/>
  <c r="BJ79" i="1" l="1"/>
  <c r="AW124" i="1" l="1"/>
  <c r="AW120" i="1"/>
  <c r="AO119" i="1" s="1"/>
  <c r="AW117" i="1"/>
  <c r="AO115" i="1" s="1"/>
  <c r="AW112" i="1"/>
  <c r="AO110" i="1" s="1"/>
  <c r="AC108" i="1"/>
  <c r="U107" i="1" s="1"/>
  <c r="AC104" i="1"/>
  <c r="U101" i="1" s="1"/>
  <c r="AC99" i="1"/>
  <c r="U98" i="1" s="1"/>
  <c r="BG81" i="1"/>
  <c r="AY80" i="1" s="1"/>
  <c r="S82" i="1"/>
  <c r="K81" i="1" s="1"/>
  <c r="BG78" i="1"/>
  <c r="AY76" i="1" s="1"/>
  <c r="BQ82" i="1"/>
  <c r="BI81" i="1" s="1"/>
  <c r="S76" i="1"/>
  <c r="K75" i="1" s="1"/>
  <c r="K72" i="1"/>
  <c r="I66" i="1"/>
  <c r="A63" i="1" s="1"/>
  <c r="V105" i="1" l="1"/>
  <c r="AC120" i="1" s="1"/>
  <c r="AU126" i="1"/>
  <c r="AW126" i="1" l="1"/>
  <c r="AO123" i="1" s="1"/>
  <c r="BP82" i="1"/>
  <c r="BP79" i="1"/>
  <c r="BP75" i="1"/>
  <c r="BF81" i="1"/>
  <c r="AY56" i="1" s="1"/>
  <c r="AP113" i="1"/>
  <c r="AZ75" i="1" s="1"/>
  <c r="AV124" i="1"/>
  <c r="AV125" i="1"/>
  <c r="AP99" i="1"/>
  <c r="AV120" i="1"/>
  <c r="AP117" i="1"/>
  <c r="BI56" i="1" l="1"/>
  <c r="AO56" i="1"/>
  <c r="L83" i="1"/>
  <c r="R76" i="1"/>
  <c r="R73" i="1"/>
  <c r="AB104" i="1"/>
  <c r="AB99" i="1"/>
  <c r="B66" i="1"/>
  <c r="AB108" i="1"/>
  <c r="E73" i="1"/>
  <c r="H72" i="1"/>
  <c r="H73" i="1"/>
  <c r="B65" i="1"/>
  <c r="B67" i="1"/>
  <c r="H67" i="1"/>
  <c r="H66" i="1"/>
  <c r="H61" i="1"/>
  <c r="AB120" i="1" l="1"/>
  <c r="V123" i="1" s="1"/>
  <c r="K56" i="1"/>
  <c r="A56" i="1"/>
  <c r="U122" i="1" l="1"/>
  <c r="AC123" i="1"/>
  <c r="AC125" i="1"/>
  <c r="V122" i="1"/>
  <c r="AC127" i="1"/>
  <c r="AC129" i="1"/>
  <c r="AC122" i="1"/>
  <c r="AC124" i="1"/>
  <c r="V120" i="1"/>
  <c r="AC126" i="1"/>
  <c r="AC128" i="1"/>
  <c r="Z123" i="1"/>
  <c r="Z129" i="1" s="1"/>
  <c r="U121" i="1" l="1"/>
  <c r="Z128" i="1"/>
  <c r="U56" i="1" l="1"/>
  <c r="C12" i="1" s="1"/>
  <c r="A18" i="1" l="1"/>
  <c r="J10" i="1" s="1"/>
  <c r="BI126" i="1" s="1"/>
  <c r="BI114" i="1"/>
</calcChain>
</file>

<file path=xl/sharedStrings.xml><?xml version="1.0" encoding="utf-8"?>
<sst xmlns="http://schemas.openxmlformats.org/spreadsheetml/2006/main" count="2076" uniqueCount="826">
  <si>
    <t>University Name</t>
  </si>
  <si>
    <t>Email Address</t>
  </si>
  <si>
    <t>Faculty Advisor</t>
  </si>
  <si>
    <t>Round</t>
  </si>
  <si>
    <t xml:space="preserve">SES forms must be completed and submitted by all teams no later than the date specified in the Action Deadlines on the specific event website.  </t>
  </si>
  <si>
    <t>Team Name</t>
  </si>
  <si>
    <t>Email Address(es)</t>
  </si>
  <si>
    <t>IN.8.1</t>
  </si>
  <si>
    <t>IN.1.4</t>
  </si>
  <si>
    <t>Ready to submit for review?</t>
  </si>
  <si>
    <t>Document is ready for review. Double check triangulation.</t>
  </si>
  <si>
    <t>DR.3.1.3</t>
  </si>
  <si>
    <t>DR.3.2.1</t>
  </si>
  <si>
    <t>DR.3.1.2b</t>
  </si>
  <si>
    <t>Team Contact(s)</t>
  </si>
  <si>
    <t>Some entries require additional tubes or documentation.</t>
  </si>
  <si>
    <t xml:space="preserve">Once these are added, document is ready for review. </t>
  </si>
  <si>
    <t>Locate all violations and bring the design into compliance before submitting.</t>
  </si>
  <si>
    <t>The status of some cells depends on entries in other cells.</t>
  </si>
  <si>
    <t>Units</t>
  </si>
  <si>
    <t>Anti-Intrusion Plate (AI) material:</t>
  </si>
  <si>
    <t>Anti-Intrusion and Front Bulkhead</t>
  </si>
  <si>
    <t>AI Attachment:</t>
  </si>
  <si>
    <t>Wall thickness:</t>
  </si>
  <si>
    <t>Impact Attenuator (IA) used:</t>
  </si>
  <si>
    <t>Front Bulkhead Supports (FBHS)</t>
  </si>
  <si>
    <t>and Front Hoop Braces (FHB)</t>
  </si>
  <si>
    <t>'X' or 'V' FHB configurations are discouraged.</t>
  </si>
  <si>
    <t>Front Hoop (FH)</t>
  </si>
  <si>
    <t>degrees</t>
  </si>
  <si>
    <t>Only cells with borders can be edited. Enter all values as positive numerals.</t>
  </si>
  <si>
    <t>FH to Steering Wheel gap &lt;=250mm (9.8in)</t>
  </si>
  <si>
    <t>Turned Steering Wheel minimum below FH top:</t>
  </si>
  <si>
    <t>There are three basic configurations for the FBHS:</t>
  </si>
  <si>
    <t>FBHS configuration:</t>
  </si>
  <si>
    <t>A.</t>
  </si>
  <si>
    <t>B.</t>
  </si>
  <si>
    <t>C.</t>
  </si>
  <si>
    <t>FH rearward lean above Upper SIS &lt;= 10, or braced:</t>
  </si>
  <si>
    <t>Side Impact Structure (SIS)</t>
  </si>
  <si>
    <t>Straight</t>
  </si>
  <si>
    <t>and Shoulder Harness Bar (SH)</t>
  </si>
  <si>
    <t>Main Hoop (MH)</t>
  </si>
  <si>
    <r>
      <rPr>
        <b/>
        <sz val="11"/>
        <rFont val="Calibri"/>
        <family val="2"/>
        <scheme val="minor"/>
      </rPr>
      <t>T.2.5.3</t>
    </r>
    <r>
      <rPr>
        <sz val="11"/>
        <rFont val="Calibri"/>
        <family val="2"/>
        <scheme val="minor"/>
      </rPr>
      <t xml:space="preserve"> Any and all steel grades are assigned the same properties for SES analysis.</t>
    </r>
  </si>
  <si>
    <t>Main Hoop side angle above Upper SIS &lt;=10:</t>
  </si>
  <si>
    <t>Rearward</t>
  </si>
  <si>
    <t>Main Hoop direction in side view above Upper SIS:</t>
  </si>
  <si>
    <t>Main Hoop direction in side view below Upper SIS:</t>
  </si>
  <si>
    <t>Distance between Main Hoop ends &gt;=380mm (15")</t>
  </si>
  <si>
    <t>Minimum tube centerline radius:</t>
  </si>
  <si>
    <t>Outer Diameter (OD):</t>
  </si>
  <si>
    <t>Minimum radius::diameter ratio &gt;=3:</t>
  </si>
  <si>
    <t>Main Hoop Braces (MHB)</t>
  </si>
  <si>
    <t>and Main Hoop Brace Supports (MHBS)</t>
  </si>
  <si>
    <t>'X' or 'V' MHB configurations are strongly discouraged.</t>
  </si>
  <si>
    <t>Main Hoop brace direction:</t>
  </si>
  <si>
    <t>Angle between MH and MHB &gt;=30 degrees:</t>
  </si>
  <si>
    <t>Maximum Front Hoop side angle &lt;=20 degrees:</t>
  </si>
  <si>
    <t>and Rear Wing Mounting</t>
  </si>
  <si>
    <t>Helmet &gt;=50mm (2in) below Roll Hoop plane:</t>
  </si>
  <si>
    <t>Main Hoop Braces protecting Helmet:</t>
  </si>
  <si>
    <t>Head Restraint &gt;=0 from ground in any rollover:</t>
  </si>
  <si>
    <t>Helmet Clearance, Head Restraint,</t>
  </si>
  <si>
    <t>Rear Wing chassis mounting locations:</t>
  </si>
  <si>
    <t>Select drop down:</t>
  </si>
  <si>
    <t>Incomplete submissions will incur a penalty.</t>
  </si>
  <si>
    <t>Designate the Main Hoop Braces.</t>
  </si>
  <si>
    <t>Designate the Front Hoop Braces.</t>
  </si>
  <si>
    <t>Highlight/trace/color code required tubes.</t>
  </si>
  <si>
    <t>Use different colors for square and round.</t>
  </si>
  <si>
    <t>Include a legend that shows each color and size.</t>
  </si>
  <si>
    <t>Fuel tank or HV systems must be shown in orange.</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</si>
  <si>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</si>
  <si>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</si>
  <si>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</si>
  <si>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</si>
  <si>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</si>
  <si>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</si>
  <si>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Multiple or detail images may be used anywhere in the SES.</t>
  </si>
  <si>
    <t>Front 3/4 3D CAD with color coded tube sizes required.</t>
  </si>
  <si>
    <t>Rear 3/4 3D CAD with color coded tube sizes required.</t>
  </si>
  <si>
    <t>Bolted Chassis Connection with dimensions.</t>
  </si>
  <si>
    <t>Bolted Connection</t>
  </si>
  <si>
    <t>Dimensions shown above from the edges of the holes to the end of each tube/tab &gt;=1.5 x diameter.</t>
  </si>
  <si>
    <t>Bolted Connection:</t>
  </si>
  <si>
    <t>Minimum edge::diameter ratio &gt;=1.5:</t>
  </si>
  <si>
    <t>Hole diameter / fastener size:</t>
  </si>
  <si>
    <t>This will not change until all required entries are filled out. Check all tabs.</t>
  </si>
  <si>
    <t>BROWN: NO. GROUNDS FOR REJECTION. CHECK ALL TABS.</t>
  </si>
  <si>
    <t>EQ</t>
  </si>
  <si>
    <t>BLUE: NO. BLANK ENTRY. INCOMPLETE. CHECK ALL TABS.</t>
  </si>
  <si>
    <t>SKY: YES. RULES EQUIVALENCE.</t>
  </si>
  <si>
    <t>YELLOW: YES. CHECK ADDITIONAL EQUIVALENCIES.</t>
  </si>
  <si>
    <t>Grounds for rejection could be considered incomplete and incur a penalty.</t>
  </si>
  <si>
    <t>FBHS: Some examples and explanations for configurations A, B, and C.</t>
  </si>
  <si>
    <t>The plane of the bend is defined by the straight axes on either side of the bend.</t>
  </si>
  <si>
    <t>The plane and 30 degree requirement must be considered in 3 dimensions.</t>
  </si>
  <si>
    <t>There is no limit to the number or size of triangles used between an Upper and Lower.</t>
  </si>
  <si>
    <t>There is no limit to the number bends.</t>
  </si>
  <si>
    <t>The bottom of the MHB is the only exception to this requirement.</t>
  </si>
  <si>
    <t>X-geometry may be used instead of diagonals.</t>
  </si>
  <si>
    <t>MHBS</t>
  </si>
  <si>
    <t>FBHS</t>
  </si>
  <si>
    <t>SIS</t>
  </si>
  <si>
    <t>SIS Examples</t>
  </si>
  <si>
    <t>MHBS examples and explanations.</t>
  </si>
  <si>
    <t>Using Shoulder Harness Bar/Braces</t>
  </si>
  <si>
    <t>T.4.5.3b</t>
  </si>
  <si>
    <t>Brace angle to plane of SH side view &gt;= 30:</t>
  </si>
  <si>
    <t>Car Numbers</t>
  </si>
  <si>
    <t>Competitions</t>
  </si>
  <si>
    <t>Bolted Members Used?</t>
  </si>
  <si>
    <t>Front Bulkhead CAD with dimensions required.</t>
  </si>
  <si>
    <r>
      <t xml:space="preserve">For </t>
    </r>
    <r>
      <rPr>
        <b/>
        <sz val="11"/>
        <color theme="1"/>
        <rFont val="Calibri"/>
        <family val="2"/>
        <scheme val="minor"/>
      </rPr>
      <t xml:space="preserve">EQ: </t>
    </r>
    <r>
      <rPr>
        <sz val="11"/>
        <color theme="1"/>
        <rFont val="Calibri"/>
        <family val="2"/>
        <scheme val="minor"/>
      </rPr>
      <t xml:space="preserve">All entries filled out correctly.  - or -
</t>
    </r>
    <r>
      <rPr>
        <b/>
        <sz val="11"/>
        <color theme="1"/>
        <rFont val="Calibri"/>
        <family val="2"/>
        <scheme val="minor"/>
      </rPr>
      <t>No connection used:</t>
    </r>
    <r>
      <rPr>
        <sz val="11"/>
        <color theme="1"/>
        <rFont val="Calibri"/>
        <family val="2"/>
        <scheme val="minor"/>
      </rPr>
      <t xml:space="preserve">
1. Bolted Connection set to "Select drop down."
2. Clear lug thickness box.
Symmetric left / right attachments only need to be entered for one side.
If more than 5 non-symmetric bolted connections are used, make a copy of this tab.</t>
    </r>
  </si>
  <si>
    <t>The Upper and Lower must maintain spacing and not share a load path.</t>
  </si>
  <si>
    <r>
      <rPr>
        <b/>
        <sz val="11"/>
        <rFont val="Calibri"/>
        <family val="2"/>
        <scheme val="minor"/>
      </rPr>
      <t xml:space="preserve">Note: </t>
    </r>
    <r>
      <rPr>
        <sz val="11"/>
        <rFont val="Calibri"/>
        <family val="2"/>
        <scheme val="minor"/>
      </rPr>
      <t>A straight tube between the MHB tubes as part of the Head Restraint does not form part of the rollover envelope. A Head Restraint protruding behind the MHB tubes risks becoming part of the rollover envelope, and is strongly discouraged.</t>
    </r>
  </si>
  <si>
    <t>ACRONYMS</t>
  </si>
  <si>
    <t>AI</t>
  </si>
  <si>
    <t>Anti Intrusion Plate</t>
  </si>
  <si>
    <t>EV</t>
  </si>
  <si>
    <t>Electric Vehicle</t>
  </si>
  <si>
    <t>Rules Equivalence Achieved</t>
  </si>
  <si>
    <t>FB</t>
  </si>
  <si>
    <t>Front Bulkhead</t>
  </si>
  <si>
    <t>Front Bulkhead Support</t>
  </si>
  <si>
    <t>FH</t>
  </si>
  <si>
    <t>Front Roll Hoop</t>
  </si>
  <si>
    <t>FHB</t>
  </si>
  <si>
    <t>Front Hoop Brace</t>
  </si>
  <si>
    <t>HV</t>
  </si>
  <si>
    <t>High Voltage</t>
  </si>
  <si>
    <t>IA</t>
  </si>
  <si>
    <t>MH</t>
  </si>
  <si>
    <t>Main Roll Hoop</t>
  </si>
  <si>
    <t>MHB</t>
  </si>
  <si>
    <t>Main Hoop Brace</t>
  </si>
  <si>
    <t>Main Hoop Brace Support</t>
  </si>
  <si>
    <t>N/A</t>
  </si>
  <si>
    <t>Not Applicable (Not required.)</t>
  </si>
  <si>
    <t>SH</t>
  </si>
  <si>
    <t>Shoulder Harness Structure</t>
  </si>
  <si>
    <t>SES</t>
  </si>
  <si>
    <t>Structural Equivalency Spreadsheet</t>
  </si>
  <si>
    <t>Side Impact Structure</t>
  </si>
  <si>
    <t>Submission of late, blank, incomplete, or previous car's SES will incur a competition point penalty.</t>
  </si>
  <si>
    <r>
      <rPr>
        <b/>
        <sz val="11"/>
        <color theme="9"/>
        <rFont val="Calibri"/>
        <family val="2"/>
        <scheme val="minor"/>
      </rPr>
      <t>THE YELLOW LINE</t>
    </r>
    <r>
      <rPr>
        <sz val="11"/>
        <rFont val="Calibri"/>
        <family val="2"/>
        <scheme val="minor"/>
      </rPr>
      <t xml:space="preserve"> is the lower tube</t>
    </r>
  </si>
  <si>
    <r>
      <rPr>
        <b/>
        <sz val="11"/>
        <color theme="4"/>
        <rFont val="Calibri"/>
        <family val="2"/>
        <scheme val="minor"/>
      </rPr>
      <t>THE SKY BLUE LINE</t>
    </r>
    <r>
      <rPr>
        <sz val="11"/>
        <rFont val="Calibri"/>
        <family val="2"/>
        <scheme val="minor"/>
      </rPr>
      <t xml:space="preserve"> is the upper tube</t>
    </r>
  </si>
  <si>
    <r>
      <rPr>
        <b/>
        <sz val="11"/>
        <rFont val="Calibri"/>
        <family val="2"/>
        <scheme val="minor"/>
      </rPr>
      <t>BLACK LINES</t>
    </r>
    <r>
      <rPr>
        <sz val="11"/>
        <rFont val="Calibri"/>
        <family val="2"/>
        <scheme val="minor"/>
      </rPr>
      <t xml:space="preserve"> are additional related tubes</t>
    </r>
  </si>
  <si>
    <t>represent potential design changes to an orange area to allow it to pass.</t>
  </si>
  <si>
    <t xml:space="preserve"> White dotted lines</t>
  </si>
  <si>
    <t>In the examples to the right:</t>
  </si>
  <si>
    <t xml:space="preserve">Using this 7-color palette will accommodate color blind students or reviewers:
</t>
  </si>
  <si>
    <t>SIS with Rear FHB (or Forward MHB)</t>
  </si>
  <si>
    <t>Tubes may be added for leg and foot protection.</t>
  </si>
  <si>
    <t>Steel can be used for any part of the frame in the Monocoque/Hybrid/Non-Ferrous SES.</t>
  </si>
  <si>
    <t>Please respond quickly to requests for revisions or clarifications. Submissions or comments on FSAEonline.com will send a notification to your reviewer.</t>
  </si>
  <si>
    <t xml:space="preserve">Approval of an SES does not guarantee passing Tech Inspection. The final decision about all designs will be made at Tech Inspection. </t>
  </si>
  <si>
    <t>Read the additional guidance on the right side of the sheet.</t>
  </si>
  <si>
    <r>
      <t xml:space="preserve">Replace example images with your own clear, undistorted CAD, showing all required dimensions in a moderate filesize. </t>
    </r>
    <r>
      <rPr>
        <b/>
        <sz val="11"/>
        <rFont val="Calibri"/>
        <family val="2"/>
        <scheme val="minor"/>
      </rPr>
      <t>Each SES file 25Mb max.</t>
    </r>
  </si>
  <si>
    <t>SELECT YOUR UNITS. The entire SES will be completed in either mm or Inch. Inch tubing can be entered in mm, and vice versa.</t>
  </si>
  <si>
    <t>Steel</t>
  </si>
  <si>
    <t>Keep a copy of the rules open to reference rule numbers directly while filling out the SES.</t>
  </si>
  <si>
    <t>Impact Attenuator</t>
  </si>
  <si>
    <t>Select Drop Down</t>
  </si>
  <si>
    <t>Above</t>
  </si>
  <si>
    <t>If additional images are necessary, they may be placed below each section.</t>
  </si>
  <si>
    <t>The rollover plane is defined by the direction of the main hoop braces, shown above.</t>
  </si>
  <si>
    <t>The row numbers are for reference only.</t>
  </si>
  <si>
    <t>The other column letters are for reference only.</t>
  </si>
  <si>
    <t>Steel: 1.5mm (0.060in), Aluminum: 4.0mm (.157in):</t>
  </si>
  <si>
    <t>Michigan</t>
  </si>
  <si>
    <t>North</t>
  </si>
  <si>
    <t>California</t>
  </si>
  <si>
    <t>Drop down options can be identified by the heavy border. Delete will clear the entry.</t>
  </si>
  <si>
    <t>Powertrain</t>
  </si>
  <si>
    <t>BLANK</t>
  </si>
  <si>
    <t xml:space="preserve">Fill in all </t>
  </si>
  <si>
    <r>
      <t xml:space="preserve">sections on </t>
    </r>
    <r>
      <rPr>
        <b/>
        <sz val="11"/>
        <color theme="1"/>
        <rFont val="Calibri"/>
        <family val="2"/>
        <scheme val="minor"/>
      </rPr>
      <t xml:space="preserve">ALL TABS. </t>
    </r>
    <r>
      <rPr>
        <sz val="11"/>
        <color theme="1"/>
        <rFont val="Calibri"/>
        <family val="2"/>
        <scheme val="minor"/>
      </rPr>
      <t>Start with any drop downs in the top left corner of each tab.</t>
    </r>
  </si>
  <si>
    <t>Aluminum equivalance may be used in the Steel Tube SES for Anti-Intrusion, EV Rear Impact, or Accumulator Containers and Mounting.</t>
  </si>
  <si>
    <t>There are two versions of the 2020 SES: Steel Tube and Monocoque/Hybrid/Non-Ferrous.</t>
  </si>
  <si>
    <t>The IAD Impact Attenuator Document is now a tab at the end of each SES.</t>
  </si>
  <si>
    <t>Chassis Rules</t>
  </si>
  <si>
    <t>Steel Tube</t>
  </si>
  <si>
    <t>FSAE Structural Equivalency Spreadsheet (SES), includes Impact Attenuator Document (IAD)</t>
  </si>
  <si>
    <t>Do not submit an updated document after the deadline without having the previous document rejected.</t>
  </si>
  <si>
    <t>Submit a comment requesting a rejection on your team's SES page on fsaeonline.com.</t>
  </si>
  <si>
    <t>Each entry, each category, each tab, and the entire sheet are coded as one of the following:</t>
  </si>
  <si>
    <t>CHECK</t>
  </si>
  <si>
    <t>REJECT</t>
  </si>
  <si>
    <t>F.2.2.1</t>
  </si>
  <si>
    <t>Overall</t>
  </si>
  <si>
    <t>F.10-11 EV Accumulator</t>
  </si>
  <si>
    <t>F.8.4 Impact Attenuator</t>
  </si>
  <si>
    <t>F.3.3, F.4, F.8.4 Materials</t>
  </si>
  <si>
    <t>F.3.2.2 Welded Inserts</t>
  </si>
  <si>
    <t>F.5.10 Bolted Members</t>
  </si>
  <si>
    <t>F.5.10</t>
  </si>
  <si>
    <t>F.5.10.4 - Double lug joints caps at both ends.</t>
  </si>
  <si>
    <t>F.5.10.5 - Double lug joints require a pin or fastener &gt;= 10mm Grade 9.8 (3/8in Grade 8).</t>
  </si>
  <si>
    <t>F.5.10.6 - Sleeved butt joints require a pin or fastener &gt;= 6mm Grade 9.8 (1/4in Grade 8).</t>
  </si>
  <si>
    <t>F.5.4.3 - Any bolted non-suspension member must have an edge::distance ratio &gt;=1.5.</t>
  </si>
  <si>
    <t>F.5.4.3</t>
  </si>
  <si>
    <t>mm</t>
  </si>
  <si>
    <t>F.3.2.3 Welded Inserts</t>
  </si>
  <si>
    <t>MATERIAL DESCRIPTION</t>
  </si>
  <si>
    <t>Non-ferrous tubes used?</t>
  </si>
  <si>
    <t>Metallic skin material used?</t>
  </si>
  <si>
    <t>RECEIPTS</t>
  </si>
  <si>
    <t>LETTERS OF DONATION</t>
  </si>
  <si>
    <t>Composite skin used?</t>
  </si>
  <si>
    <t>SHIPPING INVOICES</t>
  </si>
  <si>
    <t>Core used?</t>
  </si>
  <si>
    <t>IMPACT ATTENUATOR</t>
  </si>
  <si>
    <t>LAMINATE, EPOXY, CORE, &amp; TUBE MATERIAL PROPERTIES SHEETS</t>
  </si>
  <si>
    <r>
      <t xml:space="preserve">Make as many copies of the </t>
    </r>
    <r>
      <rPr>
        <b/>
        <sz val="11"/>
        <color theme="1"/>
        <rFont val="Calibri"/>
        <family val="2"/>
        <scheme val="minor"/>
      </rPr>
      <t>MATERIAL DESCRIPTION</t>
    </r>
    <r>
      <rPr>
        <sz val="11"/>
        <color theme="1"/>
        <rFont val="Calibri"/>
        <family val="2"/>
        <scheme val="minor"/>
      </rPr>
      <t xml:space="preserve"> cells as necessary for each document.
Use the same material description:
</t>
    </r>
    <r>
      <rPr>
        <b/>
        <sz val="11"/>
        <color theme="1"/>
        <rFont val="Calibri"/>
        <family val="2"/>
        <scheme val="minor"/>
      </rPr>
      <t xml:space="preserve">F.4.3 3-Point &amp; Shear Tests
F.3.3 Alternative Tubing
F.7 Composite Chassis
F.8.4 Impact Attenuator
</t>
    </r>
    <r>
      <rPr>
        <sz val="11"/>
        <color theme="1"/>
        <rFont val="Calibri"/>
        <family val="2"/>
        <scheme val="minor"/>
      </rPr>
      <t>Attach documents as clear, moderate filesize images.
Include manufacturer Material Properties for non-ferrous tubes.</t>
    </r>
  </si>
  <si>
    <t>Impact Atten. Adhesive used?</t>
  </si>
  <si>
    <t>RECEIPT FOR IMPACT ATTEN.</t>
  </si>
  <si>
    <t>REQUIRED:</t>
  </si>
  <si>
    <r>
      <t xml:space="preserve">Paste in logged data from test below:
</t>
    </r>
    <r>
      <rPr>
        <sz val="11"/>
        <rFont val="Calibri"/>
        <family val="2"/>
        <scheme val="minor"/>
      </rPr>
      <t>It is acceptable to resample the data at a lower frequency to reduce the number of datapoints. Repeat the weighted average force and energy calculations in columns three and four. Do not assume all steps are identical.</t>
    </r>
  </si>
  <si>
    <t>Disp.</t>
  </si>
  <si>
    <t>Force</t>
  </si>
  <si>
    <t>Weighted</t>
  </si>
  <si>
    <t>Energy</t>
  </si>
  <si>
    <t>Average</t>
  </si>
  <si>
    <t>J</t>
  </si>
  <si>
    <t>MAX</t>
  </si>
  <si>
    <t>N</t>
  </si>
  <si>
    <t>Insert Pictures of IA Test and Anti-Intrusion Plate before the test (F.8.7.4.d) which also shows the method of spacing it at least 50mm from any rigid structure (F.8.7.5c)</t>
  </si>
  <si>
    <t>Insert Pictures of IA, Anti-Intrusion Plate after the test (F.8.7.4.d) which shows the deflection was less than 25.4mm (F.8.7.5.d)</t>
  </si>
  <si>
    <t>Force Displacement Curve</t>
  </si>
  <si>
    <t>Energy Displacement Curve</t>
  </si>
  <si>
    <t>Front Wing CAD and Dimensions</t>
  </si>
  <si>
    <t>Shear Dimensions</t>
  </si>
  <si>
    <t>Additional images or calculations may be placed below each section.</t>
  </si>
  <si>
    <t>Crushed Attenuator</t>
  </si>
  <si>
    <t>Attenuator Test</t>
  </si>
  <si>
    <t>Energy Calculation</t>
  </si>
  <si>
    <t>Front Wing Calculation</t>
  </si>
  <si>
    <t>Adhesive Shear Calculation</t>
  </si>
  <si>
    <r>
      <rPr>
        <b/>
        <sz val="11"/>
        <rFont val="Calibri"/>
        <family val="2"/>
        <scheme val="minor"/>
      </rPr>
      <t>F.8.7.3</t>
    </r>
    <r>
      <rPr>
        <sz val="11"/>
        <rFont val="Calibri"/>
        <family val="2"/>
        <scheme val="minor"/>
      </rPr>
      <t xml:space="preserve"> Provide all material documents on the F.3.3, F.4, F.8.4 Materials tab.</t>
    </r>
  </si>
  <si>
    <r>
      <rPr>
        <b/>
        <sz val="11"/>
        <rFont val="Calibri"/>
        <family val="2"/>
        <scheme val="minor"/>
      </rPr>
      <t>F.8.7.2b</t>
    </r>
    <r>
      <rPr>
        <sz val="11"/>
        <rFont val="Calibri"/>
        <family val="2"/>
        <scheme val="minor"/>
      </rPr>
      <t xml:space="preserve"> All calculated values must be based on a mass of 300kg and an initial velocity of 7m/s.</t>
    </r>
  </si>
  <si>
    <r>
      <t xml:space="preserve">F.8.6.2 </t>
    </r>
    <r>
      <rPr>
        <sz val="11"/>
        <rFont val="Calibri"/>
        <family val="2"/>
        <scheme val="minor"/>
      </rPr>
      <t>All non-crushable objects ahead of the plane of the crushed IA must be accounted for.</t>
    </r>
  </si>
  <si>
    <r>
      <t>F.8.5.2b</t>
    </r>
    <r>
      <rPr>
        <sz val="11"/>
        <rFont val="Calibri"/>
        <family val="2"/>
        <scheme val="minor"/>
      </rPr>
      <t xml:space="preserve"> - Standard and other foam attenuators may not be attached by bolting alone.</t>
    </r>
  </si>
  <si>
    <t>Maximum crushed displacement:</t>
  </si>
  <si>
    <r>
      <rPr>
        <b/>
        <sz val="11"/>
        <rFont val="Calibri"/>
        <family val="2"/>
        <scheme val="minor"/>
      </rPr>
      <t>F.8.7.7a</t>
    </r>
    <r>
      <rPr>
        <sz val="11"/>
        <rFont val="Calibri"/>
        <family val="2"/>
        <scheme val="minor"/>
      </rPr>
      <t xml:space="preserve"> Average deceleration from a dynamic test must be calculated from raw, unfiltered data.</t>
    </r>
  </si>
  <si>
    <t>Make sure to use stepwise integration: current_force*(current_disp-prev_disp)+previous_total</t>
  </si>
  <si>
    <t>Thin, light, cosmetic nose bodywork is considered crushable and ignored.</t>
  </si>
  <si>
    <t>Adehsives must be suitable for both materials being bonded.</t>
  </si>
  <si>
    <t>Front Bulkhead Diagonal</t>
  </si>
  <si>
    <t>Impact Attenuator Requirements</t>
  </si>
  <si>
    <t>Post crush displacement, demonstrating any springback:</t>
  </si>
  <si>
    <r>
      <t>F.8.7.7b</t>
    </r>
    <r>
      <rPr>
        <sz val="11"/>
        <rFont val="Calibri"/>
        <family val="2"/>
        <scheme val="minor"/>
      </rPr>
      <t xml:space="preserve"> Peaks above 40g must not be seen after the application of specific filtering. See rule.</t>
    </r>
  </si>
  <si>
    <t>Do not assume steps are identical.</t>
  </si>
  <si>
    <t>Calculations may be entered in the large comments block at the top of this tab.</t>
  </si>
  <si>
    <t>F.8.7.5d</t>
  </si>
  <si>
    <t>AI plate deformation:</t>
  </si>
  <si>
    <r>
      <rPr>
        <b/>
        <sz val="11"/>
        <rFont val="Calibri"/>
        <family val="2"/>
        <scheme val="minor"/>
      </rPr>
      <t>INCORRECT:</t>
    </r>
    <r>
      <rPr>
        <sz val="11"/>
        <rFont val="Calibri"/>
        <family val="2"/>
        <scheme val="minor"/>
      </rPr>
      <t xml:space="preserve"> FInal_force*final_displacement</t>
    </r>
  </si>
  <si>
    <t>Honeycomb attenuators must be glued on a pre-crushed side.</t>
  </si>
  <si>
    <t>No wall wetting may be factored into the bond area. Use a calculation of pre-crushed area.</t>
  </si>
  <si>
    <t>Test  type:</t>
  </si>
  <si>
    <t>Example: Barrier Impact, Drop Test, Quasi-static Crush</t>
  </si>
  <si>
    <t>Front Wing Status:</t>
  </si>
  <si>
    <t>Multiple layers of honeycomb require pre-crushed bond on both sides of a plate between each layer.</t>
  </si>
  <si>
    <t>Impact Attenuator Material:</t>
  </si>
  <si>
    <t>F.8.7.2a</t>
  </si>
  <si>
    <t>Peak attenuator force:</t>
  </si>
  <si>
    <t>F.8.7.2b</t>
  </si>
  <si>
    <t>Energy absorbed &gt;= 7350J:</t>
  </si>
  <si>
    <t>Description of form/shape:</t>
  </si>
  <si>
    <t>Peak attenuator only deceleration &lt;= 40g:</t>
  </si>
  <si>
    <t>g</t>
  </si>
  <si>
    <t>Peak Attenuator Force:</t>
  </si>
  <si>
    <t>Quick release attenuators must be rigidly lockable.</t>
  </si>
  <si>
    <t>F.8.4.2b</t>
  </si>
  <si>
    <t>Average attenuator force:</t>
  </si>
  <si>
    <t xml:space="preserve">In any direction, while the lock is engaged: </t>
  </si>
  <si>
    <t>Average attenuator only deceleration &lt;= 20g:</t>
  </si>
  <si>
    <t>Peak deceleration remains &lt;=  40g:</t>
  </si>
  <si>
    <t>A quick release attenuator must not be removable with less force than standard bolt shear.</t>
  </si>
  <si>
    <t>Type of test used?:</t>
  </si>
  <si>
    <t>Energy absorption check:</t>
  </si>
  <si>
    <t>Name of Test Facility:</t>
  </si>
  <si>
    <t>Attenuator material:</t>
  </si>
  <si>
    <t>AI plate material:</t>
  </si>
  <si>
    <t>The tested IA must be attached to a structurally representative section of the chassis.</t>
  </si>
  <si>
    <t>F.8.5.2</t>
  </si>
  <si>
    <t>IA to AI plate mounting method:</t>
  </si>
  <si>
    <t>Tube frame teams need to build a replica of their front bulkhead and space it 25mm+ off the test surface.</t>
  </si>
  <si>
    <t>F.8.5.2b</t>
  </si>
  <si>
    <t>Is adhesive used in the IA to AI plate mounting?:</t>
  </si>
  <si>
    <t>Monocoque teams need to test a replica of the first 50mm+ of the full chassis.</t>
  </si>
  <si>
    <t>What is the brand name of the adhesive?:</t>
  </si>
  <si>
    <t>Dynamic tests may not be performed by students.</t>
  </si>
  <si>
    <t>F.8.5.2bc</t>
  </si>
  <si>
    <t>Baseline number of fasteners:</t>
  </si>
  <si>
    <t>Shear capability of 1x 8mm Metric 8.8 (5/16in Grade 5):</t>
  </si>
  <si>
    <t>Number of above fasteners used:</t>
  </si>
  <si>
    <t>Impact Attenuator Height:</t>
  </si>
  <si>
    <t>Impact Attenuator Width:</t>
  </si>
  <si>
    <t>Front Bulkhead Height:</t>
  </si>
  <si>
    <t>Front Bulkhead Width:</t>
  </si>
  <si>
    <t>Tube</t>
  </si>
  <si>
    <t>F.8.2.1</t>
  </si>
  <si>
    <t>F.8.2.3</t>
  </si>
  <si>
    <t>Minimum</t>
  </si>
  <si>
    <t>Tube Used</t>
  </si>
  <si>
    <t>F.6.1</t>
  </si>
  <si>
    <t>mm^2</t>
  </si>
  <si>
    <t>mm^4</t>
  </si>
  <si>
    <t>Front Bulkhead (FB)</t>
  </si>
  <si>
    <t>Tube cross sectional area (A):</t>
  </si>
  <si>
    <t>Tube second moment of inertia (I):</t>
  </si>
  <si>
    <t>F.8.4.3</t>
  </si>
  <si>
    <t>F.5.6</t>
  </si>
  <si>
    <t>F.5.6.4</t>
  </si>
  <si>
    <t>F.5.6.5</t>
  </si>
  <si>
    <t>F.5.6.6</t>
  </si>
  <si>
    <t>F.6.3.5</t>
  </si>
  <si>
    <t>F.6.2</t>
  </si>
  <si>
    <t>Front Bulkhead Support (FBHS)</t>
  </si>
  <si>
    <t>F.6.2.3a</t>
  </si>
  <si>
    <t>F.6.2.3ab</t>
  </si>
  <si>
    <t>F.6.3.4</t>
  </si>
  <si>
    <t>F.6.3</t>
  </si>
  <si>
    <t>Forward Front Hoop Braces (FHB)</t>
  </si>
  <si>
    <r>
      <rPr>
        <b/>
        <sz val="11"/>
        <rFont val="Calibri"/>
        <family val="2"/>
        <scheme val="minor"/>
      </rPr>
      <t>F.6.2.3a</t>
    </r>
    <r>
      <rPr>
        <sz val="11"/>
        <rFont val="Calibri"/>
        <family val="2"/>
        <scheme val="minor"/>
      </rPr>
      <t xml:space="preserve"> - Designate the Upper FBHS along its entire length.</t>
    </r>
  </si>
  <si>
    <r>
      <rPr>
        <b/>
        <sz val="11"/>
        <rFont val="Calibri"/>
        <family val="2"/>
        <scheme val="minor"/>
      </rPr>
      <t>F.6.2.3c</t>
    </r>
    <r>
      <rPr>
        <sz val="11"/>
        <rFont val="Calibri"/>
        <family val="2"/>
        <scheme val="minor"/>
      </rPr>
      <t xml:space="preserve"> - Designate the Lower FBHS along its entire length.</t>
    </r>
  </si>
  <si>
    <r>
      <rPr>
        <b/>
        <sz val="11"/>
        <rFont val="Calibri"/>
        <family val="2"/>
        <scheme val="minor"/>
      </rPr>
      <t>F.6.3.6</t>
    </r>
    <r>
      <rPr>
        <sz val="11"/>
        <rFont val="Calibri"/>
        <family val="2"/>
        <scheme val="minor"/>
      </rPr>
      <t xml:space="preserve"> - A tube FHB must be straight, without any bends. (One segment.)</t>
    </r>
  </si>
  <si>
    <r>
      <rPr>
        <b/>
        <sz val="11"/>
        <rFont val="Calibri"/>
        <family val="2"/>
        <scheme val="minor"/>
      </rPr>
      <t>F.6.3.3</t>
    </r>
    <r>
      <rPr>
        <sz val="11"/>
        <rFont val="Calibri"/>
        <family val="2"/>
        <scheme val="minor"/>
      </rPr>
      <t xml:space="preserve"> - The FHB should extend all the way to the Front Bulkhead.</t>
    </r>
  </si>
  <si>
    <r>
      <rPr>
        <b/>
        <sz val="11"/>
        <rFont val="Calibri"/>
        <family val="2"/>
        <scheme val="minor"/>
      </rPr>
      <t>F.5.5.2</t>
    </r>
    <r>
      <rPr>
        <sz val="11"/>
        <rFont val="Calibri"/>
        <family val="2"/>
        <scheme val="minor"/>
      </rPr>
      <t xml:space="preserve"> - Front FHB that do not reach the FB must end the node of a completely triangulated structure.</t>
    </r>
  </si>
  <si>
    <r>
      <rPr>
        <b/>
        <sz val="11"/>
        <rFont val="Calibri"/>
        <family val="2"/>
        <scheme val="minor"/>
      </rPr>
      <t>F.5.5.2</t>
    </r>
    <r>
      <rPr>
        <sz val="11"/>
        <rFont val="Calibri"/>
        <family val="2"/>
        <scheme val="minor"/>
      </rPr>
      <t xml:space="preserve">  - Rear FHB must end at the node of a completely triangulated structure.</t>
    </r>
  </si>
  <si>
    <r>
      <rPr>
        <b/>
        <sz val="11"/>
        <rFont val="Calibri"/>
        <family val="2"/>
        <scheme val="minor"/>
      </rPr>
      <t>F.6.2.3b</t>
    </r>
    <r>
      <rPr>
        <sz val="11"/>
        <rFont val="Calibri"/>
        <family val="2"/>
        <scheme val="minor"/>
      </rPr>
      <t xml:space="preserve"> - Rear FBHS braces minimum Size C.</t>
    </r>
  </si>
  <si>
    <r>
      <rPr>
        <b/>
        <sz val="11"/>
        <rFont val="Calibri"/>
        <family val="2"/>
        <scheme val="minor"/>
      </rPr>
      <t xml:space="preserve">F.6.3.5 </t>
    </r>
    <r>
      <rPr>
        <sz val="11"/>
        <rFont val="Calibri"/>
        <family val="2"/>
        <scheme val="minor"/>
      </rPr>
      <t>-  Rear FH braces minimum Size B.</t>
    </r>
  </si>
  <si>
    <t>Size B</t>
  </si>
  <si>
    <t>Size C</t>
  </si>
  <si>
    <t>Size A</t>
  </si>
  <si>
    <r>
      <rPr>
        <b/>
        <sz val="11"/>
        <rFont val="Calibri"/>
        <family val="2"/>
        <scheme val="minor"/>
      </rPr>
      <t xml:space="preserve">F.6.2.3d </t>
    </r>
    <r>
      <rPr>
        <sz val="11"/>
        <rFont val="Calibri"/>
        <family val="2"/>
        <scheme val="minor"/>
      </rPr>
      <t>- The area between the Upper and Lower FBHS must be completely triangulated</t>
    </r>
  </si>
  <si>
    <r>
      <rPr>
        <b/>
        <sz val="11"/>
        <rFont val="Calibri"/>
        <family val="2"/>
        <scheme val="minor"/>
      </rPr>
      <t>F.6.4.4</t>
    </r>
    <r>
      <rPr>
        <sz val="11"/>
        <rFont val="Calibri"/>
        <family val="2"/>
        <scheme val="minor"/>
      </rPr>
      <t xml:space="preserve">  - Designate the Upper SIS along its entire length.</t>
    </r>
  </si>
  <si>
    <r>
      <rPr>
        <b/>
        <sz val="11"/>
        <rFont val="Calibri"/>
        <family val="2"/>
        <scheme val="minor"/>
      </rPr>
      <t>F.6.4.5</t>
    </r>
    <r>
      <rPr>
        <sz val="11"/>
        <rFont val="Calibri"/>
        <family val="2"/>
        <scheme val="minor"/>
      </rPr>
      <t xml:space="preserve"> - Lower SIS on each side from the bottom of the FH to the bottom of the MH.</t>
    </r>
  </si>
  <si>
    <t>Designate the Lower SIS along its entire length.</t>
  </si>
  <si>
    <r>
      <rPr>
        <b/>
        <sz val="11"/>
        <rFont val="Calibri"/>
        <family val="2"/>
        <scheme val="minor"/>
      </rPr>
      <t xml:space="preserve">F.6.4.6 </t>
    </r>
    <r>
      <rPr>
        <sz val="11"/>
        <rFont val="Calibri"/>
        <family val="2"/>
        <scheme val="minor"/>
      </rPr>
      <t>- The area between the upper and lower SIS must be completely triangulated</t>
    </r>
  </si>
  <si>
    <r>
      <rPr>
        <b/>
        <sz val="11"/>
        <rFont val="Calibri"/>
        <family val="2"/>
        <scheme val="minor"/>
      </rPr>
      <t xml:space="preserve">F.8.4.3 </t>
    </r>
    <r>
      <rPr>
        <sz val="11"/>
        <rFont val="Calibri"/>
        <family val="2"/>
        <scheme val="minor"/>
      </rPr>
      <t>- If the Front Bulkhead &gt; 406mm x 355mm (16in x 14in), the Standard Impact Attenuator 355mm x 304mm (14in x 12in) does not reach the edges of the tubes. For EQ Equivalence, a diagonal or X-brace is needed. The diagonal ends should point to a node where FBHS tubes support the FB. Do not mount diagonal tubes between unsupported mid-span points of the FB.</t>
    </r>
  </si>
  <si>
    <r>
      <rPr>
        <b/>
        <sz val="11"/>
        <rFont val="Calibri"/>
        <family val="2"/>
        <scheme val="minor"/>
      </rPr>
      <t xml:space="preserve">F.8.4.3 </t>
    </r>
    <r>
      <rPr>
        <sz val="11"/>
        <rFont val="Calibri"/>
        <family val="2"/>
        <scheme val="minor"/>
      </rPr>
      <t>-  A Standard Impact Attenuator may be oriented horizontally or vertically. For Bulkheads &lt; 406mm x 355mm (16in x 14in), a Standard Attenuator must be oriented to keep the outside profile of the Bulkhead no more than 25mm (1in) from the edge. Otherwise, testing or a diagonal will be required.</t>
    </r>
  </si>
  <si>
    <r>
      <rPr>
        <b/>
        <sz val="11"/>
        <rFont val="Calibri"/>
        <family val="2"/>
        <scheme val="minor"/>
      </rPr>
      <t>F.8.4.3b</t>
    </r>
    <r>
      <rPr>
        <sz val="11"/>
        <rFont val="Calibri"/>
        <family val="2"/>
        <scheme val="minor"/>
      </rPr>
      <t xml:space="preserve"> -  It may be shown with quasi-static or dynamic testing on the IAD tab that the AI plate deflects less than 25mm without a diagonal.</t>
    </r>
  </si>
  <si>
    <t>The 2020 Upper SIS location is intended to be less restrictive.</t>
  </si>
  <si>
    <t>For 2020 only, cars built in compliance with the 2019 Upper SIS location will also be accepted.</t>
  </si>
  <si>
    <t>Tube frame Upper SIS compliance:</t>
  </si>
  <si>
    <t>2020 SIS Height</t>
  </si>
  <si>
    <t>Highest and lowest are on the top and bottom of the Upper SIS tube.</t>
  </si>
  <si>
    <t>F.6.4</t>
  </si>
  <si>
    <t>Upper Side Impact Structure (SIS)</t>
  </si>
  <si>
    <t>Lower and Diagonal SIS</t>
  </si>
  <si>
    <t>F.6.5.1</t>
  </si>
  <si>
    <t>Shoulder Harness Braces</t>
  </si>
  <si>
    <t>F.6.5</t>
  </si>
  <si>
    <r>
      <rPr>
        <b/>
        <sz val="11"/>
        <rFont val="Calibri"/>
        <family val="2"/>
        <scheme val="minor"/>
      </rPr>
      <t>F.5.2.3</t>
    </r>
    <r>
      <rPr>
        <sz val="11"/>
        <rFont val="Calibri"/>
        <family val="2"/>
        <scheme val="minor"/>
      </rPr>
      <t xml:space="preserve"> - The plane of a bent tube is defined by the straight axes on either side of the bend.</t>
    </r>
  </si>
  <si>
    <r>
      <rPr>
        <b/>
        <sz val="11"/>
        <rFont val="Calibri"/>
        <family val="2"/>
        <scheme val="minor"/>
      </rPr>
      <t xml:space="preserve">F.5.7.1 </t>
    </r>
    <r>
      <rPr>
        <sz val="11"/>
        <rFont val="Calibri"/>
        <family val="2"/>
        <scheme val="minor"/>
      </rPr>
      <t>- The Main Hoop must be one piece of uncut, continuous steel tubing.</t>
    </r>
  </si>
  <si>
    <r>
      <rPr>
        <b/>
        <sz val="11"/>
        <rFont val="Calibri"/>
        <family val="2"/>
        <scheme val="minor"/>
      </rPr>
      <t xml:space="preserve">F.5.7.2 </t>
    </r>
    <r>
      <rPr>
        <sz val="11"/>
        <rFont val="Calibri"/>
        <family val="2"/>
        <scheme val="minor"/>
      </rPr>
      <t>- The Main Hoop must extend up from the lowest frame member on both sides.</t>
    </r>
  </si>
  <si>
    <r>
      <rPr>
        <b/>
        <sz val="11"/>
        <rFont val="Calibri"/>
        <family val="2"/>
        <scheme val="minor"/>
      </rPr>
      <t>F.5.7.3b</t>
    </r>
    <r>
      <rPr>
        <sz val="11"/>
        <rFont val="Calibri"/>
        <family val="2"/>
        <scheme val="minor"/>
      </rPr>
      <t xml:space="preserve"> - Main Hoop side view bends above Upper SIS must be braced to an MHBS or SIS node.</t>
    </r>
  </si>
  <si>
    <r>
      <rPr>
        <b/>
        <sz val="11"/>
        <rFont val="Calibri"/>
        <family val="2"/>
        <scheme val="minor"/>
      </rPr>
      <t>F.6.5.1a</t>
    </r>
    <r>
      <rPr>
        <sz val="11"/>
        <rFont val="Calibri"/>
        <family val="2"/>
        <scheme val="minor"/>
      </rPr>
      <t xml:space="preserve"> - Tube Shoulder Harness Bars must be one piece of uncut, continuous steel tubing.</t>
    </r>
  </si>
  <si>
    <r>
      <rPr>
        <b/>
        <sz val="11"/>
        <rFont val="Calibri"/>
        <family val="2"/>
        <scheme val="minor"/>
      </rPr>
      <t>F.6.5.1b</t>
    </r>
    <r>
      <rPr>
        <sz val="11"/>
        <rFont val="Calibri"/>
        <family val="2"/>
        <scheme val="minor"/>
      </rPr>
      <t xml:space="preserve"> - Tube Shoulder Harness Bars must connect to the Main Hoop at both ends.</t>
    </r>
  </si>
  <si>
    <r>
      <rPr>
        <b/>
        <sz val="11"/>
        <rFont val="Calibri"/>
        <family val="2"/>
        <scheme val="minor"/>
      </rPr>
      <t>F.6.5.2b</t>
    </r>
    <r>
      <rPr>
        <sz val="11"/>
        <rFont val="Calibri"/>
        <family val="2"/>
        <scheme val="minor"/>
      </rPr>
      <t xml:space="preserve"> - Shoulder Harness Braces must support the middle of SH bends.</t>
    </r>
  </si>
  <si>
    <r>
      <rPr>
        <b/>
        <sz val="11"/>
        <rFont val="Calibri"/>
        <family val="2"/>
        <scheme val="minor"/>
      </rPr>
      <t>F.6.5.2b</t>
    </r>
    <r>
      <rPr>
        <sz val="11"/>
        <rFont val="Calibri"/>
        <family val="2"/>
        <scheme val="minor"/>
      </rPr>
      <t xml:space="preserve"> - Shoulder Harness Braces must connect back to the Main Hoop.</t>
    </r>
  </si>
  <si>
    <t>F.5.8.1</t>
  </si>
  <si>
    <t>Main Hoop Brace (MHB)</t>
  </si>
  <si>
    <t>Shoulder Harness Bar (SH)</t>
  </si>
  <si>
    <t>F.5.7.1</t>
  </si>
  <si>
    <t>Main Hoop Brace Support (MHBS)</t>
  </si>
  <si>
    <t>F.6.6</t>
  </si>
  <si>
    <r>
      <rPr>
        <b/>
        <sz val="11"/>
        <rFont val="Calibri"/>
        <family val="2"/>
        <scheme val="minor"/>
      </rPr>
      <t>F.5.8.6</t>
    </r>
    <r>
      <rPr>
        <sz val="11"/>
        <rFont val="Calibri"/>
        <family val="2"/>
        <scheme val="minor"/>
      </rPr>
      <t xml:space="preserve"> - The Main Hoop Braces must be one piece, steel, with no bends.</t>
    </r>
  </si>
  <si>
    <r>
      <rPr>
        <b/>
        <sz val="11"/>
        <rFont val="Calibri"/>
        <family val="2"/>
        <scheme val="minor"/>
      </rPr>
      <t>F.6.6.2</t>
    </r>
    <r>
      <rPr>
        <sz val="11"/>
        <rFont val="Calibri"/>
        <family val="2"/>
        <scheme val="minor"/>
      </rPr>
      <t xml:space="preserve"> - The MHB must be triangulated back to the Main Hoop at the Upper and Lower SIS.</t>
    </r>
  </si>
  <si>
    <r>
      <t xml:space="preserve">F.6.6.2a - </t>
    </r>
    <r>
      <rPr>
        <sz val="11"/>
        <rFont val="Calibri"/>
        <family val="2"/>
        <scheme val="minor"/>
      </rPr>
      <t>The Upper MHBS runs from MHB to the Upper SIS.</t>
    </r>
  </si>
  <si>
    <t>Designate the Upper MHBS along its entire length.</t>
  </si>
  <si>
    <r>
      <t xml:space="preserve">F.6.6.2b- </t>
    </r>
    <r>
      <rPr>
        <sz val="11"/>
        <rFont val="Calibri"/>
        <family val="2"/>
        <scheme val="minor"/>
      </rPr>
      <t>The Lower MHBS runs from MHB to the Lower SIS.</t>
    </r>
  </si>
  <si>
    <t>Designate the Lower MHBS along its entire length.</t>
  </si>
  <si>
    <r>
      <rPr>
        <b/>
        <sz val="11"/>
        <rFont val="Calibri"/>
        <family val="2"/>
        <scheme val="minor"/>
      </rPr>
      <t xml:space="preserve">F.6.6.2, F.5.5.2 </t>
    </r>
    <r>
      <rPr>
        <sz val="11"/>
        <rFont val="Calibri"/>
        <family val="2"/>
        <scheme val="minor"/>
      </rPr>
      <t>- The area between the Upper and Lower MHBS must be completely triangulated</t>
    </r>
  </si>
  <si>
    <r>
      <rPr>
        <b/>
        <sz val="11"/>
        <rFont val="Calibri"/>
        <family val="2"/>
        <scheme val="minor"/>
      </rPr>
      <t>F.6.6.2a</t>
    </r>
    <r>
      <rPr>
        <sz val="11"/>
        <rFont val="Calibri"/>
        <family val="2"/>
        <scheme val="minor"/>
      </rPr>
      <t xml:space="preserve"> - A Shoulder Harness Bar and/or SH Brace may be used as part of the MHBS.</t>
    </r>
  </si>
  <si>
    <r>
      <rPr>
        <b/>
        <sz val="11"/>
        <rFont val="Calibri"/>
        <family val="2"/>
        <scheme val="minor"/>
      </rPr>
      <t>F.5.7.3b</t>
    </r>
    <r>
      <rPr>
        <sz val="11"/>
        <rFont val="Calibri"/>
        <family val="2"/>
        <scheme val="minor"/>
      </rPr>
      <t xml:space="preserve"> - Main Hoop side view bends above Upper SIS must be braced to an MHBS node.</t>
    </r>
  </si>
  <si>
    <r>
      <rPr>
        <b/>
        <sz val="11"/>
        <rFont val="Calibri"/>
        <family val="2"/>
        <scheme val="minor"/>
      </rPr>
      <t>F.5.5.5</t>
    </r>
    <r>
      <rPr>
        <sz val="11"/>
        <rFont val="Calibri"/>
        <family val="2"/>
        <scheme val="minor"/>
      </rPr>
      <t xml:space="preserve"> - The dummy's foot must be resting on the brake pedal face.</t>
    </r>
  </si>
  <si>
    <t>T.2.8.4c  - Head restraints cannot form part of the rollover envelope at any angle.</t>
  </si>
  <si>
    <r>
      <rPr>
        <b/>
        <sz val="11"/>
        <rFont val="Calibri"/>
        <family val="2"/>
        <scheme val="minor"/>
      </rPr>
      <t>F.5.6.3</t>
    </r>
    <r>
      <rPr>
        <sz val="11"/>
        <rFont val="Calibri"/>
        <family val="2"/>
        <scheme val="minor"/>
      </rPr>
      <t xml:space="preserve"> - The FH runs from the lowest frame member on each side.</t>
    </r>
  </si>
  <si>
    <r>
      <rPr>
        <b/>
        <sz val="11"/>
        <rFont val="Calibri"/>
        <family val="2"/>
        <scheme val="minor"/>
      </rPr>
      <t>F.5.6.2</t>
    </r>
    <r>
      <rPr>
        <sz val="11"/>
        <rFont val="Calibri"/>
        <family val="2"/>
        <scheme val="minor"/>
      </rPr>
      <t xml:space="preserve"> - The FH may be multiple pieces. Side view bends must be braced per F.5.2.</t>
    </r>
  </si>
  <si>
    <t>F.5.8.2</t>
  </si>
  <si>
    <t>F.5.8.5</t>
  </si>
  <si>
    <t>F.5.8.4</t>
  </si>
  <si>
    <t>Upper FBHS from the top of the FB to the Upper SIS, with a tolerance.</t>
  </si>
  <si>
    <t>Lower FBHS from the bottom of the FB to the Lower SIS.</t>
  </si>
  <si>
    <t>Lower FBHS from the bottom of the FB to the Upper SIS, with a tolerance.</t>
  </si>
  <si>
    <t>Upper FBHS from the top of FB  to above the Upper SIS, braced rearward.</t>
  </si>
  <si>
    <t>A second Lower FBHS path from the bottom of the FB to the Lower SIS.</t>
  </si>
  <si>
    <t>F.5.7.3a</t>
  </si>
  <si>
    <t>F.5.7.3c</t>
  </si>
  <si>
    <t>F.5.7.4</t>
  </si>
  <si>
    <t>F.5.2.1</t>
  </si>
  <si>
    <r>
      <rPr>
        <b/>
        <sz val="11"/>
        <rFont val="Calibri"/>
        <family val="2"/>
        <scheme val="minor"/>
      </rPr>
      <t>F.5.2.1</t>
    </r>
    <r>
      <rPr>
        <sz val="11"/>
        <rFont val="Calibri"/>
        <family val="2"/>
        <scheme val="minor"/>
      </rPr>
      <t xml:space="preserve"> - Enter the tightest bend on any </t>
    </r>
    <r>
      <rPr>
        <b/>
        <sz val="11"/>
        <rFont val="Calibri"/>
        <family val="2"/>
        <scheme val="minor"/>
      </rPr>
      <t>T.5-6</t>
    </r>
    <r>
      <rPr>
        <sz val="11"/>
        <rFont val="Calibri"/>
        <family val="2"/>
        <scheme val="minor"/>
      </rPr>
      <t xml:space="preserve"> tube in the chassis (usually in the MH or SH.)</t>
    </r>
  </si>
  <si>
    <t>F.5.9</t>
  </si>
  <si>
    <t>F.5.5.3bc</t>
  </si>
  <si>
    <t>T.2.8.4c</t>
  </si>
  <si>
    <t>F.5.5.3a</t>
  </si>
  <si>
    <t>Diagonal Tube or Impact Attenuator Test</t>
  </si>
  <si>
    <t>V-braces meet at the center at one end, and cannot be used for Upper FBHS in Types B or C.</t>
  </si>
  <si>
    <t>A Head Restraint tube may run between the MHB tubes. A Head Restraint tube behind the</t>
  </si>
  <si>
    <t>The upper and lower segments of the FH (created by the offset with the Upper SIS) are</t>
  </si>
  <si>
    <t>MHB tubes requires rear triangulated structure to extend the rollover envelope rearward.</t>
  </si>
  <si>
    <t>F.3.1.1</t>
  </si>
  <si>
    <t>A bent Upper Side Impact tube requires a larger tube.</t>
  </si>
  <si>
    <t>A straight Upper SIS may be intersected by triangulated tubes without being considered bent.</t>
  </si>
  <si>
    <t>The MHB may act as braces for a bent Shoulder Harness Bar. See column 'F' to the right.</t>
  </si>
  <si>
    <t xml:space="preserve">X-braces form two segments in side view, and cannot be used for Upper FBHS </t>
  </si>
  <si>
    <t>in Types B or C without additional triangulation to the center node.</t>
  </si>
  <si>
    <t>treated as one segment.</t>
  </si>
  <si>
    <t>TRIANGULATION</t>
  </si>
  <si>
    <t>IC</t>
  </si>
  <si>
    <t>Internal Combustion</t>
  </si>
  <si>
    <r>
      <rPr>
        <b/>
        <sz val="11"/>
        <color theme="7"/>
        <rFont val="Calibri"/>
        <family val="2"/>
        <scheme val="minor"/>
      </rPr>
      <t>BROWN AREAS</t>
    </r>
    <r>
      <rPr>
        <sz val="11"/>
        <rFont val="Calibri"/>
        <family val="2"/>
        <scheme val="minor"/>
      </rPr>
      <t xml:space="preserve"> highlight design aspects that do not meet the rules</t>
    </r>
  </si>
  <si>
    <t>Triangulation, by definition, means composed of triangles.</t>
  </si>
  <si>
    <t>It is difficult to create a questionable or illegal structure that is fully triangulated.</t>
  </si>
  <si>
    <t>The SES examples show that quadrilateral openings are unacceptable.</t>
  </si>
  <si>
    <t>Represented as pinned two-force members, a quadrilateral forms a movable four bar mechanism.</t>
  </si>
  <si>
    <t>Triangulation fixes a structure in place and increases the load capacity.</t>
  </si>
  <si>
    <t>Exception One:</t>
  </si>
  <si>
    <t>1a. All bends on the lowest tube must still be braced to the corner of another triangle.</t>
  </si>
  <si>
    <t>Exception Two:</t>
  </si>
  <si>
    <t>Between the Upper and Lower tubes of the FBHS, SIS, and MHBS, and HV Side and Rear protection, all openings between regulated tubes must be triangles.</t>
  </si>
  <si>
    <t>2a. The brace for the bent tube must form part of a triangle on both sides.</t>
  </si>
  <si>
    <t>b. This is also what is meant by “properly triangulated”.</t>
  </si>
  <si>
    <t>F.1.2</t>
  </si>
  <si>
    <t>An arrangement of Frame Members where all members and segments of members</t>
  </si>
  <si>
    <t>between bends or nodes with other structural tubes form a structure composed entirely of triangles.</t>
  </si>
  <si>
    <t>a. This is generally required between an upper member and a lower member, both of which</t>
  </si>
  <si>
    <t>may have multiple segments requiring a diagonal to form multiple triangles.</t>
  </si>
  <si>
    <t>F.3.1.3</t>
  </si>
  <si>
    <t>Non structural tubing will be ignored.</t>
  </si>
  <si>
    <t>Tubes with Wall thinner than 1.2mm (0.047in) will be ignored.</t>
  </si>
  <si>
    <t>Tubes with smaller than 25mm (1in) Outer Diamter will be ignored.</t>
  </si>
  <si>
    <t>2. A diagonal that ends on the Upper and Lower tube may be replaced by a tube with a single bend,</t>
  </si>
  <si>
    <t>Bent Tubes</t>
  </si>
  <si>
    <t>The top of the impactor will not be raised above the maximum Upper SIS height permitted by rules.</t>
  </si>
  <si>
    <t>GR.1.4 - Good Engineering Practice</t>
  </si>
  <si>
    <t>No openings up to Upper SIS Height may allow a 254mm diameter impactor to pass through.</t>
  </si>
  <si>
    <t>GR.1.4 Chassis catch all:</t>
  </si>
  <si>
    <t>1. The space between the two lower paths of a Type-C FBHS is not required to be triangulated.</t>
  </si>
  <si>
    <t>leaving one quadrilateral opening.</t>
  </si>
  <si>
    <r>
      <t xml:space="preserve">All bends and multiple segment members must be braced according to </t>
    </r>
    <r>
      <rPr>
        <b/>
        <sz val="11"/>
        <rFont val="Calibri"/>
        <family val="2"/>
        <scheme val="minor"/>
      </rPr>
      <t>F.5.2.</t>
    </r>
  </si>
  <si>
    <r>
      <rPr>
        <b/>
        <sz val="11"/>
        <rFont val="Calibri"/>
        <family val="2"/>
        <scheme val="minor"/>
      </rPr>
      <t>F.5.2.1</t>
    </r>
    <r>
      <rPr>
        <sz val="11"/>
        <rFont val="Calibri"/>
        <family val="2"/>
        <scheme val="minor"/>
      </rPr>
      <t xml:space="preserve"> - The bend radius at the centerline axis must be &gt;= 3 x tube OD.</t>
    </r>
  </si>
  <si>
    <r>
      <rPr>
        <b/>
        <sz val="11"/>
        <rFont val="Calibri"/>
        <family val="2"/>
        <scheme val="minor"/>
      </rPr>
      <t>F.5.2.3a</t>
    </r>
    <r>
      <rPr>
        <sz val="11"/>
        <rFont val="Calibri"/>
        <family val="2"/>
        <scheme val="minor"/>
      </rPr>
      <t xml:space="preserve"> - The brace must be at the center of the bend or intersection.</t>
    </r>
  </si>
  <si>
    <r>
      <rPr>
        <b/>
        <sz val="11"/>
        <rFont val="Calibri"/>
        <family val="2"/>
        <scheme val="minor"/>
      </rPr>
      <t>F.5.2.3b</t>
    </r>
    <r>
      <rPr>
        <sz val="11"/>
        <rFont val="Calibri"/>
        <family val="2"/>
        <scheme val="minor"/>
      </rPr>
      <t xml:space="preserve"> - The brace must be at least as big as the largest tube being braced.</t>
    </r>
  </si>
  <si>
    <r>
      <rPr>
        <b/>
        <sz val="11"/>
        <rFont val="Calibri"/>
        <family val="2"/>
        <scheme val="minor"/>
      </rPr>
      <t>F.5.2.3b</t>
    </r>
    <r>
      <rPr>
        <sz val="11"/>
        <rFont val="Calibri"/>
        <family val="2"/>
        <scheme val="minor"/>
      </rPr>
      <t xml:space="preserve"> - The brace must be within 30 degrees of the plane of the bend.</t>
    </r>
  </si>
  <si>
    <t>Accumulator Side Protection with dimensions.</t>
  </si>
  <si>
    <t>Tractive Side Protection CAD with dimensions.</t>
  </si>
  <si>
    <t>Rear Impact CAD with dimensions required.</t>
  </si>
  <si>
    <t>Additional images may be placed below each section.</t>
  </si>
  <si>
    <t>EV Accumulator Side Protection</t>
  </si>
  <si>
    <t>EV Tractive Side Protection</t>
  </si>
  <si>
    <t>EV Rear Impact Protection</t>
  </si>
  <si>
    <t>1. An upper tube, generally not above Upper SIS height or below the top of the accumulator.</t>
  </si>
  <si>
    <t>1. An upper tube, generally not above Upper SIS height or below the top of a motor at axle level.</t>
  </si>
  <si>
    <t>2. A lower tube meeting F.11.1.1.</t>
  </si>
  <si>
    <t>2. A lower tube.</t>
  </si>
  <si>
    <t xml:space="preserve"> - the motor, differential, or spool, whichever the car has, fit between the acc. and rear impact.</t>
  </si>
  <si>
    <t>3. A diagonal tube or tubes completely triangulating the upper and lower tubes.</t>
  </si>
  <si>
    <t xml:space="preserve"> - none of these components need to actually be between the accumulator and rear impact.</t>
  </si>
  <si>
    <t xml:space="preserve"> - equivalent spacing is sufficient to use Size C equivalence.</t>
  </si>
  <si>
    <t>3a. V-triangulation may be asymmetric.</t>
  </si>
  <si>
    <t>Outisde rear differential mounts may be used for equivalence across tubes or composite openings.</t>
  </si>
  <si>
    <t>Differential mounts must protect against:</t>
  </si>
  <si>
    <t>5. The intrusion of a 10" diameter impactor</t>
  </si>
  <si>
    <t>6. The intrusion of components mounted behind the rear impact protection, such as a differential.</t>
  </si>
  <si>
    <t>Bolted joints must be documented if a removable panel or tube is used.</t>
  </si>
  <si>
    <t>Rear Impact Diagonal:</t>
  </si>
  <si>
    <r>
      <rPr>
        <b/>
        <sz val="11"/>
        <rFont val="Calibri"/>
        <family val="2"/>
        <scheme val="minor"/>
      </rPr>
      <t>F.11.2.1</t>
    </r>
    <r>
      <rPr>
        <sz val="11"/>
        <rFont val="Calibri"/>
        <family val="2"/>
        <scheme val="minor"/>
      </rPr>
      <t xml:space="preserve"> - From the side, below 350mm, the accumulator must be protected with:</t>
    </r>
  </si>
  <si>
    <r>
      <rPr>
        <b/>
        <sz val="11"/>
        <rFont val="Calibri"/>
        <family val="2"/>
        <scheme val="minor"/>
      </rPr>
      <t>F.11.2.3</t>
    </r>
    <r>
      <rPr>
        <sz val="11"/>
        <rFont val="Calibri"/>
        <family val="2"/>
        <scheme val="minor"/>
      </rPr>
      <t xml:space="preserve"> - From the side, below 350mm, the tractive HV components must be protected with:</t>
    </r>
  </si>
  <si>
    <r>
      <rPr>
        <b/>
        <sz val="11"/>
        <rFont val="Calibri"/>
        <family val="2"/>
        <scheme val="minor"/>
      </rPr>
      <t xml:space="preserve">F.11.2.1 </t>
    </r>
    <r>
      <rPr>
        <sz val="11"/>
        <rFont val="Calibri"/>
        <family val="2"/>
        <scheme val="minor"/>
      </rPr>
      <t>- Size B equivalence is required if the accumulator is adjacent to the rear impact protection.</t>
    </r>
  </si>
  <si>
    <r>
      <rPr>
        <b/>
        <sz val="11"/>
        <rFont val="Calibri"/>
        <family val="2"/>
        <scheme val="minor"/>
      </rPr>
      <t xml:space="preserve">F.11.2.3 </t>
    </r>
    <r>
      <rPr>
        <sz val="11"/>
        <rFont val="Calibri"/>
        <family val="2"/>
        <scheme val="minor"/>
      </rPr>
      <t>- Size C equivalence is allowed If:</t>
    </r>
  </si>
  <si>
    <r>
      <rPr>
        <b/>
        <sz val="11"/>
        <rFont val="Calibri"/>
        <family val="2"/>
        <scheme val="minor"/>
      </rPr>
      <t>F.11.2.3</t>
    </r>
    <r>
      <rPr>
        <sz val="11"/>
        <rFont val="Calibri"/>
        <family val="2"/>
        <scheme val="minor"/>
      </rPr>
      <t xml:space="preserve"> - From the rear, below 350mm, the HV components must be protected with:</t>
    </r>
  </si>
  <si>
    <t>Your motor or diff could fit between the acc.and rear impact?</t>
  </si>
  <si>
    <t>4. The Rear Protection must be fully triangulated to the rear of the Acc. or Tractive Side Protection.</t>
  </si>
  <si>
    <t>Select</t>
  </si>
  <si>
    <t>The SES will permanently REJECT for removing any tab. Fill out a fresh copy.</t>
  </si>
  <si>
    <t>Wing mounts and other items outside the rollover envelope buckle the MH or MHB.</t>
  </si>
  <si>
    <t>F.5.9.2a</t>
  </si>
  <si>
    <t>Place rear wing mounts at nodes, or away from the MH and MHB.</t>
  </si>
  <si>
    <t>Each wing mount on the MHB that is not at a node must:</t>
  </si>
  <si>
    <t>F.6.6.2</t>
  </si>
  <si>
    <t>F.5.8.6</t>
  </si>
  <si>
    <t>If the brace has a path to the SIS and is triangulated underneath, it could be the MHBS.</t>
  </si>
  <si>
    <t>The wing mount would be at an MHB node, and there is no failure requirement.</t>
  </si>
  <si>
    <t>Wing Mount Braces</t>
  </si>
  <si>
    <t>with tubes meeting F.3.4.1 SIS.</t>
  </si>
  <si>
    <t>F.3.4.1</t>
  </si>
  <si>
    <t>with tubes meeting F.3.4.1 FBHS.</t>
  </si>
  <si>
    <t>T.1.3.2 - The driver's feet must be completely enclosed by tubes meeting F.3.4.1.</t>
  </si>
  <si>
    <t>F.3.2.1</t>
  </si>
  <si>
    <t>F.3.1-4 Tube Chassis</t>
  </si>
  <si>
    <t>Any holes over 4mm drilled in F.3.2.1 required tubes?</t>
  </si>
  <si>
    <t>Does the steering rack interrupt any required tubes?</t>
  </si>
  <si>
    <t>Welded Tube Insert with dimensions.</t>
  </si>
  <si>
    <t>Welded Tube Insert</t>
  </si>
  <si>
    <t>Tube With Hole</t>
  </si>
  <si>
    <t>+</t>
  </si>
  <si>
    <t>Insert</t>
  </si>
  <si>
    <t>Material:</t>
  </si>
  <si>
    <t>Original tube:</t>
  </si>
  <si>
    <t>Tube cross sectional area (A_1):</t>
  </si>
  <si>
    <t>-</t>
  </si>
  <si>
    <t>Tube second moment of inertia (I_1):</t>
  </si>
  <si>
    <t>Tube with Hole cross sectional area (A_3):</t>
  </si>
  <si>
    <t>Tube with Hole second moment of inertia (I_3):</t>
  </si>
  <si>
    <t>Insert/Collar cross sectional area (A_2):</t>
  </si>
  <si>
    <t>Insert/Collar second moment of inertia (I_2):</t>
  </si>
  <si>
    <t>Young's Modulus (E):</t>
  </si>
  <si>
    <t>Yield Strength (Sy):</t>
  </si>
  <si>
    <t>Ultimate Strength (Su):</t>
  </si>
  <si>
    <t>Buckling Modulus</t>
  </si>
  <si>
    <t xml:space="preserve"> E_1*I_1 &lt;= E_2*I_2  +  E_1*I_3:</t>
  </si>
  <si>
    <t>Yield</t>
  </si>
  <si>
    <t>Sy_1*A_1 &lt;= Sy_2*A_2 + Sy_1*A_3:</t>
  </si>
  <si>
    <t>Ultimate</t>
  </si>
  <si>
    <t>Su_1*A_1 &lt;= Su_2*A_2 + Su_1*A_3:</t>
  </si>
  <si>
    <t>Bending</t>
  </si>
  <si>
    <t>4*Su_1*I_1/r &lt;= 4*(Su_2*I_2+Su_1*I_3)/r:</t>
  </si>
  <si>
    <t>4*Su_1*I_1/r &lt;= 4*Su_1*(I_2+I_3)/r:</t>
  </si>
  <si>
    <t>Deflection</t>
  </si>
  <si>
    <t>Bending_1/(48*EI):</t>
  </si>
  <si>
    <t>0.5*Bending^2/(48*EI):</t>
  </si>
  <si>
    <t>0.5*Bending^2/(48*EI)</t>
  </si>
  <si>
    <r>
      <t xml:space="preserve">For </t>
    </r>
    <r>
      <rPr>
        <b/>
        <sz val="11"/>
        <color theme="1"/>
        <rFont val="Calibri"/>
        <family val="2"/>
        <scheme val="minor"/>
      </rPr>
      <t xml:space="preserve">EQ:
</t>
    </r>
    <r>
      <rPr>
        <sz val="11"/>
        <color theme="1"/>
        <rFont val="Calibri"/>
        <family val="2"/>
        <scheme val="minor"/>
      </rPr>
      <t xml:space="preserve">All entries filled out correctly.
-or-
</t>
    </r>
    <r>
      <rPr>
        <b/>
        <sz val="11"/>
        <color theme="1"/>
        <rFont val="Calibri"/>
        <family val="2"/>
        <scheme val="minor"/>
      </rPr>
      <t xml:space="preserve">No holes over 4mm:
</t>
    </r>
    <r>
      <rPr>
        <sz val="11"/>
        <color theme="1"/>
        <rFont val="Calibri"/>
        <family val="2"/>
        <scheme val="minor"/>
      </rPr>
      <t xml:space="preserve">Set material to Steel.
Select Tube and Shape.
Clear all entry boxes.
Identical tube / insert combinations need to be identified everywhere used on the chassis, but only need to be calculated once.
If more than 5 tube / insert combinations are used, make a copy of this tab.
</t>
    </r>
  </si>
  <si>
    <t>F.6.2.3a-b.</t>
  </si>
  <si>
    <t>Designating the FBHS as A,B, or C needed to check rule</t>
  </si>
  <si>
    <t>Top view required for 30 degree bend check.</t>
  </si>
  <si>
    <r>
      <rPr>
        <b/>
        <sz val="11"/>
        <rFont val="Calibri"/>
        <family val="2"/>
        <scheme val="minor"/>
      </rPr>
      <t>F.3.4.2</t>
    </r>
    <r>
      <rPr>
        <sz val="11"/>
        <rFont val="Calibri"/>
        <family val="2"/>
        <scheme val="minor"/>
      </rPr>
      <t xml:space="preserve"> - Any and all steel grades are assigned the same material properties. No material properties for different grades may be used in the SES.</t>
    </r>
  </si>
  <si>
    <r>
      <t xml:space="preserve">Bring an </t>
    </r>
    <r>
      <rPr>
        <b/>
        <sz val="11"/>
        <rFont val="Calibri"/>
        <family val="2"/>
        <scheme val="minor"/>
      </rPr>
      <t>ELECTRONIC</t>
    </r>
    <r>
      <rPr>
        <sz val="11"/>
        <rFont val="Calibri"/>
        <family val="2"/>
        <scheme val="minor"/>
      </rPr>
      <t xml:space="preserve"> copy of the approved SES to Tech Inspection. It is your responsibility to bring a functioning, charged tablet or laptop. Bring backups.</t>
    </r>
  </si>
  <si>
    <t>Wing Mount distance to closest MHB end (a):</t>
  </si>
  <si>
    <t>Pinned MHB Buckling Force (Sy*L*I)/(a*(L-a)*OD/2):</t>
  </si>
  <si>
    <t>F.3.4.2</t>
  </si>
  <si>
    <t>Rear Wing Detachment Force (On One Side):</t>
  </si>
  <si>
    <t>Calculation of buckling strength of MHB tube.</t>
  </si>
  <si>
    <t>Main Hoop Brace second moment of inertia (I):</t>
  </si>
  <si>
    <t>Main Hoop Brace Outer Diameter (OD):</t>
  </si>
  <si>
    <t>F.5.9.2b</t>
  </si>
  <si>
    <t>1. Have a structural tube brace underneath.</t>
  </si>
  <si>
    <t>2. Have a detachment force below the calculated buckling yield of the MHB.</t>
  </si>
  <si>
    <t>Main Hoop Brace Length (Main Hoop to MHBS) (L):</t>
  </si>
  <si>
    <t>Yes</t>
  </si>
  <si>
    <t>Accumulator Side Protection</t>
  </si>
  <si>
    <t>Tractive Side Protection</t>
  </si>
  <si>
    <t>F.11.1.1</t>
  </si>
  <si>
    <t>F.1.1j</t>
  </si>
  <si>
    <t>Accumulators must be within the Primary Structure.</t>
  </si>
  <si>
    <t>F.11.1.3</t>
  </si>
  <si>
    <t>F.1.1l</t>
  </si>
  <si>
    <t>F.11.2.1</t>
  </si>
  <si>
    <t>Accumulator protection tubes are part of the Primary Structure</t>
  </si>
  <si>
    <t>F.11.1.2</t>
  </si>
  <si>
    <t>Outboard wheel motors are the only exception.</t>
  </si>
  <si>
    <t>HV Components must be within the Rollover Protection Envelope.</t>
  </si>
  <si>
    <t>Brace web thickness parallel to fastener shear plane:</t>
  </si>
  <si>
    <t>Fastener shear plane brace length:</t>
  </si>
  <si>
    <t>Parabolic shear 3*Test Load/2*b*h &lt;= Shear:</t>
  </si>
  <si>
    <t>Brace web thickness parallel to fastener axis:</t>
  </si>
  <si>
    <t>Fastener axis brace length:</t>
  </si>
  <si>
    <t>Locate AI bolts through FB tube inserts or on tabs:</t>
  </si>
  <si>
    <t>F.8.2.3b</t>
  </si>
  <si>
    <t>Centerline Inserts</t>
  </si>
  <si>
    <t>Maximum Fastener centerline offset from tube surface:</t>
  </si>
  <si>
    <t>Welded</t>
  </si>
  <si>
    <t>The dimensions and tube sizes must match the chassis Front Bulkhead.</t>
  </si>
  <si>
    <t>Spacer tubes should be located at the corners where FBHS tubes attach, but may be vertical, and wall thickness is not critical.</t>
  </si>
  <si>
    <t>Option 1</t>
  </si>
  <si>
    <t>Design the mold to layup and pull the front 2" off.</t>
  </si>
  <si>
    <t>1a</t>
  </si>
  <si>
    <t>Maybe use last year's, mold, often shared between the two years.</t>
  </si>
  <si>
    <t>1b</t>
  </si>
  <si>
    <t>Or pull a tool of last year's car, if the nose will be the same.</t>
  </si>
  <si>
    <t>This is the best test of the monocoque itself, if we are concerned beyond the Impact Attenuator and AI plate.</t>
  </si>
  <si>
    <t>Option 2</t>
  </si>
  <si>
    <t>A flat bulkhead-profile layup, with perpendicular FBHS layup segments around the perimeter providing 25mm spacing.</t>
  </si>
  <si>
    <t>2a</t>
  </si>
  <si>
    <t>This could be made before the mold is cut, or off the previous year's mold.</t>
  </si>
  <si>
    <t>2b</t>
  </si>
  <si>
    <t>Most monocoques have an tapered nose and rounded corners, which this might eliminate.</t>
  </si>
  <si>
    <t>This is fully composite, but hopefully easier, faster, and less expensive to make.</t>
  </si>
  <si>
    <t>Matching the laminate structure in all three dimensions (i.e. taper and radii) is required for a representative dynamic test of a composite AI plate.</t>
  </si>
  <si>
    <t>Option 3</t>
  </si>
  <si>
    <t>Steel tube perimeter replicating FBHS under underneath a flat, same shape, bulkhead layup.</t>
  </si>
  <si>
    <t>3a</t>
  </si>
  <si>
    <t>Can the steel tubes match the thickness and stiffness of the FBHS?</t>
  </si>
  <si>
    <t>3b</t>
  </si>
  <si>
    <t>This will affect the bulkhead behavior.</t>
  </si>
  <si>
    <t>3c</t>
  </si>
  <si>
    <t>Make sure to have very good bonding/laminating between the tubes and bulkhead that matches FB to FBHS interface.</t>
  </si>
  <si>
    <t>Not accepted:</t>
  </si>
  <si>
    <t>Steel tubes with no composite bulkhead.</t>
  </si>
  <si>
    <t>Difficult to match bulkhead front shape with or without cutouts.</t>
  </si>
  <si>
    <t>Difficult to quantify stiffness to match to bulkhead.</t>
  </si>
  <si>
    <t>Both of these will affect AI plate behavior, which is a critical part of the test.</t>
  </si>
  <si>
    <t>Layups must match the car presented at competition.</t>
  </si>
  <si>
    <t>6a. The mounts themselves, which need to be generally 25mm wider on each end than the opening.</t>
  </si>
  <si>
    <t>Side View CAD with color coded tube sizes / layups.</t>
  </si>
  <si>
    <t>Fuel tank, HV systems, pressurized tanks shown in orange.</t>
  </si>
  <si>
    <t>Bottom View with color coded tube sizes / layups.</t>
  </si>
  <si>
    <t>Materials</t>
  </si>
  <si>
    <t>Notes and Guidance</t>
  </si>
  <si>
    <t>Using this 7-color palette will accommodate color-blind students or reviewers:</t>
  </si>
  <si>
    <t>Material</t>
  </si>
  <si>
    <t>EV.4.3.6 Corner Attachment</t>
  </si>
  <si>
    <t>Steel Unwelded</t>
  </si>
  <si>
    <t>The segment structures drive the loading on the accumulator container and mounts.</t>
  </si>
  <si>
    <t>This tab looks at the following interfaces:</t>
  </si>
  <si>
    <t>Additional comments or discussion may be entered here.</t>
  </si>
  <si>
    <t>Steel Welded</t>
  </si>
  <si>
    <t>Corner attachments are located at the structural limits of the assembled segments.</t>
  </si>
  <si>
    <t>Accumulator-Side Mounts</t>
  </si>
  <si>
    <t>This table is linked to the same table on the EV.6.2.3 HV Protection tab.</t>
  </si>
  <si>
    <t>Aluminum Unwelded</t>
  </si>
  <si>
    <t>Core</t>
  </si>
  <si>
    <t>Outer</t>
  </si>
  <si>
    <t>Inner</t>
  </si>
  <si>
    <t>Rectangular segment arrangements have mounts at all eight corners:</t>
  </si>
  <si>
    <t xml:space="preserve"> - Fastener attachment to Chassis Mount</t>
  </si>
  <si>
    <t>Aluminum Welded</t>
  </si>
  <si>
    <t>Front, Back, Top, Bottom, Left, Right</t>
  </si>
  <si>
    <t xml:space="preserve"> - Braces back to the accumulator skin</t>
  </si>
  <si>
    <t>The test load is equal to 1/4 accumulator mass * 40g acceleration.</t>
  </si>
  <si>
    <t xml:space="preserve"> - Accumulator-side mount attachment to the accumulator skin</t>
  </si>
  <si>
    <t>Mount must maintain same minimum thickness, shear perimeter, hole spacing, and edge distance for all fasteners.</t>
  </si>
  <si>
    <t>Fasteners may be offset up to 50mm from the corner in each orthogonal direction.</t>
  </si>
  <si>
    <t>Fasteners attached directly into the accumulator inserts or chassis inserts do not need respective braces</t>
  </si>
  <si>
    <t>Show accumulator installation/removal.</t>
  </si>
  <si>
    <t>Installation/removal, second view.</t>
  </si>
  <si>
    <t>Panel thickness does not count toward this limit.</t>
  </si>
  <si>
    <t>Additional container walls or volumes are not counted.</t>
  </si>
  <si>
    <t>Chassis-Side Mounts</t>
  </si>
  <si>
    <t>The structural limits may be extended with a 1-tube thick exoskeleton on perimeter faces.</t>
  </si>
  <si>
    <t xml:space="preserve"> - Fastener attachment to Accumulator Mount</t>
  </si>
  <si>
    <t>Minimum tube sizes are given by T.2.5-7.</t>
  </si>
  <si>
    <t xml:space="preserve"> - Braces back to the chassis tubes/panels</t>
  </si>
  <si>
    <t>The structural dimensions of a composite container are best increased with core size.</t>
  </si>
  <si>
    <t xml:space="preserve"> - Chassis-side mount attachment to the chassis/subframe</t>
  </si>
  <si>
    <t>Core is preferably used on all interior and exterior panels.</t>
  </si>
  <si>
    <t>The location of a fastener between an accumulator mount and a chassis mount:</t>
  </si>
  <si>
    <t>EV.4.3.7 Mass Based:</t>
  </si>
  <si>
    <t>The point intersection between the fastener axis and its shear plane.</t>
  </si>
  <si>
    <t>The number of attachment points is determined by the accumulator mass.</t>
  </si>
  <si>
    <t>Fastener axes and shear planes may be oriented in any direction.</t>
  </si>
  <si>
    <t>Without spacing limits or corner mounts guaranteed to react moments, the test load is fixed at 15kN.</t>
  </si>
  <si>
    <t>Composite teams: Enter tab names for materials used.</t>
  </si>
  <si>
    <t>The dimensions of a large flange with multiple attachment points may be used for brace requirements.</t>
  </si>
  <si>
    <t>All mounts on an accumulator, even if identical, need to be entered into the SES.</t>
  </si>
  <si>
    <t>Identical mounts for multiple packs only need to be entered once.</t>
  </si>
  <si>
    <t>Total mass of all segments:</t>
  </si>
  <si>
    <t>Mounting Method:</t>
  </si>
  <si>
    <t>Nearly identical mounts across multiple packs should be entered as highest offset, smallest brace.</t>
  </si>
  <si>
    <t>Total accumulator mass:</t>
  </si>
  <si>
    <t>Test Load:</t>
  </si>
  <si>
    <t>For asymmetric packs, more than 10 mounts, or removable subframes: Right click and make a copy of this tab.</t>
  </si>
  <si>
    <t>EV.4.3.6 Corner attachment test load:</t>
  </si>
  <si>
    <t>each</t>
  </si>
  <si>
    <t>Accumulator mount symmetry:</t>
  </si>
  <si>
    <t>This will change the names of sections.</t>
  </si>
  <si>
    <t>EV.4.3.7 Mass based minimum attachment points:</t>
  </si>
  <si>
    <t>Chassis mount symmetry:</t>
  </si>
  <si>
    <t>Segment cross sections required.</t>
  </si>
  <si>
    <t>Segment arrangement CAD required.</t>
  </si>
  <si>
    <t>Accumulator Mount 5</t>
  </si>
  <si>
    <t>Chassis Mount 5</t>
  </si>
  <si>
    <t>Include all dimensions entered below.</t>
  </si>
  <si>
    <t>Segment lateral cross section. (Multiple if modules are not identical.)</t>
  </si>
  <si>
    <t>Lateral cross sections at attachment points.</t>
  </si>
  <si>
    <t>Segment longitudinal cross section. (Multiple if modules are not identical.)</t>
  </si>
  <si>
    <t>Longitudinal cross sections at attachment points.</t>
  </si>
  <si>
    <t>If symmetric, only one lateral and longitudinal section cut showing half of the attachments is needed.</t>
  </si>
  <si>
    <t>If the section through the mounts does not intersect the segments, provide the accumulator cross sections at the segment ends.</t>
  </si>
  <si>
    <t>Accumulator Segments</t>
  </si>
  <si>
    <t>Accumulator Container</t>
  </si>
  <si>
    <t>Clear entry cells if unused.</t>
  </si>
  <si>
    <t>The segment structures carry the load to the accumulator container and mounts.</t>
  </si>
  <si>
    <t>A 1-tube thick exoskeleton with a direct load path around the perimeter of the assembled segments may be used to define the structural limits and corners.</t>
  </si>
  <si>
    <t>Accumulator Mount attachment to Chassis Mount</t>
  </si>
  <si>
    <t>Chassis Mount attachment to Accumulator Mount</t>
  </si>
  <si>
    <t>This information will help develop FSAE standards for accumulator and segment internal structure.</t>
  </si>
  <si>
    <t>Intersection of fastener axis and fastener shear plane.</t>
  </si>
  <si>
    <t>EV.4.1.2</t>
  </si>
  <si>
    <r>
      <rPr>
        <b/>
        <sz val="11"/>
        <rFont val="Calibri"/>
        <family val="2"/>
        <scheme val="minor"/>
      </rPr>
      <t>A</t>
    </r>
    <r>
      <rPr>
        <sz val="11"/>
        <rFont val="Calibri"/>
        <family val="2"/>
        <scheme val="minor"/>
      </rPr>
      <t>dditional documentation is required in the EVSE.</t>
    </r>
  </si>
  <si>
    <t>A subframe may be used to bring nodes to the accumulator if the tubes meet F.3.4</t>
  </si>
  <si>
    <t>Outside</t>
  </si>
  <si>
    <t>the front/rear planes of the accumulator segments:</t>
  </si>
  <si>
    <t>Between</t>
  </si>
  <si>
    <t>Enter 0 for fasteners directly through a Primary Structure tube or monocoque hardpoint.</t>
  </si>
  <si>
    <t>Enter 0 for fasteners directly through a Primary Structure tube or monocoque.</t>
  </si>
  <si>
    <t>Nominal values reported here are for approximation only.</t>
  </si>
  <si>
    <t>the top/bottom planes of the accumulator segments:</t>
  </si>
  <si>
    <t>Offset from composite panel or radially from tube surface:</t>
  </si>
  <si>
    <t>the left/right planes of the accumulator segments:</t>
  </si>
  <si>
    <t>Mount material (Composite skin for internal hardpoint):</t>
  </si>
  <si>
    <t>Cell type:</t>
  </si>
  <si>
    <t>Cylindrical</t>
  </si>
  <si>
    <t>Minimum segment mass:</t>
  </si>
  <si>
    <t>kg</t>
  </si>
  <si>
    <t>Total Surface Offset, zero for an internal hardpoint:</t>
  </si>
  <si>
    <t>Maximum Voltage:</t>
  </si>
  <si>
    <t>V</t>
  </si>
  <si>
    <t>F.10.2.2e</t>
  </si>
  <si>
    <t>Maximum segment mass:</t>
  </si>
  <si>
    <t>Mount material (Accumulator skin if directly mounted):</t>
  </si>
  <si>
    <t>Ultimate Tensile and Bending Strength (S):</t>
  </si>
  <si>
    <t>Nominal Voltage:</t>
  </si>
  <si>
    <t>Number of segments &lt;= 8kg:</t>
  </si>
  <si>
    <t>Shear:</t>
  </si>
  <si>
    <t>Nominal Capacity:</t>
  </si>
  <si>
    <t>mAh</t>
  </si>
  <si>
    <t>Number of 8kg &lt; segments &lt;= 12kg:</t>
  </si>
  <si>
    <t>Mounting face thickness (Do not include core.):</t>
  </si>
  <si>
    <t>Maximum segment cells in series:</t>
  </si>
  <si>
    <t>Minimum - Fastener spacing, edge, or corner distance:</t>
  </si>
  <si>
    <t>Maximum segment cells in parallel:</t>
  </si>
  <si>
    <t>Number of fasteners used (2x if in double shear):</t>
  </si>
  <si>
    <t>Maximum segment voltage:</t>
  </si>
  <si>
    <t>Fastener diameter:</t>
  </si>
  <si>
    <t>Nominal segment capacity:</t>
  </si>
  <si>
    <t>MJ</t>
  </si>
  <si>
    <t>Number of segment external vertical walls:</t>
  </si>
  <si>
    <t>Threads in shear:</t>
  </si>
  <si>
    <t>Total accumulator cells in series:</t>
  </si>
  <si>
    <t>Number of cover fasteners:</t>
  </si>
  <si>
    <t>Fastener shear capability:</t>
  </si>
  <si>
    <t>Total accumulator cells in parallel:</t>
  </si>
  <si>
    <t>Make sure at least 1 fastener is used per segment external wall.</t>
  </si>
  <si>
    <t>Min total perimeter of all washers, inserts, brackets on one surface:</t>
  </si>
  <si>
    <t>EV.1.3.2</t>
  </si>
  <si>
    <t>Maximum accumulator voltage:</t>
  </si>
  <si>
    <t>Fastener shear &gt;= Test Load:</t>
  </si>
  <si>
    <t>Nominal accumulator capacity:</t>
  </si>
  <si>
    <t>kWh</t>
  </si>
  <si>
    <t>Fastener Pullout &gt;= Test Load:</t>
  </si>
  <si>
    <t>Vertical wall joining method:</t>
  </si>
  <si>
    <t>Bolted</t>
  </si>
  <si>
    <t>Fastener Tearout &gt;= Test Load:</t>
  </si>
  <si>
    <t>4mm (#10)</t>
  </si>
  <si>
    <t>F.10.2.3</t>
  </si>
  <si>
    <t>Cell mounting and bracing material:</t>
  </si>
  <si>
    <t>E:</t>
  </si>
  <si>
    <t>Tube Check: &lt; 95% not a cause for rejection in 2020.</t>
  </si>
  <si>
    <t>UTS:</t>
  </si>
  <si>
    <t>Accumulator Side Braces</t>
  </si>
  <si>
    <t>Chassis type at mount:</t>
  </si>
  <si>
    <t>Assembled Segment moment of inertia, Lateral cross section:</t>
  </si>
  <si>
    <t>For tubes used as braces, enter 2*wall for thickness.</t>
  </si>
  <si>
    <t>Assembled Segment moment, Longitudinal cross section:</t>
  </si>
  <si>
    <t>Maximum segment length:</t>
  </si>
  <si>
    <t>Chassis tube wall:</t>
  </si>
  <si>
    <t>Maximum segment width:</t>
  </si>
  <si>
    <t>ACCUMULATOR FLOOR</t>
  </si>
  <si>
    <t>Comparison of buckling strength of tube.</t>
  </si>
  <si>
    <t>Maximum segment height:</t>
  </si>
  <si>
    <t>Bending  M*y / I &lt;= UTS:</t>
  </si>
  <si>
    <t>Floor width:</t>
  </si>
  <si>
    <t>Floor length:</t>
  </si>
  <si>
    <t>Tube Length (L):</t>
  </si>
  <si>
    <t>Restraint Method:</t>
  </si>
  <si>
    <t>Examples: Bolted, Friction, Adhesive</t>
  </si>
  <si>
    <t>F.10.2.2a</t>
  </si>
  <si>
    <t>Accumulator Floor Construction:</t>
  </si>
  <si>
    <t>Chassis mount distance to closest triangulated node (a):</t>
  </si>
  <si>
    <t>Steel: 1.25mm (0.049in), Aluminum: 3.2mm (.125in):</t>
  </si>
  <si>
    <t>Pinned Tube Buckling Force (Su*L*I)/(a*(L-a)*OD/2):</t>
  </si>
  <si>
    <t>Material Used:</t>
  </si>
  <si>
    <t>Panel thickness:</t>
  </si>
  <si>
    <t>Chassis Side Braces</t>
  </si>
  <si>
    <t>Core thickness:</t>
  </si>
  <si>
    <t>Accumulator Mount to Accumulator Skin interface</t>
  </si>
  <si>
    <t>For tubes used as braces, enter 2*wall for brace web thickness.</t>
  </si>
  <si>
    <t>Outer skin thickness:</t>
  </si>
  <si>
    <t>Inner skin thickness:</t>
  </si>
  <si>
    <t>Accumulator skin at mount interface:</t>
  </si>
  <si>
    <t>Flat Panel Properties</t>
  </si>
  <si>
    <t>Outer (b)</t>
  </si>
  <si>
    <r>
      <t>A</t>
    </r>
    <r>
      <rPr>
        <vertAlign val="subscript"/>
        <sz val="10"/>
        <rFont val="Arial"/>
        <family val="2"/>
      </rPr>
      <t>1</t>
    </r>
  </si>
  <si>
    <r>
      <t>I</t>
    </r>
    <r>
      <rPr>
        <vertAlign val="subscript"/>
        <sz val="10"/>
        <rFont val="Arial"/>
        <family val="2"/>
      </rPr>
      <t>1</t>
    </r>
  </si>
  <si>
    <t>Outer (h)</t>
  </si>
  <si>
    <r>
      <t>A</t>
    </r>
    <r>
      <rPr>
        <vertAlign val="subscript"/>
        <sz val="10"/>
        <rFont val="Arial"/>
        <family val="2"/>
      </rPr>
      <t>2</t>
    </r>
  </si>
  <si>
    <r>
      <t>I</t>
    </r>
    <r>
      <rPr>
        <vertAlign val="subscript"/>
        <sz val="10"/>
        <rFont val="Arial"/>
        <family val="2"/>
      </rPr>
      <t>2</t>
    </r>
  </si>
  <si>
    <t>Thickness</t>
  </si>
  <si>
    <r>
      <t>y</t>
    </r>
    <r>
      <rPr>
        <vertAlign val="subscript"/>
        <sz val="10"/>
        <rFont val="Arial"/>
        <family val="2"/>
      </rPr>
      <t>1</t>
    </r>
  </si>
  <si>
    <r>
      <t>Ic</t>
    </r>
    <r>
      <rPr>
        <vertAlign val="subscript"/>
        <sz val="10"/>
        <rFont val="Arial"/>
        <family val="2"/>
      </rPr>
      <t>1</t>
    </r>
  </si>
  <si>
    <t>Inner (b)</t>
  </si>
  <si>
    <r>
      <t>y</t>
    </r>
    <r>
      <rPr>
        <vertAlign val="subscript"/>
        <sz val="10"/>
        <rFont val="Arial"/>
        <family val="2"/>
      </rPr>
      <t>2</t>
    </r>
  </si>
  <si>
    <r>
      <t>Ic</t>
    </r>
    <r>
      <rPr>
        <vertAlign val="subscript"/>
        <sz val="10"/>
        <rFont val="Arial"/>
        <family val="2"/>
      </rPr>
      <t>2</t>
    </r>
  </si>
  <si>
    <t>Inner (h)</t>
  </si>
  <si>
    <t>Centroid</t>
  </si>
  <si>
    <r>
      <t>Ic</t>
    </r>
    <r>
      <rPr>
        <vertAlign val="subscript"/>
        <sz val="10"/>
        <rFont val="Arial"/>
        <family val="2"/>
      </rPr>
      <t>12</t>
    </r>
  </si>
  <si>
    <t>Baseline Steel</t>
  </si>
  <si>
    <t>Thickness:</t>
  </si>
  <si>
    <t>Cross sectional area (A):</t>
  </si>
  <si>
    <t>Chassis Mount to Chassis interface</t>
  </si>
  <si>
    <t>Second moment of inertia (I):</t>
  </si>
  <si>
    <t>Chassis wall at mount interface:</t>
  </si>
  <si>
    <t xml:space="preserve"> E_1*I_1 &lt;= E_2*I_2:</t>
  </si>
  <si>
    <t>UTS</t>
  </si>
  <si>
    <t>S_1*A_1 &lt;= S_2*A_2:</t>
  </si>
  <si>
    <t>4*S_1*I_1/r &lt;= 4*S_2*I_2/r:</t>
  </si>
  <si>
    <t>ACCUMULATOR EXTERIOR WALLS</t>
  </si>
  <si>
    <t>Exterior wall height:</t>
  </si>
  <si>
    <t>F.10.2.2b</t>
  </si>
  <si>
    <t>Exterior Wall Construction:</t>
  </si>
  <si>
    <t>Steel: 0.90mm (0.035in), Aluminum: 2.3mm (0.090in):</t>
  </si>
  <si>
    <t>ACCUMULATOR INTERIOR WALLS</t>
  </si>
  <si>
    <t>Interior wall height &gt;= 75% * Exterior wall height:</t>
  </si>
  <si>
    <t>F.10.2.2c</t>
  </si>
  <si>
    <t>Interior Wall Construction:</t>
  </si>
  <si>
    <t>ACCUMULATOR COVER/LID</t>
  </si>
  <si>
    <t>Cover width:</t>
  </si>
  <si>
    <t>Cover length:</t>
  </si>
  <si>
    <t>F.10.2.2f</t>
  </si>
  <si>
    <t>Accumulator Lid</t>
  </si>
  <si>
    <t>The examples to the right cover the tube location requirements for the FBHS, SIS, and MHBS. There are many solutions not shown that can meet the documentation, triangulation, and bracing requirements.
The examples to the left need to be replaced with your own CAD. Images should be clear, undistorted, moderate filesize. Each SES file 25MB max.</t>
  </si>
  <si>
    <t>1.3</t>
  </si>
  <si>
    <t>Cell locking.</t>
  </si>
  <si>
    <t>Tabs to N/A.</t>
  </si>
  <si>
    <t>F.8.7.6a</t>
  </si>
  <si>
    <t>F.8.7.5b</t>
  </si>
  <si>
    <t>F.8.7.5bc</t>
  </si>
  <si>
    <t>Bonded EV shear.</t>
  </si>
  <si>
    <t>Standard</t>
  </si>
  <si>
    <t>304mm (12in)</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</si>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</sst>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26"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sz val="22"/>
      <name val="Calibri"/>
      <family val="2"/>
      <scheme val="minor"/>
    </font>
    <font>
      <b/>
      <sz val="11"/>
      <color theme="4"/>
      <name val="Calibri"/>
      <family val="2"/>
      <scheme val="minor"/>
    </font>
    <font>
      <b/>
      <sz val="11"/>
      <color theme="9"/>
      <name val="Calibri"/>
      <family val="2"/>
      <scheme val="minor"/>
    </font>
    <font>
      <b/>
      <sz val="11"/>
      <color theme="7"/>
      <name val="Calibri"/>
      <family val="2"/>
      <scheme val="minor"/>
    </font>
    <font>
      <u/>
      <sz val="11"/>
      <color theme="10"/>
      <name val="Calibri"/>
      <family val="2"/>
      <scheme val="minor"/>
    </font>
    <font>
      <sz val="36"/>
      <name val="Calibri"/>
      <family val="2"/>
      <scheme val="minor"/>
    </font>
    <font>
      <b/>
      <sz val="28"/>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
      <b/>
      <sz val="16"/>
      <name val="Calibri"/>
      <family val="2"/>
      <scheme val="minor"/>
    </font>
    <font>
      <b/>
      <sz val="22"/>
      <name val="Calibri"/>
      <family val="2"/>
      <scheme val="minor"/>
    </font>
    <font>
      <sz val="22"/>
      <color theme="0"/>
      <name val="Calibri"/>
      <family val="2"/>
      <scheme val="minor"/>
    </font>
    <font>
      <b/>
      <sz val="12"/>
      <name val="Calibri"/>
      <family val="2"/>
      <scheme val="minor"/>
    </font>
    <font>
      <b/>
      <sz val="14"/>
      <name val="Calibri"/>
      <family val="2"/>
      <scheme val="minor"/>
    </font>
    <font>
      <b/>
      <u/>
      <sz val="11"/>
      <color theme="7"/>
      <name val="Calibri"/>
      <family val="2"/>
      <scheme val="minor"/>
    </font>
    <font>
      <b/>
      <sz val="10"/>
      <name val="Calibri"/>
      <family val="2"/>
      <scheme val="minor"/>
    </font>
    <font>
      <sz val="10"/>
      <name val="Calibri"/>
      <family val="2"/>
      <scheme val="minor"/>
    </font>
    <font>
      <b/>
      <sz val="10"/>
      <name val="Arial"/>
      <family val="2"/>
    </font>
    <font>
      <vertAlign val="subscript"/>
      <sz val="10"/>
      <name val="Arial"/>
      <family val="2"/>
    </font>
    <font>
      <b/>
      <sz val="11"/>
      <name val="Arial"/>
      <family val="2"/>
    </font>
  </fonts>
  <fills count="11">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3"/>
        <bgColor indexed="64"/>
      </patternFill>
    </fill>
    <fill>
      <patternFill patternType="solid">
        <fgColor rgb="FFD55E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s>
  <borders count="3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style="medium">
        <color indexed="64"/>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390">
    <xf numFmtId="0" fontId="0" fillId="0" borderId="0" xfId="0"/>
    <xf numFmtId="0" fontId="3" fillId="6" borderId="0" xfId="0" applyFont="1" applyFill="1" applyBorder="1" applyAlignment="1" applyProtection="1">
      <alignment vertical="center"/>
    </xf>
    <xf numFmtId="49" fontId="3" fillId="6" borderId="8" xfId="0" applyNumberFormat="1" applyFont="1" applyFill="1" applyBorder="1" applyAlignment="1" applyProtection="1">
      <alignment vertical="center"/>
    </xf>
    <xf numFmtId="49" fontId="4" fillId="6" borderId="0" xfId="0" applyNumberFormat="1" applyFont="1" applyFill="1" applyBorder="1" applyAlignment="1" applyProtection="1">
      <alignment horizontal="right" vertical="center"/>
    </xf>
    <xf numFmtId="1" fontId="4" fillId="6" borderId="0" xfId="0" applyNumberFormat="1" applyFont="1" applyFill="1" applyBorder="1" applyAlignment="1" applyProtection="1">
      <alignment horizontal="right" vertical="center"/>
    </xf>
    <xf numFmtId="49" fontId="4" fillId="9"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vertical="center"/>
    </xf>
    <xf numFmtId="49" fontId="4" fillId="6" borderId="0" xfId="0" applyNumberFormat="1" applyFont="1" applyFill="1" applyBorder="1" applyAlignment="1" applyProtection="1">
      <alignment vertical="center"/>
    </xf>
    <xf numFmtId="49" fontId="3" fillId="6" borderId="12" xfId="0" applyNumberFormat="1" applyFont="1" applyFill="1" applyBorder="1" applyAlignment="1" applyProtection="1">
      <alignment vertical="center"/>
    </xf>
    <xf numFmtId="49" fontId="3" fillId="6" borderId="7" xfId="0" applyNumberFormat="1" applyFont="1" applyFill="1" applyBorder="1" applyAlignment="1" applyProtection="1">
      <alignment vertical="center"/>
    </xf>
    <xf numFmtId="49" fontId="4" fillId="6" borderId="0" xfId="0" applyNumberFormat="1" applyFont="1" applyFill="1" applyBorder="1" applyAlignment="1" applyProtection="1">
      <alignment horizontal="center" vertical="center"/>
    </xf>
    <xf numFmtId="0" fontId="3" fillId="6" borderId="0" xfId="0" applyFont="1" applyFill="1" applyBorder="1" applyAlignment="1" applyProtection="1">
      <alignment horizontal="left" vertical="center"/>
    </xf>
    <xf numFmtId="0" fontId="0" fillId="6" borderId="0" xfId="0" applyFill="1" applyAlignment="1">
      <alignment horizontal="center"/>
    </xf>
    <xf numFmtId="0" fontId="12" fillId="6" borderId="0" xfId="0" applyFont="1" applyFill="1" applyAlignment="1">
      <alignment horizontal="center"/>
    </xf>
    <xf numFmtId="0" fontId="0" fillId="6" borderId="0" xfId="0" applyFill="1"/>
    <xf numFmtId="0" fontId="0" fillId="6" borderId="0" xfId="0" applyFill="1" applyProtection="1">
      <protection locked="0"/>
    </xf>
    <xf numFmtId="0" fontId="0" fillId="6" borderId="0" xfId="0" applyFill="1" applyAlignment="1">
      <alignment horizontal="left" vertical="top"/>
    </xf>
    <xf numFmtId="0" fontId="12" fillId="6" borderId="0" xfId="0" applyFont="1" applyFill="1" applyAlignment="1" applyProtection="1">
      <alignment horizontal="center"/>
      <protection locked="0"/>
    </xf>
    <xf numFmtId="0" fontId="3" fillId="6" borderId="0" xfId="0" applyFont="1" applyFill="1" applyAlignment="1" applyProtection="1">
      <alignment horizontal="left" vertical="center"/>
    </xf>
    <xf numFmtId="0" fontId="5" fillId="7" borderId="0" xfId="0" applyFont="1" applyFill="1" applyAlignment="1" applyProtection="1">
      <alignment horizontal="center" vertical="center"/>
    </xf>
    <xf numFmtId="0" fontId="4" fillId="7" borderId="0" xfId="0" applyFont="1" applyFill="1" applyAlignment="1" applyProtection="1">
      <alignment horizontal="center" vertical="center"/>
    </xf>
    <xf numFmtId="0" fontId="4" fillId="7" borderId="0" xfId="0" applyFont="1" applyFill="1" applyAlignment="1" applyProtection="1">
      <alignment horizontal="right" vertical="center"/>
    </xf>
    <xf numFmtId="0" fontId="3" fillId="7" borderId="0" xfId="0" applyFont="1" applyFill="1" applyAlignment="1" applyProtection="1">
      <alignment horizontal="left" vertical="center"/>
    </xf>
    <xf numFmtId="0" fontId="16" fillId="6" borderId="0" xfId="0" applyFont="1" applyFill="1" applyAlignment="1" applyProtection="1">
      <alignment horizontal="center" vertical="center"/>
    </xf>
    <xf numFmtId="0" fontId="3" fillId="6"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2" fillId="4" borderId="0" xfId="0" applyFont="1" applyFill="1" applyAlignment="1" applyProtection="1">
      <alignment horizontal="left" vertical="center"/>
    </xf>
    <xf numFmtId="1" fontId="17" fillId="4" borderId="0" xfId="0" applyNumberFormat="1" applyFont="1" applyFill="1" applyAlignment="1" applyProtection="1">
      <alignment horizontal="center" vertical="center"/>
    </xf>
    <xf numFmtId="0" fontId="3" fillId="4" borderId="0" xfId="0" applyFont="1" applyFill="1" applyAlignment="1" applyProtection="1">
      <alignment horizontal="left" vertical="center"/>
    </xf>
    <xf numFmtId="0" fontId="4" fillId="6" borderId="13" xfId="0" applyFont="1" applyFill="1" applyBorder="1" applyAlignment="1" applyProtection="1">
      <alignment horizontal="center" vertical="top" wrapText="1"/>
    </xf>
    <xf numFmtId="0" fontId="4" fillId="6" borderId="0" xfId="0" applyFont="1" applyFill="1" applyAlignment="1" applyProtection="1">
      <alignment horizontal="center" vertical="top" wrapText="1"/>
    </xf>
    <xf numFmtId="0" fontId="4" fillId="6" borderId="0" xfId="0" applyFont="1" applyFill="1" applyAlignment="1" applyProtection="1">
      <alignment horizontal="center" vertical="top"/>
    </xf>
    <xf numFmtId="0" fontId="4" fillId="6" borderId="11" xfId="0" applyFont="1" applyFill="1" applyBorder="1" applyAlignment="1" applyProtection="1">
      <alignment horizontal="center" vertical="top" wrapText="1"/>
    </xf>
    <xf numFmtId="0" fontId="1" fillId="4" borderId="13" xfId="0" applyFont="1" applyFill="1" applyBorder="1" applyAlignment="1" applyProtection="1">
      <alignment vertical="top" wrapText="1"/>
    </xf>
    <xf numFmtId="0" fontId="1" fillId="4" borderId="0" xfId="0" applyFont="1" applyFill="1" applyAlignment="1" applyProtection="1">
      <alignment vertical="top" wrapText="1"/>
    </xf>
    <xf numFmtId="0" fontId="1" fillId="4" borderId="11" xfId="0" applyFont="1" applyFill="1" applyBorder="1" applyAlignment="1" applyProtection="1">
      <alignment vertical="top" wrapText="1"/>
    </xf>
    <xf numFmtId="0" fontId="0" fillId="6" borderId="0" xfId="0" applyFill="1" applyAlignment="1" applyProtection="1">
      <alignment horizontal="center"/>
    </xf>
    <xf numFmtId="0" fontId="2" fillId="4" borderId="13" xfId="0" applyFont="1" applyFill="1" applyBorder="1" applyAlignment="1" applyProtection="1">
      <alignment vertical="center"/>
    </xf>
    <xf numFmtId="0" fontId="2" fillId="4" borderId="0" xfId="0" applyFont="1" applyFill="1" applyAlignment="1" applyProtection="1">
      <alignment vertical="center"/>
    </xf>
    <xf numFmtId="0" fontId="2" fillId="4" borderId="11" xfId="0" applyFont="1" applyFill="1" applyBorder="1" applyAlignment="1" applyProtection="1">
      <alignment vertical="center"/>
    </xf>
    <xf numFmtId="0" fontId="3" fillId="6" borderId="0" xfId="0" applyFont="1" applyFill="1" applyAlignment="1" applyProtection="1">
      <alignment horizontal="left" vertical="center" wrapText="1"/>
    </xf>
    <xf numFmtId="0" fontId="3" fillId="7" borderId="0" xfId="0" applyFont="1" applyFill="1" applyAlignment="1" applyProtection="1">
      <alignment horizontal="right" vertical="center"/>
    </xf>
    <xf numFmtId="0" fontId="2" fillId="7" borderId="0" xfId="0" applyFont="1" applyFill="1" applyAlignment="1" applyProtection="1">
      <alignment horizontal="left" vertical="center"/>
    </xf>
    <xf numFmtId="0" fontId="5" fillId="6" borderId="0" xfId="0" applyFont="1" applyFill="1" applyAlignment="1" applyProtection="1">
      <alignment horizontal="left" vertical="center"/>
    </xf>
    <xf numFmtId="0" fontId="5" fillId="6" borderId="0" xfId="0" applyFont="1" applyFill="1" applyAlignment="1" applyProtection="1">
      <alignment horizontal="center" vertical="center"/>
    </xf>
    <xf numFmtId="0" fontId="4" fillId="6" borderId="0" xfId="0" applyFont="1" applyFill="1" applyAlignment="1" applyProtection="1">
      <alignment horizontal="left" vertical="center"/>
    </xf>
    <xf numFmtId="0" fontId="4"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right" vertical="center"/>
    </xf>
    <xf numFmtId="0" fontId="3" fillId="6" borderId="2" xfId="0" applyFont="1" applyFill="1" applyBorder="1" applyAlignment="1" applyProtection="1">
      <alignment horizontal="center" vertical="center"/>
    </xf>
    <xf numFmtId="0" fontId="3" fillId="6" borderId="0" xfId="0" applyFont="1" applyFill="1" applyAlignment="1" applyProtection="1">
      <alignment horizontal="left" vertical="center"/>
    </xf>
    <xf numFmtId="0" fontId="3" fillId="6" borderId="0" xfId="0" applyFont="1" applyFill="1" applyAlignment="1" applyProtection="1">
      <alignment vertical="center"/>
    </xf>
    <xf numFmtId="0" fontId="18" fillId="6" borderId="0" xfId="0" applyFont="1" applyFill="1" applyAlignment="1" applyProtection="1">
      <alignment horizontal="left" vertical="center" wrapText="1"/>
    </xf>
    <xf numFmtId="0" fontId="18" fillId="6" borderId="0" xfId="0" applyFont="1" applyFill="1" applyAlignment="1" applyProtection="1">
      <alignment horizontal="left" vertical="center"/>
    </xf>
    <xf numFmtId="0" fontId="0" fillId="6" borderId="0" xfId="0" applyFill="1" applyAlignment="1" applyProtection="1">
      <alignment horizontal="center" vertical="center"/>
    </xf>
    <xf numFmtId="0" fontId="3" fillId="6" borderId="2"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0" fontId="4" fillId="6" borderId="0" xfId="0" applyFont="1" applyFill="1" applyAlignment="1" applyProtection="1">
      <alignment vertical="center"/>
    </xf>
    <xf numFmtId="0" fontId="0" fillId="6" borderId="0" xfId="0" applyFill="1" applyAlignment="1" applyProtection="1">
      <alignment horizontal="right" vertical="center"/>
    </xf>
    <xf numFmtId="0" fontId="3" fillId="6" borderId="0" xfId="0" applyFont="1" applyFill="1" applyAlignment="1" applyProtection="1">
      <alignment horizontal="right"/>
    </xf>
    <xf numFmtId="0" fontId="2" fillId="4" borderId="13" xfId="0" applyFont="1" applyFill="1" applyBorder="1" applyAlignment="1" applyProtection="1">
      <alignment horizontal="center" vertical="center"/>
    </xf>
    <xf numFmtId="0" fontId="12" fillId="6" borderId="0" xfId="0" applyFont="1" applyFill="1" applyAlignment="1" applyProtection="1">
      <alignment horizontal="left" vertical="center"/>
    </xf>
    <xf numFmtId="11" fontId="3" fillId="6" borderId="0" xfId="0" applyNumberFormat="1" applyFont="1" applyFill="1" applyAlignment="1" applyProtection="1">
      <alignment horizontal="right" vertical="center"/>
    </xf>
    <xf numFmtId="49" fontId="4" fillId="6" borderId="0" xfId="0" applyNumberFormat="1" applyFont="1" applyFill="1" applyAlignment="1" applyProtection="1">
      <alignment horizontal="right" vertical="center"/>
    </xf>
    <xf numFmtId="49" fontId="3" fillId="6" borderId="0" xfId="0" applyNumberFormat="1" applyFont="1" applyFill="1" applyAlignment="1" applyProtection="1">
      <alignment vertical="center"/>
    </xf>
    <xf numFmtId="11" fontId="0" fillId="6" borderId="0" xfId="0" applyNumberFormat="1" applyFill="1" applyAlignment="1" applyProtection="1">
      <alignment vertical="center"/>
    </xf>
    <xf numFmtId="164" fontId="0" fillId="6" borderId="0" xfId="0" applyNumberFormat="1" applyFill="1" applyAlignment="1" applyProtection="1">
      <alignment horizontal="center" vertical="center"/>
    </xf>
    <xf numFmtId="0" fontId="2" fillId="4" borderId="13" xfId="0" applyFont="1" applyFill="1" applyBorder="1" applyAlignment="1" applyProtection="1">
      <alignment vertical="center" wrapText="1"/>
    </xf>
    <xf numFmtId="0" fontId="2" fillId="4" borderId="0" xfId="0" applyFont="1" applyFill="1" applyAlignment="1" applyProtection="1">
      <alignment vertical="center" wrapText="1"/>
    </xf>
    <xf numFmtId="0" fontId="2" fillId="4" borderId="11" xfId="0" applyFont="1" applyFill="1" applyBorder="1" applyAlignment="1" applyProtection="1">
      <alignment vertical="center" wrapText="1"/>
    </xf>
    <xf numFmtId="0" fontId="12" fillId="6" borderId="0" xfId="0" applyFont="1" applyFill="1" applyAlignment="1" applyProtection="1">
      <alignment horizontal="center" vertical="center"/>
    </xf>
    <xf numFmtId="11" fontId="0" fillId="6" borderId="0" xfId="0" applyNumberFormat="1" applyFill="1" applyAlignment="1" applyProtection="1">
      <alignment horizontal="right" vertical="center"/>
    </xf>
    <xf numFmtId="0" fontId="0" fillId="6" borderId="8" xfId="0" applyFill="1" applyBorder="1" applyAlignment="1" applyProtection="1">
      <alignment horizontal="center" vertical="center"/>
    </xf>
    <xf numFmtId="10" fontId="3" fillId="6" borderId="0" xfId="0" applyNumberFormat="1" applyFont="1" applyFill="1" applyAlignment="1" applyProtection="1">
      <alignment horizontal="left" vertical="center"/>
    </xf>
    <xf numFmtId="0" fontId="0" fillId="6" borderId="2" xfId="0" applyFill="1" applyBorder="1" applyAlignment="1" applyProtection="1">
      <alignment horizontal="center" vertical="center"/>
    </xf>
    <xf numFmtId="0" fontId="0" fillId="6" borderId="10" xfId="0" applyFill="1" applyBorder="1" applyAlignment="1" applyProtection="1">
      <alignment horizontal="center" vertical="center"/>
    </xf>
    <xf numFmtId="1" fontId="1" fillId="4" borderId="13" xfId="0" applyNumberFormat="1" applyFont="1" applyFill="1" applyBorder="1" applyAlignment="1" applyProtection="1">
      <alignment horizontal="center" vertical="center" wrapText="1"/>
    </xf>
    <xf numFmtId="1" fontId="1" fillId="4" borderId="0" xfId="0" applyNumberFormat="1" applyFont="1" applyFill="1" applyAlignment="1" applyProtection="1">
      <alignment horizontal="center" vertical="center" wrapText="1"/>
    </xf>
    <xf numFmtId="1" fontId="1" fillId="4" borderId="11" xfId="0" applyNumberFormat="1" applyFont="1" applyFill="1" applyBorder="1" applyAlignment="1" applyProtection="1">
      <alignment horizontal="center" vertical="center" wrapText="1"/>
    </xf>
    <xf numFmtId="0" fontId="0" fillId="6" borderId="0" xfId="0" applyFill="1" applyProtection="1"/>
    <xf numFmtId="49" fontId="4" fillId="6" borderId="0" xfId="0" applyNumberFormat="1" applyFont="1" applyFill="1" applyAlignment="1" applyProtection="1">
      <alignment vertical="center"/>
    </xf>
    <xf numFmtId="0" fontId="3" fillId="6" borderId="0" xfId="0" applyFont="1" applyFill="1" applyAlignment="1" applyProtection="1">
      <alignment horizontal="center" vertical="center" wrapText="1"/>
    </xf>
    <xf numFmtId="0" fontId="12" fillId="6" borderId="0" xfId="0" applyFont="1" applyFill="1" applyAlignment="1" applyProtection="1">
      <alignment horizontal="center"/>
    </xf>
    <xf numFmtId="11" fontId="2" fillId="4" borderId="13" xfId="0" applyNumberFormat="1" applyFont="1" applyFill="1" applyBorder="1" applyAlignment="1" applyProtection="1">
      <alignment vertical="center"/>
    </xf>
    <xf numFmtId="11" fontId="2" fillId="4" borderId="0" xfId="0" applyNumberFormat="1" applyFont="1" applyFill="1" applyAlignment="1" applyProtection="1">
      <alignment horizontal="center" vertical="center"/>
    </xf>
    <xf numFmtId="11" fontId="2" fillId="4" borderId="11" xfId="0" applyNumberFormat="1" applyFont="1" applyFill="1" applyBorder="1" applyAlignment="1" applyProtection="1">
      <alignment horizontal="center" vertical="center"/>
    </xf>
    <xf numFmtId="1" fontId="1" fillId="4" borderId="13" xfId="0" applyNumberFormat="1" applyFont="1" applyFill="1" applyBorder="1" applyAlignment="1" applyProtection="1">
      <alignment horizontal="center" vertical="center"/>
    </xf>
    <xf numFmtId="1" fontId="1" fillId="4" borderId="0" xfId="0" applyNumberFormat="1" applyFont="1" applyFill="1" applyAlignment="1" applyProtection="1">
      <alignment horizontal="center" vertical="center"/>
    </xf>
    <xf numFmtId="1" fontId="1" fillId="4" borderId="11" xfId="0" applyNumberFormat="1" applyFont="1" applyFill="1" applyBorder="1" applyAlignment="1" applyProtection="1">
      <alignment horizontal="center" vertical="center"/>
    </xf>
    <xf numFmtId="0" fontId="22" fillId="6" borderId="0" xfId="0" applyFont="1" applyFill="1" applyAlignment="1" applyProtection="1">
      <alignment horizontal="right" vertical="center"/>
    </xf>
    <xf numFmtId="11" fontId="0" fillId="6" borderId="0" xfId="0" applyNumberFormat="1" applyFill="1" applyAlignment="1" applyProtection="1">
      <alignment horizontal="center" vertical="center"/>
    </xf>
    <xf numFmtId="0" fontId="0" fillId="6" borderId="0" xfId="0" applyFill="1" applyAlignment="1" applyProtection="1">
      <alignment vertical="center"/>
    </xf>
    <xf numFmtId="0" fontId="12" fillId="6" borderId="0" xfId="0" applyFont="1" applyFill="1" applyProtection="1"/>
    <xf numFmtId="165" fontId="0" fillId="6" borderId="0" xfId="0" applyNumberFormat="1" applyFill="1" applyAlignment="1" applyProtection="1">
      <alignment horizontal="center" vertical="center"/>
    </xf>
    <xf numFmtId="166" fontId="0" fillId="6" borderId="0" xfId="0" applyNumberFormat="1" applyFill="1" applyAlignment="1" applyProtection="1">
      <alignment horizontal="center" vertical="center"/>
    </xf>
    <xf numFmtId="0" fontId="23" fillId="6" borderId="0" xfId="0" applyFont="1" applyFill="1" applyAlignment="1" applyProtection="1">
      <alignment horizontal="right"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12" fillId="6" borderId="0" xfId="0" applyFont="1" applyFill="1" applyAlignment="1" applyProtection="1">
      <alignment horizontal="right"/>
    </xf>
    <xf numFmtId="0" fontId="4" fillId="6" borderId="0" xfId="0" applyFont="1" applyFill="1" applyAlignment="1" applyProtection="1">
      <alignment horizontal="left" vertical="center" wrapText="1"/>
    </xf>
    <xf numFmtId="164" fontId="3" fillId="6" borderId="0" xfId="0" applyNumberFormat="1" applyFont="1" applyFill="1" applyAlignment="1" applyProtection="1">
      <alignment horizontal="left" vertical="center"/>
    </xf>
    <xf numFmtId="164" fontId="3" fillId="6" borderId="0" xfId="0" applyNumberFormat="1" applyFont="1" applyFill="1" applyAlignment="1" applyProtection="1">
      <alignment horizontal="center" vertical="center"/>
    </xf>
    <xf numFmtId="0" fontId="3" fillId="6" borderId="0" xfId="0" applyFont="1" applyFill="1" applyAlignment="1" applyProtection="1">
      <alignment vertical="center" wrapText="1"/>
    </xf>
    <xf numFmtId="0" fontId="4" fillId="7" borderId="0" xfId="0" applyFont="1" applyFill="1" applyAlignment="1" applyProtection="1">
      <alignment horizontal="center"/>
    </xf>
    <xf numFmtId="0" fontId="4" fillId="7" borderId="0" xfId="0" applyFont="1" applyFill="1" applyAlignment="1" applyProtection="1">
      <alignment horizontal="right"/>
    </xf>
    <xf numFmtId="0" fontId="3" fillId="7" borderId="0" xfId="0" applyFont="1" applyFill="1" applyAlignment="1" applyProtection="1">
      <alignment horizontal="left"/>
    </xf>
    <xf numFmtId="0" fontId="12" fillId="6" borderId="0" xfId="0" applyFont="1" applyFill="1" applyBorder="1" applyAlignment="1" applyProtection="1">
      <alignment horizontal="center"/>
    </xf>
    <xf numFmtId="0" fontId="1" fillId="4" borderId="0" xfId="0" applyFont="1" applyFill="1" applyAlignment="1" applyProtection="1">
      <alignment horizontal="center"/>
    </xf>
    <xf numFmtId="0" fontId="1" fillId="4" borderId="0" xfId="0" applyFont="1" applyFill="1" applyAlignment="1" applyProtection="1">
      <alignment horizontal="right"/>
    </xf>
    <xf numFmtId="0" fontId="2" fillId="4" borderId="0" xfId="0" applyFont="1" applyFill="1" applyAlignment="1" applyProtection="1">
      <alignment horizontal="left"/>
    </xf>
    <xf numFmtId="11" fontId="0" fillId="6" borderId="0" xfId="0" applyNumberFormat="1" applyFill="1" applyBorder="1" applyAlignment="1" applyProtection="1">
      <alignment horizontal="center"/>
    </xf>
    <xf numFmtId="0" fontId="17" fillId="4" borderId="0" xfId="0" applyFont="1" applyFill="1" applyAlignment="1" applyProtection="1">
      <alignment vertical="center"/>
    </xf>
    <xf numFmtId="0" fontId="1" fillId="4" borderId="0" xfId="0" applyFont="1" applyFill="1" applyAlignment="1" applyProtection="1">
      <alignment horizontal="left"/>
    </xf>
    <xf numFmtId="0" fontId="3" fillId="7" borderId="0" xfId="0" applyFont="1" applyFill="1" applyAlignment="1" applyProtection="1">
      <alignment horizontal="right"/>
    </xf>
    <xf numFmtId="0" fontId="2" fillId="4" borderId="0" xfId="0" applyFont="1" applyFill="1" applyAlignment="1" applyProtection="1">
      <alignment horizontal="center"/>
    </xf>
    <xf numFmtId="0" fontId="2" fillId="4" borderId="0" xfId="0" applyFont="1" applyFill="1" applyAlignment="1" applyProtection="1">
      <alignment horizontal="right"/>
    </xf>
    <xf numFmtId="0" fontId="2" fillId="7" borderId="0" xfId="0" applyFont="1" applyFill="1" applyAlignment="1" applyProtection="1">
      <alignment horizontal="left"/>
    </xf>
    <xf numFmtId="0" fontId="1" fillId="7" borderId="0" xfId="0" applyFont="1" applyFill="1" applyAlignment="1" applyProtection="1">
      <alignment horizontal="center"/>
    </xf>
    <xf numFmtId="0" fontId="1" fillId="7" borderId="0" xfId="0" applyFont="1" applyFill="1" applyAlignment="1" applyProtection="1">
      <alignment horizontal="left"/>
    </xf>
    <xf numFmtId="0" fontId="3" fillId="6" borderId="0" xfId="0" applyFont="1" applyFill="1" applyAlignment="1" applyProtection="1">
      <alignment horizontal="center"/>
    </xf>
    <xf numFmtId="0" fontId="4" fillId="6" borderId="0" xfId="0" applyFont="1" applyFill="1" applyAlignment="1" applyProtection="1">
      <alignment horizontal="center"/>
    </xf>
    <xf numFmtId="0" fontId="4" fillId="6" borderId="0" xfId="0" applyFont="1" applyFill="1" applyAlignment="1" applyProtection="1">
      <alignment horizontal="center" wrapText="1"/>
    </xf>
    <xf numFmtId="0" fontId="3" fillId="6" borderId="0" xfId="0" applyFont="1" applyFill="1" applyAlignment="1" applyProtection="1">
      <alignment horizontal="center" wrapText="1"/>
    </xf>
    <xf numFmtId="0" fontId="3" fillId="6" borderId="9" xfId="0" applyFont="1" applyFill="1" applyBorder="1" applyAlignment="1" applyProtection="1">
      <alignment horizontal="center"/>
    </xf>
    <xf numFmtId="0" fontId="3" fillId="6" borderId="28" xfId="0" applyFont="1" applyFill="1" applyBorder="1" applyAlignment="1" applyProtection="1">
      <alignment horizontal="center"/>
    </xf>
    <xf numFmtId="0" fontId="3" fillId="6" borderId="10" xfId="0" applyFont="1" applyFill="1" applyBorder="1" applyAlignment="1" applyProtection="1">
      <alignment horizontal="center"/>
    </xf>
    <xf numFmtId="0" fontId="3" fillId="6" borderId="0" xfId="0" applyFont="1" applyFill="1" applyAlignment="1" applyProtection="1">
      <alignment horizontal="left"/>
    </xf>
    <xf numFmtId="0" fontId="4" fillId="6" borderId="10" xfId="0" applyFont="1" applyFill="1" applyBorder="1" applyAlignment="1" applyProtection="1">
      <alignment horizontal="center"/>
    </xf>
    <xf numFmtId="0" fontId="3" fillId="6" borderId="2" xfId="0" applyFont="1" applyFill="1" applyBorder="1" applyAlignment="1" applyProtection="1">
      <alignment horizontal="center"/>
    </xf>
    <xf numFmtId="11" fontId="3" fillId="6" borderId="0" xfId="0" applyNumberFormat="1" applyFont="1" applyFill="1" applyAlignment="1" applyProtection="1">
      <alignment horizontal="center"/>
    </xf>
    <xf numFmtId="0" fontId="0" fillId="6" borderId="0" xfId="0" quotePrefix="1" applyFill="1" applyAlignment="1" applyProtection="1">
      <alignment horizontal="center"/>
    </xf>
    <xf numFmtId="0" fontId="0" fillId="6" borderId="0" xfId="0" applyFill="1" applyAlignment="1" applyProtection="1">
      <alignment horizontal="right"/>
    </xf>
    <xf numFmtId="0" fontId="3" fillId="6" borderId="8" xfId="0" applyFont="1" applyFill="1" applyBorder="1" applyAlignment="1" applyProtection="1">
      <alignment horizontal="center"/>
    </xf>
    <xf numFmtId="11" fontId="0" fillId="6" borderId="0" xfId="0" applyNumberFormat="1" applyFill="1" applyProtection="1"/>
    <xf numFmtId="164" fontId="0" fillId="6" borderId="0" xfId="0" applyNumberFormat="1" applyFill="1" applyAlignment="1" applyProtection="1">
      <alignment horizontal="center"/>
    </xf>
    <xf numFmtId="0" fontId="0" fillId="6" borderId="0" xfId="0" applyFill="1" applyAlignment="1" applyProtection="1">
      <alignment horizontal="left" vertical="top" wrapText="1"/>
    </xf>
    <xf numFmtId="0" fontId="17" fillId="6" borderId="0" xfId="0" applyFont="1" applyFill="1" applyAlignment="1" applyProtection="1">
      <alignment horizontal="center" vertical="center"/>
    </xf>
    <xf numFmtId="0" fontId="17" fillId="4" borderId="0" xfId="0" applyFont="1" applyFill="1" applyAlignment="1" applyProtection="1">
      <alignment horizontal="left" vertical="center"/>
    </xf>
    <xf numFmtId="49" fontId="3" fillId="6" borderId="0" xfId="0" applyNumberFormat="1" applyFont="1" applyFill="1" applyAlignment="1" applyProtection="1">
      <alignment horizontal="center" vertical="center"/>
    </xf>
    <xf numFmtId="49" fontId="3" fillId="6" borderId="0" xfId="0" applyNumberFormat="1" applyFont="1" applyFill="1" applyAlignment="1" applyProtection="1">
      <alignment horizontal="left" vertical="center"/>
    </xf>
    <xf numFmtId="0" fontId="0" fillId="7" borderId="0" xfId="0" applyFill="1" applyAlignment="1" applyProtection="1">
      <alignment horizontal="center" vertical="center"/>
    </xf>
    <xf numFmtId="0" fontId="0" fillId="6" borderId="0" xfId="0" applyFill="1" applyAlignment="1" applyProtection="1">
      <alignment horizontal="left" vertical="center"/>
    </xf>
    <xf numFmtId="0" fontId="1" fillId="6" borderId="0" xfId="0" applyFont="1" applyFill="1" applyAlignment="1" applyProtection="1">
      <alignment horizontal="left" vertical="center"/>
    </xf>
    <xf numFmtId="0" fontId="2" fillId="6" borderId="0" xfId="0" applyFont="1" applyFill="1" applyAlignment="1" applyProtection="1">
      <alignment horizontal="left" vertical="center"/>
    </xf>
    <xf numFmtId="0" fontId="10" fillId="6" borderId="0" xfId="0" applyFont="1" applyFill="1" applyAlignment="1" applyProtection="1">
      <alignment horizontal="center" vertical="center"/>
    </xf>
    <xf numFmtId="0" fontId="9" fillId="6" borderId="0" xfId="1" applyFill="1" applyAlignment="1" applyProtection="1">
      <alignment horizontal="center" vertical="center" wrapText="1"/>
    </xf>
    <xf numFmtId="0" fontId="3" fillId="6" borderId="9" xfId="0" applyFont="1" applyFill="1" applyBorder="1" applyAlignment="1" applyProtection="1">
      <alignment horizontal="center" vertical="center"/>
    </xf>
    <xf numFmtId="0" fontId="3" fillId="6" borderId="8" xfId="0" applyFont="1" applyFill="1" applyBorder="1" applyAlignment="1" applyProtection="1">
      <alignment horizontal="center" vertical="center"/>
    </xf>
    <xf numFmtId="11" fontId="3" fillId="6" borderId="9" xfId="0" applyNumberFormat="1" applyFont="1" applyFill="1" applyBorder="1" applyAlignment="1" applyProtection="1">
      <alignment horizontal="center" vertical="center"/>
    </xf>
    <xf numFmtId="0" fontId="3" fillId="6" borderId="2" xfId="0" applyFont="1" applyFill="1" applyBorder="1" applyAlignment="1" applyProtection="1">
      <alignment horizontal="left" vertical="center"/>
    </xf>
    <xf numFmtId="167" fontId="3" fillId="6" borderId="10" xfId="0" applyNumberFormat="1"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167" fontId="3" fillId="6" borderId="2" xfId="0" applyNumberFormat="1" applyFont="1" applyFill="1" applyBorder="1" applyAlignment="1" applyProtection="1">
      <alignment horizontal="center" vertical="center"/>
    </xf>
    <xf numFmtId="0" fontId="3" fillId="6" borderId="1" xfId="0" applyFont="1" applyFill="1" applyBorder="1" applyAlignment="1" applyProtection="1">
      <alignment horizontal="right"/>
    </xf>
    <xf numFmtId="0" fontId="3" fillId="6" borderId="29" xfId="0" applyFont="1" applyFill="1" applyBorder="1" applyAlignment="1" applyProtection="1">
      <alignment horizontal="center" vertical="center"/>
    </xf>
    <xf numFmtId="0" fontId="22" fillId="6" borderId="14" xfId="0" applyFont="1" applyFill="1" applyBorder="1" applyAlignment="1" applyProtection="1">
      <alignment horizontal="right" vertical="center"/>
    </xf>
    <xf numFmtId="0" fontId="3" fillId="6" borderId="1" xfId="0" applyFont="1" applyFill="1" applyBorder="1" applyAlignment="1" applyProtection="1">
      <alignment horizontal="left" vertical="center"/>
    </xf>
    <xf numFmtId="10" fontId="0" fillId="6" borderId="0" xfId="0" applyNumberFormat="1" applyFill="1" applyAlignment="1" applyProtection="1">
      <alignment horizontal="left" vertical="center"/>
    </xf>
    <xf numFmtId="167" fontId="0" fillId="6" borderId="2" xfId="0" applyNumberFormat="1" applyFill="1" applyBorder="1" applyAlignment="1" applyProtection="1">
      <alignment horizontal="center" vertical="center"/>
    </xf>
    <xf numFmtId="0" fontId="25" fillId="6" borderId="0" xfId="0" applyFont="1" applyFill="1" applyAlignment="1" applyProtection="1">
      <alignment horizontal="right" vertical="center"/>
    </xf>
    <xf numFmtId="0" fontId="25" fillId="6" borderId="0" xfId="0" applyFont="1" applyFill="1"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right" vertical="center"/>
    </xf>
    <xf numFmtId="0" fontId="3" fillId="7" borderId="0" xfId="0" applyFont="1" applyFill="1" applyBorder="1" applyAlignment="1" applyProtection="1">
      <alignment horizontal="left" vertical="center"/>
    </xf>
    <xf numFmtId="0" fontId="2" fillId="4"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4" fillId="10" borderId="0" xfId="0" applyFont="1" applyFill="1" applyBorder="1" applyAlignment="1" applyProtection="1">
      <alignment horizontal="left" vertical="center"/>
    </xf>
    <xf numFmtId="0" fontId="3" fillId="10" borderId="0" xfId="0" applyFont="1" applyFill="1" applyBorder="1" applyAlignment="1" applyProtection="1">
      <alignment horizontal="left" vertical="center"/>
    </xf>
    <xf numFmtId="0" fontId="0" fillId="6" borderId="0" xfId="0" applyFont="1" applyFill="1" applyAlignment="1" applyProtection="1">
      <alignment vertical="center"/>
    </xf>
    <xf numFmtId="49" fontId="4" fillId="6" borderId="0" xfId="0" applyNumberFormat="1" applyFont="1" applyFill="1" applyAlignment="1" applyProtection="1">
      <alignment horizontal="left" vertical="center"/>
    </xf>
    <xf numFmtId="0" fontId="3" fillId="6" borderId="0" xfId="0" applyFont="1" applyFill="1" applyBorder="1" applyAlignment="1" applyProtection="1">
      <alignment horizontal="left" vertical="center" wrapText="1"/>
    </xf>
    <xf numFmtId="0" fontId="18" fillId="6" borderId="0" xfId="0" applyFont="1" applyFill="1" applyBorder="1" applyAlignment="1" applyProtection="1">
      <alignment horizontal="left" vertical="center"/>
    </xf>
    <xf numFmtId="49" fontId="3" fillId="6" borderId="0" xfId="0" applyNumberFormat="1" applyFont="1" applyFill="1" applyBorder="1" applyAlignment="1" applyProtection="1">
      <alignment horizontal="center" vertical="center"/>
    </xf>
    <xf numFmtId="0" fontId="21" fillId="6" borderId="0" xfId="0" applyFont="1" applyFill="1" applyAlignment="1" applyProtection="1">
      <alignment horizontal="right" vertical="center"/>
    </xf>
    <xf numFmtId="0" fontId="1" fillId="4" borderId="0" xfId="0" applyFont="1" applyFill="1" applyBorder="1" applyAlignment="1" applyProtection="1">
      <alignment horizontal="left" vertical="center"/>
    </xf>
    <xf numFmtId="0" fontId="4" fillId="4" borderId="0" xfId="0" applyFont="1" applyFill="1" applyBorder="1" applyAlignment="1" applyProtection="1">
      <alignment horizontal="center" vertical="center"/>
    </xf>
    <xf numFmtId="0" fontId="9" fillId="6" borderId="0" xfId="1" applyFill="1" applyBorder="1" applyAlignment="1" applyProtection="1">
      <alignment horizontal="left" vertical="center"/>
    </xf>
    <xf numFmtId="0" fontId="4" fillId="5" borderId="0" xfId="0" applyFont="1" applyFill="1" applyBorder="1" applyAlignment="1" applyProtection="1">
      <alignment horizontal="left" vertical="center"/>
    </xf>
    <xf numFmtId="0" fontId="4" fillId="8" borderId="0" xfId="0" applyFont="1" applyFill="1" applyBorder="1" applyAlignment="1" applyProtection="1">
      <alignment horizontal="center" vertical="center"/>
    </xf>
    <xf numFmtId="0" fontId="3" fillId="8" borderId="0" xfId="0" applyFont="1" applyFill="1" applyAlignment="1" applyProtection="1">
      <alignment horizontal="left" vertical="center"/>
    </xf>
    <xf numFmtId="0" fontId="3" fillId="5" borderId="0"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4" fillId="2" borderId="0"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3" fillId="2" borderId="0" xfId="0" applyFont="1" applyFill="1" applyBorder="1" applyAlignment="1" applyProtection="1">
      <alignment horizontal="left" vertical="center"/>
    </xf>
    <xf numFmtId="0" fontId="4" fillId="3" borderId="0" xfId="0" applyFont="1" applyFill="1" applyBorder="1" applyAlignment="1" applyProtection="1">
      <alignment horizontal="left" vertical="center"/>
    </xf>
    <xf numFmtId="0" fontId="4" fillId="3" borderId="0" xfId="0" applyFont="1" applyFill="1" applyBorder="1" applyAlignment="1" applyProtection="1">
      <alignment horizontal="center" vertical="center"/>
    </xf>
    <xf numFmtId="0" fontId="3" fillId="3" borderId="0" xfId="0" applyFont="1" applyFill="1" applyBorder="1" applyAlignment="1" applyProtection="1">
      <alignment horizontal="left" vertical="center"/>
    </xf>
    <xf numFmtId="0" fontId="4" fillId="6" borderId="0" xfId="0" applyFont="1" applyFill="1" applyBorder="1" applyAlignment="1" applyProtection="1">
      <alignment horizontal="left" vertical="center"/>
    </xf>
    <xf numFmtId="0" fontId="18" fillId="6" borderId="0" xfId="0" applyFont="1" applyFill="1" applyBorder="1" applyAlignment="1" applyProtection="1">
      <alignment horizontal="center" vertical="center"/>
    </xf>
    <xf numFmtId="0" fontId="5" fillId="7" borderId="0" xfId="0" applyFont="1" applyFill="1" applyBorder="1" applyAlignment="1" applyProtection="1">
      <alignment horizontal="center" vertical="center"/>
    </xf>
    <xf numFmtId="0" fontId="4" fillId="7" borderId="0" xfId="0" applyFont="1" applyFill="1" applyBorder="1" applyAlignment="1" applyProtection="1">
      <alignment horizontal="center" vertical="center"/>
    </xf>
    <xf numFmtId="0" fontId="4" fillId="7" borderId="0" xfId="0" applyFont="1" applyFill="1" applyBorder="1" applyAlignment="1" applyProtection="1">
      <alignment horizontal="right" vertical="center"/>
    </xf>
    <xf numFmtId="0" fontId="17" fillId="4" borderId="0" xfId="0"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3" fillId="4" borderId="0" xfId="0" applyFont="1" applyFill="1" applyBorder="1" applyAlignment="1" applyProtection="1">
      <alignment horizontal="left" vertical="center"/>
    </xf>
    <xf numFmtId="0" fontId="16" fillId="6" borderId="0" xfId="0" quotePrefix="1"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7" borderId="0" xfId="0" applyFont="1" applyFill="1" applyBorder="1" applyAlignment="1" applyProtection="1">
      <alignment horizontal="right" vertical="center"/>
    </xf>
    <xf numFmtId="0" fontId="4" fillId="6" borderId="0" xfId="0" quotePrefix="1" applyFont="1" applyFill="1" applyBorder="1" applyAlignment="1" applyProtection="1">
      <alignment horizontal="center" vertical="center"/>
    </xf>
    <xf numFmtId="0" fontId="4" fillId="7" borderId="0" xfId="0" applyFont="1" applyFill="1" applyBorder="1" applyAlignment="1" applyProtection="1">
      <alignment horizontal="left" vertical="center"/>
    </xf>
    <xf numFmtId="0" fontId="5" fillId="6" borderId="0" xfId="0" applyFont="1" applyFill="1" applyBorder="1" applyAlignment="1" applyProtection="1">
      <alignment horizontal="center" vertical="center"/>
    </xf>
    <xf numFmtId="0" fontId="12" fillId="6" borderId="0" xfId="0" applyFont="1" applyFill="1" applyAlignment="1" applyProtection="1">
      <alignment vertical="center"/>
    </xf>
    <xf numFmtId="0" fontId="3" fillId="6" borderId="21" xfId="0" applyFont="1" applyFill="1" applyBorder="1" applyAlignment="1" applyProtection="1">
      <alignment horizontal="left" vertical="center"/>
    </xf>
    <xf numFmtId="0" fontId="3" fillId="6" borderId="22" xfId="0" applyFont="1" applyFill="1" applyBorder="1" applyAlignment="1" applyProtection="1">
      <alignment horizontal="left" vertical="center" wrapText="1"/>
    </xf>
    <xf numFmtId="0" fontId="3" fillId="6" borderId="27" xfId="0" applyFont="1" applyFill="1" applyBorder="1" applyAlignment="1" applyProtection="1">
      <alignment horizontal="left" vertical="center" wrapText="1"/>
    </xf>
    <xf numFmtId="0" fontId="3" fillId="6" borderId="23" xfId="0" applyFont="1" applyFill="1" applyBorder="1" applyAlignment="1" applyProtection="1">
      <alignment horizontal="left" vertical="center"/>
    </xf>
    <xf numFmtId="0" fontId="3" fillId="6" borderId="24" xfId="0" applyFont="1" applyFill="1" applyBorder="1" applyAlignment="1" applyProtection="1">
      <alignment horizontal="left" vertical="center" wrapText="1"/>
    </xf>
    <xf numFmtId="0" fontId="3" fillId="6" borderId="25" xfId="0" applyFont="1" applyFill="1" applyBorder="1" applyAlignment="1" applyProtection="1">
      <alignment horizontal="left" vertical="center" wrapText="1"/>
    </xf>
    <xf numFmtId="0" fontId="3" fillId="6" borderId="0" xfId="0" applyFont="1" applyFill="1" applyBorder="1" applyAlignment="1" applyProtection="1">
      <alignment horizontal="right" vertical="center"/>
    </xf>
    <xf numFmtId="0" fontId="3" fillId="6" borderId="1" xfId="0" applyFont="1" applyFill="1" applyBorder="1" applyAlignment="1" applyProtection="1">
      <alignment horizontal="center" vertical="center"/>
    </xf>
    <xf numFmtId="0" fontId="3" fillId="6" borderId="14" xfId="0" applyFont="1" applyFill="1" applyBorder="1" applyAlignment="1" applyProtection="1">
      <alignment horizontal="left" vertical="center"/>
    </xf>
    <xf numFmtId="0" fontId="3" fillId="6" borderId="1" xfId="0" applyFont="1" applyFill="1" applyBorder="1" applyAlignment="1" applyProtection="1">
      <alignment horizontal="left" vertical="center" wrapText="1"/>
    </xf>
    <xf numFmtId="167" fontId="3" fillId="6" borderId="0" xfId="0" applyNumberFormat="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5" fillId="6" borderId="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wrapText="1"/>
    </xf>
    <xf numFmtId="11" fontId="3" fillId="6" borderId="0" xfId="0" applyNumberFormat="1" applyFont="1" applyFill="1" applyBorder="1" applyAlignment="1" applyProtection="1">
      <alignment horizontal="center" vertical="center"/>
    </xf>
    <xf numFmtId="0" fontId="3" fillId="6" borderId="0" xfId="0" applyNumberFormat="1" applyFont="1" applyFill="1" applyBorder="1" applyAlignment="1" applyProtection="1">
      <alignment horizontal="center" vertical="center"/>
    </xf>
    <xf numFmtId="1" fontId="3" fillId="6" borderId="0" xfId="0" applyNumberFormat="1" applyFont="1" applyFill="1" applyBorder="1" applyAlignment="1" applyProtection="1">
      <alignment horizontal="center" vertical="center"/>
    </xf>
    <xf numFmtId="11" fontId="3" fillId="6" borderId="2" xfId="0" applyNumberFormat="1" applyFont="1" applyFill="1" applyBorder="1" applyAlignment="1" applyProtection="1">
      <alignment horizontal="center" vertical="center"/>
    </xf>
    <xf numFmtId="0" fontId="0" fillId="6" borderId="0" xfId="0" applyFill="1" applyBorder="1" applyAlignment="1" applyProtection="1">
      <alignment horizontal="center" vertical="center"/>
    </xf>
    <xf numFmtId="166" fontId="3" fillId="6" borderId="0" xfId="0" applyNumberFormat="1" applyFont="1" applyFill="1" applyAlignment="1" applyProtection="1">
      <alignment horizontal="center" vertical="center"/>
    </xf>
    <xf numFmtId="0" fontId="3" fillId="6" borderId="0" xfId="0" applyFont="1" applyFill="1" applyBorder="1" applyAlignment="1" applyProtection="1">
      <alignment vertical="center" wrapText="1"/>
    </xf>
    <xf numFmtId="11" fontId="3" fillId="6" borderId="0" xfId="0" applyNumberFormat="1" applyFont="1" applyFill="1" applyAlignment="1">
      <alignment horizontal="right" vertical="center"/>
    </xf>
    <xf numFmtId="11" fontId="3" fillId="6" borderId="2" xfId="0" applyNumberFormat="1" applyFont="1" applyFill="1" applyBorder="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xf>
    <xf numFmtId="11" fontId="3" fillId="6" borderId="0" xfId="0" applyNumberFormat="1" applyFont="1" applyFill="1" applyAlignment="1">
      <alignment horizontal="center" vertical="center"/>
    </xf>
    <xf numFmtId="164" fontId="3" fillId="6" borderId="0" xfId="0" applyNumberFormat="1" applyFont="1" applyFill="1" applyAlignment="1">
      <alignment horizontal="left" vertical="center"/>
    </xf>
    <xf numFmtId="0" fontId="19" fillId="6" borderId="0" xfId="0" applyFont="1" applyFill="1" applyBorder="1" applyAlignment="1" applyProtection="1">
      <alignment horizontal="left" vertical="center" wrapText="1"/>
    </xf>
    <xf numFmtId="0" fontId="16" fillId="6" borderId="0" xfId="0" applyFont="1" applyFill="1" applyBorder="1" applyAlignment="1" applyProtection="1">
      <alignment horizontal="center" vertical="center"/>
    </xf>
    <xf numFmtId="0" fontId="3" fillId="6" borderId="0" xfId="0" applyFont="1" applyFill="1" applyBorder="1" applyAlignment="1" applyProtection="1">
      <alignment horizontal="center" vertical="center"/>
    </xf>
    <xf numFmtId="0" fontId="3" fillId="7" borderId="0" xfId="0" applyFont="1" applyFill="1" applyBorder="1" applyAlignment="1" applyProtection="1">
      <alignment horizontal="center" vertical="center"/>
    </xf>
    <xf numFmtId="0" fontId="5" fillId="6" borderId="0" xfId="0" applyFont="1" applyFill="1" applyBorder="1" applyAlignment="1" applyProtection="1">
      <alignment horizontal="center" vertical="center"/>
    </xf>
    <xf numFmtId="0" fontId="17" fillId="4" borderId="0" xfId="0" applyFont="1" applyFill="1" applyAlignment="1" applyProtection="1">
      <alignment horizontal="center" vertical="center"/>
    </xf>
    <xf numFmtId="0" fontId="17" fillId="4" borderId="0" xfId="0"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49" fontId="3" fillId="6" borderId="2" xfId="0" applyNumberFormat="1" applyFont="1" applyFill="1" applyBorder="1" applyAlignment="1" applyProtection="1">
      <alignment horizontal="center" vertical="center"/>
    </xf>
    <xf numFmtId="0" fontId="3" fillId="6" borderId="3" xfId="0" applyFont="1" applyFill="1" applyBorder="1" applyAlignment="1" applyProtection="1">
      <alignment horizontal="center" vertical="center"/>
    </xf>
    <xf numFmtId="0" fontId="3" fillId="6" borderId="5" xfId="0" applyFont="1" applyFill="1" applyBorder="1" applyAlignment="1" applyProtection="1">
      <alignment horizontal="center" vertical="center"/>
    </xf>
    <xf numFmtId="0" fontId="20" fillId="6" borderId="0" xfId="0" applyFont="1" applyFill="1" applyBorder="1" applyAlignment="1" applyProtection="1">
      <alignment horizontal="center" vertical="center" wrapText="1"/>
    </xf>
    <xf numFmtId="0" fontId="20" fillId="6" borderId="0" xfId="0" applyFont="1" applyFill="1" applyBorder="1" applyAlignment="1" applyProtection="1">
      <alignment horizontal="center" vertical="center"/>
    </xf>
    <xf numFmtId="0" fontId="3" fillId="6" borderId="4" xfId="0" applyFont="1" applyFill="1" applyBorder="1" applyAlignment="1" applyProtection="1">
      <alignment horizontal="center" vertical="center"/>
    </xf>
    <xf numFmtId="49" fontId="3" fillId="6" borderId="2" xfId="1" applyNumberFormat="1" applyFont="1" applyFill="1" applyBorder="1" applyAlignment="1" applyProtection="1">
      <alignment horizontal="center" vertical="center"/>
    </xf>
    <xf numFmtId="0" fontId="17" fillId="4" borderId="0" xfId="0" applyFont="1" applyFill="1" applyBorder="1" applyAlignment="1" applyProtection="1">
      <alignment horizontal="left" vertical="center"/>
    </xf>
    <xf numFmtId="0" fontId="3" fillId="6" borderId="0" xfId="0" applyFont="1" applyFill="1" applyBorder="1" applyAlignment="1" applyProtection="1">
      <alignment horizontal="right" vertical="center"/>
    </xf>
    <xf numFmtId="0" fontId="3" fillId="6" borderId="11" xfId="0" applyFont="1" applyFill="1" applyBorder="1" applyAlignment="1" applyProtection="1">
      <alignment horizontal="right" vertical="center"/>
    </xf>
    <xf numFmtId="0" fontId="3" fillId="6" borderId="1" xfId="0" applyFont="1" applyFill="1" applyBorder="1" applyAlignment="1" applyProtection="1">
      <alignment horizontal="right" vertical="center"/>
    </xf>
    <xf numFmtId="0" fontId="4" fillId="6" borderId="8" xfId="0" applyFont="1" applyFill="1" applyBorder="1" applyAlignment="1" applyProtection="1">
      <alignment horizontal="center" vertical="center"/>
    </xf>
    <xf numFmtId="0" fontId="4" fillId="6" borderId="10" xfId="0" applyFont="1" applyFill="1" applyBorder="1" applyAlignment="1" applyProtection="1">
      <alignment horizontal="center" vertical="center"/>
    </xf>
    <xf numFmtId="0" fontId="4" fillId="6" borderId="14"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19" xfId="0" applyFont="1" applyFill="1" applyBorder="1" applyAlignment="1" applyProtection="1">
      <alignment horizontal="center" vertical="center"/>
    </xf>
    <xf numFmtId="0" fontId="4" fillId="6" borderId="20" xfId="0"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4" fillId="6" borderId="7" xfId="0" applyFont="1" applyFill="1" applyBorder="1" applyAlignment="1" applyProtection="1">
      <alignment horizontal="center" vertical="center"/>
    </xf>
    <xf numFmtId="0" fontId="5" fillId="9" borderId="15" xfId="0" applyFont="1" applyFill="1" applyBorder="1" applyAlignment="1" applyProtection="1">
      <alignment horizontal="center" vertical="center"/>
    </xf>
    <xf numFmtId="0" fontId="5" fillId="9" borderId="6" xfId="0" applyFont="1" applyFill="1" applyBorder="1" applyAlignment="1" applyProtection="1">
      <alignment horizontal="center" vertical="center"/>
    </xf>
    <xf numFmtId="0" fontId="5" fillId="9" borderId="16" xfId="0" applyFont="1" applyFill="1" applyBorder="1" applyAlignment="1" applyProtection="1">
      <alignment horizontal="center" vertical="center"/>
    </xf>
    <xf numFmtId="0" fontId="5" fillId="9" borderId="17" xfId="0" applyFont="1" applyFill="1" applyBorder="1" applyAlignment="1" applyProtection="1">
      <alignment horizontal="center" vertical="center"/>
    </xf>
    <xf numFmtId="0" fontId="5" fillId="9" borderId="7" xfId="0" applyFont="1" applyFill="1" applyBorder="1" applyAlignment="1" applyProtection="1">
      <alignment horizontal="center" vertical="center"/>
    </xf>
    <xf numFmtId="0" fontId="5" fillId="9" borderId="18"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5" fillId="6" borderId="2" xfId="0" applyFont="1" applyFill="1" applyBorder="1" applyAlignment="1" applyProtection="1">
      <alignment horizontal="center" vertical="center"/>
    </xf>
    <xf numFmtId="0" fontId="3" fillId="6" borderId="0" xfId="0" applyFont="1" applyFill="1" applyAlignment="1" applyProtection="1">
      <alignment horizontal="left" vertical="center" wrapText="1"/>
    </xf>
    <xf numFmtId="0" fontId="0" fillId="0" borderId="0" xfId="0" applyAlignment="1" applyProtection="1">
      <alignment horizontal="left" vertical="center" wrapText="1"/>
    </xf>
    <xf numFmtId="0" fontId="3" fillId="6" borderId="0" xfId="0" applyFont="1" applyFill="1" applyAlignment="1" applyProtection="1">
      <alignment horizontal="center" vertical="center"/>
    </xf>
    <xf numFmtId="0" fontId="3" fillId="6" borderId="8" xfId="0" applyFont="1" applyFill="1" applyBorder="1" applyAlignment="1" applyProtection="1">
      <alignment horizontal="center" vertical="center"/>
    </xf>
    <xf numFmtId="0" fontId="3" fillId="6" borderId="19" xfId="0" applyFont="1" applyFill="1" applyBorder="1" applyAlignment="1" applyProtection="1">
      <alignment horizontal="center" vertical="center"/>
    </xf>
    <xf numFmtId="0" fontId="3" fillId="6" borderId="20" xfId="0" applyFont="1" applyFill="1" applyBorder="1" applyAlignment="1" applyProtection="1">
      <alignment horizontal="center" vertical="center"/>
    </xf>
    <xf numFmtId="0" fontId="3" fillId="6" borderId="2" xfId="0" applyFont="1" applyFill="1" applyBorder="1" applyAlignment="1" applyProtection="1">
      <alignment horizontal="center" vertical="center"/>
    </xf>
    <xf numFmtId="0" fontId="0" fillId="0" borderId="5" xfId="0" applyBorder="1" applyAlignment="1" applyProtection="1">
      <alignment horizontal="center" vertical="center"/>
    </xf>
    <xf numFmtId="49" fontId="3" fillId="6" borderId="3" xfId="0" applyNumberFormat="1" applyFont="1" applyFill="1" applyBorder="1" applyAlignment="1" applyProtection="1">
      <alignment vertical="center"/>
    </xf>
    <xf numFmtId="49" fontId="3" fillId="6" borderId="4" xfId="0" applyNumberFormat="1" applyFont="1" applyFill="1" applyBorder="1" applyAlignment="1" applyProtection="1">
      <alignment vertical="center"/>
    </xf>
    <xf numFmtId="49" fontId="3" fillId="6" borderId="5" xfId="0" applyNumberFormat="1" applyFont="1" applyFill="1" applyBorder="1" applyAlignment="1" applyProtection="1">
      <alignment vertical="center"/>
    </xf>
    <xf numFmtId="0" fontId="3" fillId="4" borderId="0" xfId="0" applyFont="1" applyFill="1" applyBorder="1" applyAlignment="1" applyProtection="1">
      <alignment horizontal="center" vertical="center"/>
    </xf>
    <xf numFmtId="0" fontId="3" fillId="7" borderId="0" xfId="0" applyFont="1" applyFill="1" applyAlignment="1" applyProtection="1">
      <alignment horizontal="center" vertical="center"/>
    </xf>
    <xf numFmtId="0" fontId="5" fillId="6" borderId="0" xfId="0" applyFont="1" applyFill="1" applyAlignment="1" applyProtection="1">
      <alignment horizontal="center" vertical="center"/>
    </xf>
    <xf numFmtId="0" fontId="1" fillId="8" borderId="0" xfId="0" applyFont="1" applyFill="1" applyBorder="1" applyAlignment="1" applyProtection="1">
      <alignment horizontal="left" vertical="center" wrapText="1"/>
    </xf>
    <xf numFmtId="0" fontId="16" fillId="6" borderId="0" xfId="0" quotePrefix="1" applyFont="1" applyFill="1" applyBorder="1" applyAlignment="1" applyProtection="1">
      <alignment horizontal="center" vertical="center"/>
    </xf>
    <xf numFmtId="0" fontId="3" fillId="6" borderId="0" xfId="0" applyFont="1" applyFill="1" applyAlignment="1" applyProtection="1">
      <alignment horizontal="left" vertical="center"/>
    </xf>
    <xf numFmtId="0" fontId="12" fillId="6" borderId="0" xfId="0" applyFont="1" applyFill="1" applyAlignment="1" applyProtection="1">
      <alignment horizontal="left" vertical="center"/>
    </xf>
    <xf numFmtId="0" fontId="0" fillId="6" borderId="0" xfId="0" applyFill="1" applyAlignment="1" applyProtection="1">
      <alignment horizontal="right" vertical="center"/>
    </xf>
    <xf numFmtId="0" fontId="3" fillId="6" borderId="0" xfId="0" applyFont="1" applyFill="1" applyAlignment="1" applyProtection="1">
      <alignment horizontal="right" vertical="center"/>
    </xf>
    <xf numFmtId="0" fontId="3" fillId="4" borderId="0" xfId="0" applyFont="1" applyFill="1" applyAlignment="1" applyProtection="1">
      <alignment horizontal="center" vertical="center"/>
    </xf>
    <xf numFmtId="0" fontId="3" fillId="6" borderId="0" xfId="0" applyFont="1" applyFill="1" applyBorder="1" applyAlignment="1" applyProtection="1">
      <alignment horizontal="left" vertical="center" wrapText="1"/>
    </xf>
    <xf numFmtId="0" fontId="4" fillId="6" borderId="0" xfId="0" applyFont="1" applyFill="1" applyAlignment="1" applyProtection="1">
      <alignment horizontal="right" vertical="center"/>
    </xf>
    <xf numFmtId="0" fontId="12" fillId="6" borderId="0" xfId="0" applyFont="1" applyFill="1" applyAlignment="1" applyProtection="1">
      <alignment horizontal="center"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4" fillId="6" borderId="0" xfId="0" applyFont="1" applyFill="1" applyAlignment="1" applyProtection="1">
      <alignment horizontal="center" vertical="center"/>
    </xf>
    <xf numFmtId="0" fontId="3" fillId="6" borderId="0" xfId="0" applyFont="1" applyFill="1" applyAlignment="1" applyProtection="1">
      <alignment horizontal="center" vertical="center" wrapText="1"/>
    </xf>
    <xf numFmtId="0" fontId="3" fillId="6" borderId="0" xfId="0" applyFont="1" applyFill="1" applyBorder="1" applyAlignment="1" applyProtection="1">
      <alignment horizontal="left" vertical="center"/>
    </xf>
    <xf numFmtId="0" fontId="3" fillId="6" borderId="0" xfId="0" applyFont="1" applyFill="1" applyAlignment="1" applyProtection="1">
      <alignment vertical="center" wrapText="1"/>
    </xf>
    <xf numFmtId="0" fontId="5" fillId="9" borderId="0" xfId="0" applyFont="1" applyFill="1" applyAlignment="1" applyProtection="1">
      <alignment horizontal="center" vertical="center"/>
    </xf>
    <xf numFmtId="0" fontId="4" fillId="6" borderId="0" xfId="0" applyFont="1" applyFill="1" applyBorder="1" applyAlignment="1" applyProtection="1">
      <alignment horizontal="right" vertical="center"/>
    </xf>
    <xf numFmtId="0" fontId="0" fillId="0" borderId="6" xfId="0" applyBorder="1" applyAlignment="1" applyProtection="1">
      <alignment horizontal="center" vertical="center"/>
    </xf>
    <xf numFmtId="0" fontId="0" fillId="0" borderId="0" xfId="0" applyAlignment="1" applyProtection="1">
      <alignment horizontal="center" vertical="center"/>
    </xf>
    <xf numFmtId="0" fontId="12" fillId="6" borderId="14" xfId="0" applyFont="1" applyFill="1" applyBorder="1" applyAlignment="1" applyProtection="1">
      <alignment horizontal="center" vertical="center"/>
    </xf>
    <xf numFmtId="0" fontId="12" fillId="6" borderId="1" xfId="0" applyFont="1" applyFill="1" applyBorder="1" applyAlignment="1" applyProtection="1">
      <alignment horizontal="center" vertical="center"/>
    </xf>
    <xf numFmtId="0" fontId="0" fillId="6" borderId="1" xfId="0" applyFill="1" applyBorder="1" applyAlignment="1" applyProtection="1">
      <alignment horizontal="right" vertical="center"/>
    </xf>
    <xf numFmtId="0" fontId="4" fillId="6" borderId="0" xfId="0" applyFont="1" applyFill="1" applyAlignment="1" applyProtection="1">
      <alignment horizontal="left" vertical="center"/>
    </xf>
    <xf numFmtId="0" fontId="3" fillId="6" borderId="3"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0" fillId="6" borderId="0" xfId="0" applyFill="1" applyAlignment="1" applyProtection="1">
      <alignment horizontal="center" vertical="center"/>
    </xf>
    <xf numFmtId="0" fontId="3" fillId="6" borderId="26" xfId="0" applyFont="1" applyFill="1" applyBorder="1" applyAlignment="1" applyProtection="1">
      <alignment horizontal="center" vertical="center"/>
    </xf>
    <xf numFmtId="11" fontId="3" fillId="6" borderId="3" xfId="0" applyNumberFormat="1" applyFont="1" applyFill="1" applyBorder="1" applyAlignment="1" applyProtection="1">
      <alignment horizontal="center" vertical="center"/>
    </xf>
    <xf numFmtId="11" fontId="3" fillId="6" borderId="5" xfId="0" applyNumberFormat="1" applyFont="1" applyFill="1" applyBorder="1" applyAlignment="1" applyProtection="1">
      <alignment horizontal="center" vertical="center"/>
    </xf>
    <xf numFmtId="0" fontId="2" fillId="4" borderId="0" xfId="0" applyFont="1" applyFill="1" applyAlignment="1" applyProtection="1">
      <alignment horizontal="center" vertical="center"/>
    </xf>
    <xf numFmtId="0" fontId="2" fillId="4" borderId="0" xfId="0" applyFont="1" applyFill="1" applyAlignment="1" applyProtection="1">
      <alignment horizontal="left" vertical="center" wrapText="1"/>
    </xf>
    <xf numFmtId="11" fontId="3" fillId="6" borderId="14" xfId="0" applyNumberFormat="1"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11" fontId="3" fillId="7" borderId="14" xfId="0" applyNumberFormat="1" applyFont="1" applyFill="1" applyBorder="1" applyAlignment="1" applyProtection="1">
      <alignment horizontal="center" vertical="center"/>
    </xf>
    <xf numFmtId="11" fontId="3" fillId="7" borderId="0" xfId="0" applyNumberFormat="1" applyFont="1" applyFill="1" applyAlignment="1" applyProtection="1">
      <alignment horizontal="center" vertical="center"/>
    </xf>
    <xf numFmtId="1" fontId="12" fillId="6" borderId="0" xfId="0" applyNumberFormat="1" applyFont="1" applyFill="1" applyAlignment="1" applyProtection="1">
      <alignment horizontal="center"/>
    </xf>
    <xf numFmtId="0" fontId="0" fillId="6" borderId="0" xfId="0" applyFill="1" applyAlignment="1" applyProtection="1">
      <alignment horizontal="center"/>
    </xf>
    <xf numFmtId="11" fontId="3" fillId="6" borderId="2" xfId="0" applyNumberFormat="1" applyFont="1" applyFill="1" applyBorder="1" applyAlignment="1" applyProtection="1">
      <alignment horizontal="center" vertical="center"/>
    </xf>
    <xf numFmtId="11" fontId="3" fillId="7" borderId="2" xfId="0" applyNumberFormat="1" applyFont="1" applyFill="1" applyBorder="1" applyAlignment="1" applyProtection="1">
      <alignment horizontal="center" vertical="center"/>
    </xf>
    <xf numFmtId="0" fontId="9" fillId="6" borderId="0" xfId="1" applyFill="1" applyAlignment="1" applyProtection="1">
      <alignment horizontal="center" vertical="center" wrapText="1"/>
    </xf>
    <xf numFmtId="0" fontId="4" fillId="6" borderId="0" xfId="0" applyFont="1" applyFill="1" applyAlignment="1" applyProtection="1">
      <alignment horizontal="center" vertical="center" wrapText="1"/>
    </xf>
    <xf numFmtId="0" fontId="5" fillId="6" borderId="0" xfId="0" applyFont="1" applyFill="1" applyAlignment="1" applyProtection="1">
      <alignment horizontal="left" vertical="center"/>
    </xf>
    <xf numFmtId="0" fontId="4" fillId="6" borderId="15" xfId="0" applyFont="1" applyFill="1" applyBorder="1" applyAlignment="1" applyProtection="1">
      <alignment vertical="top" wrapText="1"/>
    </xf>
    <xf numFmtId="0" fontId="4" fillId="6" borderId="6" xfId="0" applyFont="1" applyFill="1" applyBorder="1" applyAlignment="1" applyProtection="1">
      <alignment vertical="top" wrapText="1"/>
    </xf>
    <xf numFmtId="0" fontId="4" fillId="6" borderId="16" xfId="0" applyFont="1" applyFill="1" applyBorder="1" applyAlignment="1" applyProtection="1">
      <alignment vertical="top" wrapText="1"/>
    </xf>
    <xf numFmtId="0" fontId="4" fillId="6" borderId="13" xfId="0" applyFont="1" applyFill="1" applyBorder="1" applyAlignment="1" applyProtection="1">
      <alignment vertical="top" wrapText="1"/>
    </xf>
    <xf numFmtId="0" fontId="4" fillId="6" borderId="0" xfId="0" applyFont="1" applyFill="1" applyAlignment="1" applyProtection="1">
      <alignment vertical="top" wrapText="1"/>
    </xf>
    <xf numFmtId="0" fontId="4" fillId="6" borderId="11" xfId="0" applyFont="1" applyFill="1" applyBorder="1" applyAlignment="1" applyProtection="1">
      <alignment vertical="top" wrapText="1"/>
    </xf>
    <xf numFmtId="0" fontId="17" fillId="4" borderId="0" xfId="0" applyFont="1" applyFill="1" applyAlignment="1" applyProtection="1">
      <alignment horizontal="center" vertical="center" wrapText="1"/>
    </xf>
    <xf numFmtId="0" fontId="0" fillId="6" borderId="2" xfId="0" applyFill="1" applyBorder="1" applyAlignment="1" applyProtection="1">
      <alignment horizontal="center" vertical="center"/>
    </xf>
    <xf numFmtId="0" fontId="4" fillId="6" borderId="11" xfId="0" applyFont="1" applyFill="1" applyBorder="1" applyAlignment="1" applyProtection="1">
      <alignment horizontal="right" vertical="center"/>
    </xf>
    <xf numFmtId="0" fontId="4" fillId="6" borderId="3" xfId="0" applyFont="1" applyFill="1" applyBorder="1" applyAlignment="1" applyProtection="1">
      <alignment horizontal="center" vertical="center"/>
    </xf>
    <xf numFmtId="0" fontId="4" fillId="6" borderId="4"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6" borderId="24" xfId="0" applyFont="1" applyFill="1" applyBorder="1" applyAlignment="1" applyProtection="1">
      <alignment horizontal="center" vertical="center"/>
    </xf>
    <xf numFmtId="0" fontId="3" fillId="6" borderId="25" xfId="0" applyFont="1" applyFill="1" applyBorder="1" applyAlignment="1" applyProtection="1">
      <alignment horizontal="center" vertical="center"/>
    </xf>
    <xf numFmtId="0" fontId="4" fillId="6" borderId="3" xfId="0" applyFont="1" applyFill="1" applyBorder="1" applyAlignment="1" applyProtection="1">
      <alignment horizontal="right" vertical="center"/>
    </xf>
    <xf numFmtId="0" fontId="4" fillId="6" borderId="4" xfId="0" applyFont="1" applyFill="1" applyBorder="1" applyAlignment="1" applyProtection="1">
      <alignment horizontal="right" vertical="center"/>
    </xf>
    <xf numFmtId="0" fontId="4" fillId="6" borderId="5" xfId="0" applyFont="1" applyFill="1" applyBorder="1" applyAlignment="1" applyProtection="1">
      <alignment horizontal="right" vertical="center"/>
    </xf>
    <xf numFmtId="0" fontId="3" fillId="6" borderId="13" xfId="0" applyFont="1" applyFill="1" applyBorder="1" applyAlignment="1" applyProtection="1">
      <alignment horizontal="center" vertical="center"/>
    </xf>
    <xf numFmtId="0" fontId="3" fillId="6" borderId="11" xfId="0" applyFont="1" applyFill="1" applyBorder="1" applyAlignment="1" applyProtection="1">
      <alignment horizontal="center" vertical="center"/>
    </xf>
    <xf numFmtId="0" fontId="17" fillId="4" borderId="0" xfId="0" applyFont="1" applyFill="1" applyAlignment="1" applyProtection="1">
      <alignment horizontal="center"/>
      <protection locked="0"/>
    </xf>
    <xf numFmtId="0" fontId="12" fillId="6" borderId="0" xfId="0" applyFont="1" applyFill="1" applyAlignment="1">
      <alignment horizontal="center"/>
    </xf>
    <xf numFmtId="0" fontId="0" fillId="6" borderId="0" xfId="0" applyFill="1" applyAlignment="1">
      <alignment horizontal="center" wrapText="1"/>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12" fillId="6" borderId="6" xfId="0" applyFont="1" applyFill="1" applyBorder="1" applyAlignment="1">
      <alignment horizontal="center"/>
    </xf>
    <xf numFmtId="0" fontId="17" fillId="4" borderId="0" xfId="0" applyFont="1" applyFill="1" applyAlignment="1">
      <alignment horizontal="center"/>
    </xf>
    <xf numFmtId="0" fontId="17" fillId="4" borderId="0" xfId="0" applyFont="1" applyFill="1" applyAlignment="1">
      <alignment horizontal="center" wrapText="1"/>
    </xf>
    <xf numFmtId="0" fontId="17" fillId="4" borderId="0" xfId="0" applyFont="1" applyFill="1" applyAlignment="1" applyProtection="1">
      <alignment horizontal="center" wrapText="1"/>
      <protection locked="0"/>
    </xf>
    <xf numFmtId="0" fontId="0" fillId="6" borderId="0" xfId="0" applyFill="1" applyAlignment="1">
      <alignment horizontal="center" vertical="center"/>
    </xf>
    <xf numFmtId="0" fontId="0" fillId="6" borderId="0" xfId="0" applyFill="1" applyAlignment="1">
      <alignment horizontal="left" vertical="top" wrapText="1"/>
    </xf>
    <xf numFmtId="0" fontId="14" fillId="6" borderId="0" xfId="0" applyFont="1" applyFill="1" applyAlignment="1">
      <alignment horizontal="center" vertical="center"/>
    </xf>
    <xf numFmtId="0" fontId="14" fillId="0" borderId="0" xfId="0" applyFont="1" applyAlignment="1">
      <alignment horizontal="center" vertical="center"/>
    </xf>
    <xf numFmtId="1" fontId="12" fillId="6" borderId="0" xfId="0" applyNumberFormat="1" applyFont="1" applyFill="1" applyAlignment="1">
      <alignment horizontal="center"/>
    </xf>
    <xf numFmtId="0" fontId="0" fillId="6" borderId="0" xfId="0" applyFill="1" applyAlignment="1">
      <alignment horizontal="center"/>
    </xf>
    <xf numFmtId="0" fontId="3" fillId="6" borderId="0" xfId="0" applyFont="1" applyFill="1" applyAlignment="1" applyProtection="1">
      <alignment horizontal="right"/>
    </xf>
    <xf numFmtId="0" fontId="0" fillId="6" borderId="0" xfId="0" applyFill="1" applyAlignment="1" applyProtection="1">
      <alignment horizontal="right"/>
    </xf>
    <xf numFmtId="0" fontId="12" fillId="6" borderId="0" xfId="0" applyFont="1" applyFill="1" applyAlignment="1" applyProtection="1">
      <alignment horizontal="left"/>
    </xf>
    <xf numFmtId="0" fontId="0" fillId="6" borderId="0" xfId="0" applyFill="1" applyAlignment="1" applyProtection="1">
      <alignment horizontal="left" vertical="top" wrapText="1"/>
    </xf>
    <xf numFmtId="0" fontId="3" fillId="6" borderId="3" xfId="0" applyFont="1" applyFill="1" applyBorder="1" applyAlignment="1" applyProtection="1">
      <alignment horizontal="center" wrapText="1"/>
    </xf>
    <xf numFmtId="0" fontId="3" fillId="6" borderId="5" xfId="0" applyFont="1" applyFill="1" applyBorder="1" applyAlignment="1" applyProtection="1">
      <alignment horizontal="center" wrapText="1"/>
    </xf>
    <xf numFmtId="0" fontId="4" fillId="6" borderId="0" xfId="0" applyFont="1" applyFill="1" applyAlignment="1" applyProtection="1">
      <alignment horizontal="center" wrapText="1"/>
    </xf>
    <xf numFmtId="0" fontId="0" fillId="0" borderId="0" xfId="0" applyAlignment="1" applyProtection="1">
      <alignment horizontal="center"/>
    </xf>
    <xf numFmtId="0" fontId="4" fillId="6" borderId="0" xfId="0" applyFont="1" applyFill="1" applyAlignment="1" applyProtection="1">
      <alignment horizontal="center"/>
    </xf>
    <xf numFmtId="0" fontId="12" fillId="0" borderId="0" xfId="0" applyFont="1" applyAlignment="1" applyProtection="1">
      <alignment horizontal="center"/>
    </xf>
    <xf numFmtId="0" fontId="3" fillId="6" borderId="0" xfId="0" applyFont="1" applyFill="1" applyAlignment="1" applyProtection="1">
      <alignment horizontal="center"/>
    </xf>
    <xf numFmtId="0" fontId="5" fillId="6" borderId="0" xfId="0" applyFont="1" applyFill="1" applyAlignment="1" applyProtection="1">
      <alignment horizontal="center"/>
    </xf>
    <xf numFmtId="0" fontId="3" fillId="7" borderId="0" xfId="0" applyFont="1" applyFill="1" applyAlignment="1" applyProtection="1">
      <alignment horizontal="center"/>
    </xf>
    <xf numFmtId="0" fontId="12" fillId="6" borderId="0" xfId="0" applyFont="1" applyFill="1" applyAlignment="1" applyProtection="1">
      <alignment horizontal="center"/>
    </xf>
    <xf numFmtId="0" fontId="13" fillId="0" borderId="0" xfId="0" applyFont="1" applyAlignment="1" applyProtection="1">
      <alignment horizontal="center" vertical="center"/>
    </xf>
    <xf numFmtId="0" fontId="14" fillId="0" borderId="0" xfId="0" applyFont="1" applyAlignment="1" applyProtection="1">
      <alignment horizontal="center" vertical="center"/>
    </xf>
    <xf numFmtId="0" fontId="0" fillId="6" borderId="3" xfId="0" applyFill="1" applyBorder="1" applyAlignment="1" applyProtection="1">
      <alignment horizontal="center"/>
    </xf>
    <xf numFmtId="0" fontId="0" fillId="6" borderId="4" xfId="0" applyFill="1" applyBorder="1" applyAlignment="1" applyProtection="1">
      <alignment horizontal="center"/>
    </xf>
    <xf numFmtId="0" fontId="0" fillId="6" borderId="5" xfId="0" applyFill="1" applyBorder="1" applyAlignment="1" applyProtection="1">
      <alignment horizontal="center"/>
    </xf>
    <xf numFmtId="0" fontId="12" fillId="6" borderId="0" xfId="0" applyFont="1" applyFill="1" applyBorder="1" applyAlignment="1" applyProtection="1">
      <alignment horizontal="center"/>
    </xf>
    <xf numFmtId="0" fontId="0" fillId="6" borderId="0" xfId="0" applyFill="1" applyAlignment="1" applyProtection="1">
      <alignment horizontal="center" wrapText="1"/>
    </xf>
    <xf numFmtId="0" fontId="0" fillId="6" borderId="7" xfId="0" applyFill="1" applyBorder="1" applyAlignment="1" applyProtection="1">
      <alignment horizontal="center" wrapText="1"/>
    </xf>
    <xf numFmtId="0" fontId="3" fillId="6" borderId="1" xfId="0" applyFont="1" applyFill="1" applyBorder="1" applyAlignment="1" applyProtection="1">
      <alignment horizontal="right"/>
    </xf>
    <xf numFmtId="0" fontId="0" fillId="6" borderId="0" xfId="0" applyFill="1" applyProtection="1"/>
    <xf numFmtId="0" fontId="3" fillId="6" borderId="3" xfId="0" applyFont="1" applyFill="1" applyBorder="1" applyAlignment="1" applyProtection="1">
      <alignment horizontal="center"/>
    </xf>
    <xf numFmtId="0" fontId="3" fillId="6" borderId="5" xfId="0" applyFont="1" applyFill="1" applyBorder="1" applyAlignment="1" applyProtection="1">
      <alignment horizontal="center"/>
    </xf>
    <xf numFmtId="0" fontId="12" fillId="6" borderId="6" xfId="0" applyFont="1" applyFill="1" applyBorder="1" applyAlignment="1" applyProtection="1">
      <alignment horizontal="center"/>
    </xf>
  </cellXfs>
  <cellStyles count="2">
    <cellStyle name="Lien hypertexte" xfId="1" builtinId="8"/>
    <cellStyle name="Normal" xfId="0" builtinId="0"/>
  </cellStyles>
  <dxfs count="138">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s>
  <tableStyles count="0" defaultTableStyle="TableStyleMedium2" defaultPivotStyle="PivotStyleLight16"/>
  <colors>
    <mruColors>
      <color rgb="FFD5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18</xdr:col>
      <xdr:colOff>608914</xdr:colOff>
      <xdr:row>52</xdr:row>
      <xdr:rowOff>170833</xdr:rowOff>
    </xdr:to>
    <xdr:pic>
      <xdr:nvPicPr>
        <xdr:cNvPr id="22" name="Picture 21">
          <a:extLst>
            <a:ext uri="{FF2B5EF4-FFF2-40B4-BE49-F238E27FC236}">
              <a16:creationId xmlns:a16="http://schemas.microsoft.com/office/drawing/2014/main" id="{EE5D52BD-3AC4-49BD-815D-8BF271950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410200"/>
          <a:ext cx="5485714" cy="4933333"/>
        </a:xfrm>
        <a:prstGeom prst="rect">
          <a:avLst/>
        </a:prstGeom>
      </xdr:spPr>
    </xdr:pic>
    <xdr:clientData/>
  </xdr:twoCellAnchor>
  <xdr:twoCellAnchor editAs="oneCell">
    <xdr:from>
      <xdr:col>20</xdr:col>
      <xdr:colOff>0</xdr:colOff>
      <xdr:row>27</xdr:row>
      <xdr:rowOff>1</xdr:rowOff>
    </xdr:from>
    <xdr:to>
      <xdr:col>29</xdr:col>
      <xdr:colOff>765</xdr:colOff>
      <xdr:row>52</xdr:row>
      <xdr:rowOff>172138</xdr:rowOff>
    </xdr:to>
    <xdr:pic>
      <xdr:nvPicPr>
        <xdr:cNvPr id="24" name="Picture 23">
          <a:extLst>
            <a:ext uri="{FF2B5EF4-FFF2-40B4-BE49-F238E27FC236}">
              <a16:creationId xmlns:a16="http://schemas.microsoft.com/office/drawing/2014/main" id="{5287CC15-E8B6-42DB-A5FE-E77E5ADA8E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0" y="5410201"/>
          <a:ext cx="5487165" cy="4934637"/>
        </a:xfrm>
        <a:prstGeom prst="rect">
          <a:avLst/>
        </a:prstGeom>
      </xdr:spPr>
    </xdr:pic>
    <xdr:clientData/>
  </xdr:twoCellAnchor>
  <xdr:twoCellAnchor editAs="oneCell">
    <xdr:from>
      <xdr:col>30</xdr:col>
      <xdr:colOff>0</xdr:colOff>
      <xdr:row>27</xdr:row>
      <xdr:rowOff>37959</xdr:rowOff>
    </xdr:from>
    <xdr:to>
      <xdr:col>39</xdr:col>
      <xdr:colOff>86503</xdr:colOff>
      <xdr:row>53</xdr:row>
      <xdr:rowOff>19598</xdr:rowOff>
    </xdr:to>
    <xdr:pic>
      <xdr:nvPicPr>
        <xdr:cNvPr id="26" name="Picture 25">
          <a:extLst>
            <a:ext uri="{FF2B5EF4-FFF2-40B4-BE49-F238E27FC236}">
              <a16:creationId xmlns:a16="http://schemas.microsoft.com/office/drawing/2014/main" id="{74FE04CB-D80B-42D4-86BC-712F97B21C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xdr:blipFill>
      <xdr:spPr>
        <a:xfrm>
          <a:off x="18421350" y="5695809"/>
          <a:ext cx="5572903" cy="4934639"/>
        </a:xfrm>
        <a:prstGeom prst="rect">
          <a:avLst/>
        </a:prstGeom>
      </xdr:spPr>
    </xdr:pic>
    <xdr:clientData/>
  </xdr:twoCellAnchor>
  <xdr:twoCellAnchor editAs="oneCell">
    <xdr:from>
      <xdr:col>60</xdr:col>
      <xdr:colOff>0</xdr:colOff>
      <xdr:row>27</xdr:row>
      <xdr:rowOff>37969</xdr:rowOff>
    </xdr:from>
    <xdr:to>
      <xdr:col>69</xdr:col>
      <xdr:colOff>29353</xdr:colOff>
      <xdr:row>53</xdr:row>
      <xdr:rowOff>19607</xdr:rowOff>
    </xdr:to>
    <xdr:pic>
      <xdr:nvPicPr>
        <xdr:cNvPr id="28" name="Picture 27">
          <a:extLst>
            <a:ext uri="{FF2B5EF4-FFF2-40B4-BE49-F238E27FC236}">
              <a16:creationId xmlns:a16="http://schemas.microsoft.com/office/drawing/2014/main" id="{BE4A6F0E-E2F3-4901-AC88-F7AE194B3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6709350" y="5695819"/>
          <a:ext cx="5572903" cy="4934638"/>
        </a:xfrm>
        <a:prstGeom prst="rect">
          <a:avLst/>
        </a:prstGeom>
      </xdr:spPr>
    </xdr:pic>
    <xdr:clientData/>
  </xdr:twoCellAnchor>
  <xdr:twoCellAnchor editAs="oneCell">
    <xdr:from>
      <xdr:col>40</xdr:col>
      <xdr:colOff>0</xdr:colOff>
      <xdr:row>27</xdr:row>
      <xdr:rowOff>0</xdr:rowOff>
    </xdr:from>
    <xdr:to>
      <xdr:col>49</xdr:col>
      <xdr:colOff>2217</xdr:colOff>
      <xdr:row>52</xdr:row>
      <xdr:rowOff>173444</xdr:rowOff>
    </xdr:to>
    <xdr:pic>
      <xdr:nvPicPr>
        <xdr:cNvPr id="3" name="Picture 2">
          <a:extLst>
            <a:ext uri="{FF2B5EF4-FFF2-40B4-BE49-F238E27FC236}">
              <a16:creationId xmlns:a16="http://schemas.microsoft.com/office/drawing/2014/main" id="{0E199F18-DE1B-40FA-B3E8-B96FAA860C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384000" y="5410200"/>
          <a:ext cx="5488617" cy="4935944"/>
        </a:xfrm>
        <a:prstGeom prst="rect">
          <a:avLst/>
        </a:prstGeom>
      </xdr:spPr>
    </xdr:pic>
    <xdr:clientData/>
  </xdr:twoCellAnchor>
  <xdr:twoCellAnchor editAs="oneCell">
    <xdr:from>
      <xdr:col>50</xdr:col>
      <xdr:colOff>0</xdr:colOff>
      <xdr:row>27</xdr:row>
      <xdr:rowOff>38487</xdr:rowOff>
    </xdr:from>
    <xdr:to>
      <xdr:col>59</xdr:col>
      <xdr:colOff>76976</xdr:colOff>
      <xdr:row>53</xdr:row>
      <xdr:rowOff>10599</xdr:rowOff>
    </xdr:to>
    <xdr:pic>
      <xdr:nvPicPr>
        <xdr:cNvPr id="4" name="Picture 3">
          <a:extLst>
            <a:ext uri="{FF2B5EF4-FFF2-40B4-BE49-F238E27FC236}">
              <a16:creationId xmlns:a16="http://schemas.microsoft.com/office/drawing/2014/main" id="{B6046D84-02BE-4877-95AB-98DC082978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xdr:blipFill>
      <xdr:spPr>
        <a:xfrm>
          <a:off x="30613350" y="5696337"/>
          <a:ext cx="5563376" cy="4925112"/>
        </a:xfrm>
        <a:prstGeom prst="rect">
          <a:avLst/>
        </a:prstGeom>
      </xdr:spPr>
    </xdr:pic>
    <xdr:clientData/>
  </xdr:twoCellAnchor>
  <xdr:twoCellAnchor editAs="oneCell">
    <xdr:from>
      <xdr:col>57</xdr:col>
      <xdr:colOff>600077</xdr:colOff>
      <xdr:row>1</xdr:row>
      <xdr:rowOff>122651</xdr:rowOff>
    </xdr:from>
    <xdr:to>
      <xdr:col>71</xdr:col>
      <xdr:colOff>296434</xdr:colOff>
      <xdr:row>25</xdr:row>
      <xdr:rowOff>28090</xdr:rowOff>
    </xdr:to>
    <xdr:pic>
      <xdr:nvPicPr>
        <xdr:cNvPr id="8" name="Picture 7">
          <a:extLst>
            <a:ext uri="{FF2B5EF4-FFF2-40B4-BE49-F238E27FC236}">
              <a16:creationId xmlns:a16="http://schemas.microsoft.com/office/drawing/2014/main" id="{05C892DD-B3DD-4575-8313-23F53633EB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xdr:blipFill>
      <xdr:spPr>
        <a:xfrm>
          <a:off x="35480627" y="351251"/>
          <a:ext cx="8287907" cy="4934639"/>
        </a:xfrm>
        <a:prstGeom prst="rect">
          <a:avLst/>
        </a:prstGeom>
      </xdr:spPr>
    </xdr:pic>
    <xdr:clientData/>
  </xdr:twoCellAnchor>
  <xdr:twoCellAnchor editAs="oneCell">
    <xdr:from>
      <xdr:col>43</xdr:col>
      <xdr:colOff>600076</xdr:colOff>
      <xdr:row>1</xdr:row>
      <xdr:rowOff>54079</xdr:rowOff>
    </xdr:from>
    <xdr:to>
      <xdr:col>57</xdr:col>
      <xdr:colOff>363109</xdr:colOff>
      <xdr:row>24</xdr:row>
      <xdr:rowOff>178594</xdr:rowOff>
    </xdr:to>
    <xdr:pic>
      <xdr:nvPicPr>
        <xdr:cNvPr id="10" name="Picture 9">
          <a:extLst>
            <a:ext uri="{FF2B5EF4-FFF2-40B4-BE49-F238E27FC236}">
              <a16:creationId xmlns:a16="http://schemas.microsoft.com/office/drawing/2014/main" id="{FF03A9A1-DA7A-4DD8-90A6-ACC254E16C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xdr:blipFill>
      <xdr:spPr>
        <a:xfrm>
          <a:off x="25727026" y="282679"/>
          <a:ext cx="8297433" cy="4944165"/>
        </a:xfrm>
        <a:prstGeom prst="rect">
          <a:avLst/>
        </a:prstGeom>
      </xdr:spPr>
    </xdr:pic>
    <xdr:clientData/>
  </xdr:twoCellAnchor>
  <xdr:twoCellAnchor editAs="oneCell">
    <xdr:from>
      <xdr:col>100</xdr:col>
      <xdr:colOff>9525</xdr:colOff>
      <xdr:row>89</xdr:row>
      <xdr:rowOff>57150</xdr:rowOff>
    </xdr:from>
    <xdr:to>
      <xdr:col>107</xdr:col>
      <xdr:colOff>248279</xdr:colOff>
      <xdr:row>106</xdr:row>
      <xdr:rowOff>29023</xdr:rowOff>
    </xdr:to>
    <xdr:pic>
      <xdr:nvPicPr>
        <xdr:cNvPr id="9" name="Picture 8">
          <a:extLst>
            <a:ext uri="{FF2B5EF4-FFF2-40B4-BE49-F238E27FC236}">
              <a16:creationId xmlns:a16="http://schemas.microsoft.com/office/drawing/2014/main" id="{439F3839-81F1-44EF-9CF6-8FC6405B342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2681525" y="17278350"/>
          <a:ext cx="4505954" cy="3210373"/>
        </a:xfrm>
        <a:prstGeom prst="rect">
          <a:avLst/>
        </a:prstGeom>
      </xdr:spPr>
    </xdr:pic>
    <xdr:clientData/>
  </xdr:twoCellAnchor>
  <xdr:twoCellAnchor editAs="oneCell">
    <xdr:from>
      <xdr:col>133</xdr:col>
      <xdr:colOff>590550</xdr:colOff>
      <xdr:row>1</xdr:row>
      <xdr:rowOff>200780</xdr:rowOff>
    </xdr:from>
    <xdr:to>
      <xdr:col>149</xdr:col>
      <xdr:colOff>296595</xdr:colOff>
      <xdr:row>99</xdr:row>
      <xdr:rowOff>70084</xdr:rowOff>
    </xdr:to>
    <xdr:pic>
      <xdr:nvPicPr>
        <xdr:cNvPr id="18" name="Picture 17">
          <a:extLst>
            <a:ext uri="{FF2B5EF4-FFF2-40B4-BE49-F238E27FC236}">
              <a16:creationId xmlns:a16="http://schemas.microsoft.com/office/drawing/2014/main" id="{7FF12478-5D86-436B-914C-3EEE60E37A8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xdr:blipFill>
      <xdr:spPr>
        <a:xfrm>
          <a:off x="81286350" y="429380"/>
          <a:ext cx="9459645" cy="19014554"/>
        </a:xfrm>
        <a:prstGeom prst="rect">
          <a:avLst/>
        </a:prstGeom>
      </xdr:spPr>
    </xdr:pic>
    <xdr:clientData/>
  </xdr:twoCellAnchor>
  <xdr:twoCellAnchor editAs="oneCell">
    <xdr:from>
      <xdr:col>149</xdr:col>
      <xdr:colOff>304800</xdr:colOff>
      <xdr:row>2</xdr:row>
      <xdr:rowOff>6854</xdr:rowOff>
    </xdr:from>
    <xdr:to>
      <xdr:col>172</xdr:col>
      <xdr:colOff>501046</xdr:colOff>
      <xdr:row>99</xdr:row>
      <xdr:rowOff>90742</xdr:rowOff>
    </xdr:to>
    <xdr:pic>
      <xdr:nvPicPr>
        <xdr:cNvPr id="20" name="Picture 19">
          <a:extLst>
            <a:ext uri="{FF2B5EF4-FFF2-40B4-BE49-F238E27FC236}">
              <a16:creationId xmlns:a16="http://schemas.microsoft.com/office/drawing/2014/main" id="{B5DF35C4-5427-4079-A260-54A247A2DD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90754200" y="445004"/>
          <a:ext cx="14217046" cy="19019588"/>
        </a:xfrm>
        <a:prstGeom prst="rect">
          <a:avLst/>
        </a:prstGeom>
      </xdr:spPr>
    </xdr:pic>
    <xdr:clientData/>
  </xdr:twoCellAnchor>
  <xdr:twoCellAnchor editAs="oneCell">
    <xdr:from>
      <xdr:col>0</xdr:col>
      <xdr:colOff>0</xdr:colOff>
      <xdr:row>27</xdr:row>
      <xdr:rowOff>37949</xdr:rowOff>
    </xdr:from>
    <xdr:to>
      <xdr:col>8</xdr:col>
      <xdr:colOff>562753</xdr:colOff>
      <xdr:row>53</xdr:row>
      <xdr:rowOff>19588</xdr:rowOff>
    </xdr:to>
    <xdr:pic>
      <xdr:nvPicPr>
        <xdr:cNvPr id="7" name="Picture 6">
          <a:extLst>
            <a:ext uri="{FF2B5EF4-FFF2-40B4-BE49-F238E27FC236}">
              <a16:creationId xmlns:a16="http://schemas.microsoft.com/office/drawing/2014/main" id="{CBD09C81-4226-4E3F-A2B4-2FFDF2FFEC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xdr:blipFill>
      <xdr:spPr>
        <a:xfrm>
          <a:off x="0" y="5695799"/>
          <a:ext cx="5572903" cy="4934639"/>
        </a:xfrm>
        <a:prstGeom prst="rect">
          <a:avLst/>
        </a:prstGeom>
      </xdr:spPr>
    </xdr:pic>
    <xdr:clientData/>
  </xdr:twoCellAnchor>
  <xdr:twoCellAnchor editAs="oneCell">
    <xdr:from>
      <xdr:col>110</xdr:col>
      <xdr:colOff>476250</xdr:colOff>
      <xdr:row>1</xdr:row>
      <xdr:rowOff>203001</xdr:rowOff>
    </xdr:from>
    <xdr:to>
      <xdr:col>134</xdr:col>
      <xdr:colOff>1976</xdr:colOff>
      <xdr:row>98</xdr:row>
      <xdr:rowOff>110383</xdr:rowOff>
    </xdr:to>
    <xdr:pic>
      <xdr:nvPicPr>
        <xdr:cNvPr id="11" name="Picture 10">
          <a:extLst>
            <a:ext uri="{FF2B5EF4-FFF2-40B4-BE49-F238E27FC236}">
              <a16:creationId xmlns:a16="http://schemas.microsoft.com/office/drawing/2014/main" id="{B6143BF9-EF29-45E1-97EE-3B0581E1C9F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xdr:blipFill>
      <xdr:spPr>
        <a:xfrm>
          <a:off x="67151250" y="431601"/>
          <a:ext cx="14156126" cy="18862132"/>
        </a:xfrm>
        <a:prstGeom prst="rect">
          <a:avLst/>
        </a:prstGeom>
      </xdr:spPr>
    </xdr:pic>
    <xdr:clientData/>
  </xdr:twoCellAnchor>
  <xdr:twoCellAnchor editAs="oneCell">
    <xdr:from>
      <xdr:col>30</xdr:col>
      <xdr:colOff>0</xdr:colOff>
      <xdr:row>1</xdr:row>
      <xdr:rowOff>195373</xdr:rowOff>
    </xdr:from>
    <xdr:to>
      <xdr:col>43</xdr:col>
      <xdr:colOff>363107</xdr:colOff>
      <xdr:row>25</xdr:row>
      <xdr:rowOff>110338</xdr:rowOff>
    </xdr:to>
    <xdr:pic>
      <xdr:nvPicPr>
        <xdr:cNvPr id="5" name="Picture 4">
          <a:extLst>
            <a:ext uri="{FF2B5EF4-FFF2-40B4-BE49-F238E27FC236}">
              <a16:creationId xmlns:a16="http://schemas.microsoft.com/office/drawing/2014/main" id="{1DB0C5DA-DB31-47AF-86E2-40CA8E13116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xdr:blipFill>
      <xdr:spPr>
        <a:xfrm>
          <a:off x="17202150" y="423973"/>
          <a:ext cx="8287907" cy="4944165"/>
        </a:xfrm>
        <a:prstGeom prst="rect">
          <a:avLst/>
        </a:prstGeom>
      </xdr:spPr>
    </xdr:pic>
    <xdr:clientData/>
  </xdr:twoCellAnchor>
  <xdr:twoCellAnchor editAs="oneCell">
    <xdr:from>
      <xdr:col>90</xdr:col>
      <xdr:colOff>0</xdr:colOff>
      <xdr:row>27</xdr:row>
      <xdr:rowOff>0</xdr:rowOff>
    </xdr:from>
    <xdr:to>
      <xdr:col>99</xdr:col>
      <xdr:colOff>361219</xdr:colOff>
      <xdr:row>52</xdr:row>
      <xdr:rowOff>161309</xdr:rowOff>
    </xdr:to>
    <xdr:pic>
      <xdr:nvPicPr>
        <xdr:cNvPr id="6" name="Picture 5">
          <a:extLst>
            <a:ext uri="{FF2B5EF4-FFF2-40B4-BE49-F238E27FC236}">
              <a16:creationId xmlns:a16="http://schemas.microsoft.com/office/drawing/2014/main" id="{9C7B72BC-0DA8-43A6-9DBA-F16B8166F47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5092600" y="5657850"/>
          <a:ext cx="5847619" cy="4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1587</xdr:colOff>
      <xdr:row>26</xdr:row>
      <xdr:rowOff>171599</xdr:rowOff>
    </xdr:from>
    <xdr:to>
      <xdr:col>48</xdr:col>
      <xdr:colOff>581926</xdr:colOff>
      <xdr:row>52</xdr:row>
      <xdr:rowOff>126234</xdr:rowOff>
    </xdr:to>
    <xdr:pic>
      <xdr:nvPicPr>
        <xdr:cNvPr id="2" name="Picture 1">
          <a:extLst>
            <a:ext uri="{FF2B5EF4-FFF2-40B4-BE49-F238E27FC236}">
              <a16:creationId xmlns:a16="http://schemas.microsoft.com/office/drawing/2014/main" id="{F4F0F0DF-4BC2-4C7A-AD28-E8CFE9A826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95112" y="5391299"/>
          <a:ext cx="5457139" cy="4907635"/>
        </a:xfrm>
        <a:prstGeom prst="rect">
          <a:avLst/>
        </a:prstGeom>
      </xdr:spPr>
    </xdr:pic>
    <xdr:clientData/>
  </xdr:twoCellAnchor>
  <xdr:twoCellAnchor editAs="oneCell">
    <xdr:from>
      <xdr:col>80</xdr:col>
      <xdr:colOff>0</xdr:colOff>
      <xdr:row>27</xdr:row>
      <xdr:rowOff>0</xdr:rowOff>
    </xdr:from>
    <xdr:to>
      <xdr:col>88</xdr:col>
      <xdr:colOff>608914</xdr:colOff>
      <xdr:row>52</xdr:row>
      <xdr:rowOff>170833</xdr:rowOff>
    </xdr:to>
    <xdr:pic>
      <xdr:nvPicPr>
        <xdr:cNvPr id="3" name="Picture 2">
          <a:extLst>
            <a:ext uri="{FF2B5EF4-FFF2-40B4-BE49-F238E27FC236}">
              <a16:creationId xmlns:a16="http://schemas.microsoft.com/office/drawing/2014/main" id="{CE692F5A-B259-48C6-99D7-D7062C2403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77525" y="5410200"/>
          <a:ext cx="5485714" cy="4933333"/>
        </a:xfrm>
        <a:prstGeom prst="rect">
          <a:avLst/>
        </a:prstGeom>
      </xdr:spPr>
    </xdr:pic>
    <xdr:clientData/>
  </xdr:twoCellAnchor>
  <xdr:twoCellAnchor editAs="oneCell">
    <xdr:from>
      <xdr:col>20</xdr:col>
      <xdr:colOff>0</xdr:colOff>
      <xdr:row>27</xdr:row>
      <xdr:rowOff>0</xdr:rowOff>
    </xdr:from>
    <xdr:to>
      <xdr:col>28</xdr:col>
      <xdr:colOff>608914</xdr:colOff>
      <xdr:row>52</xdr:row>
      <xdr:rowOff>170833</xdr:rowOff>
    </xdr:to>
    <xdr:pic>
      <xdr:nvPicPr>
        <xdr:cNvPr id="4" name="Picture 3">
          <a:extLst>
            <a:ext uri="{FF2B5EF4-FFF2-40B4-BE49-F238E27FC236}">
              <a16:creationId xmlns:a16="http://schemas.microsoft.com/office/drawing/2014/main" id="{39CB3B7F-609D-483F-AB61-D4F489B886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2000" y="5410200"/>
          <a:ext cx="5485714" cy="4933333"/>
        </a:xfrm>
        <a:prstGeom prst="rect">
          <a:avLst/>
        </a:prstGeom>
      </xdr:spPr>
    </xdr:pic>
    <xdr:clientData/>
  </xdr:twoCellAnchor>
  <xdr:twoCellAnchor editAs="oneCell">
    <xdr:from>
      <xdr:col>30</xdr:col>
      <xdr:colOff>0</xdr:colOff>
      <xdr:row>27</xdr:row>
      <xdr:rowOff>0</xdr:rowOff>
    </xdr:from>
    <xdr:to>
      <xdr:col>38</xdr:col>
      <xdr:colOff>596214</xdr:colOff>
      <xdr:row>52</xdr:row>
      <xdr:rowOff>170833</xdr:rowOff>
    </xdr:to>
    <xdr:pic>
      <xdr:nvPicPr>
        <xdr:cNvPr id="5" name="Picture 4">
          <a:extLst>
            <a:ext uri="{FF2B5EF4-FFF2-40B4-BE49-F238E27FC236}">
              <a16:creationId xmlns:a16="http://schemas.microsoft.com/office/drawing/2014/main" id="{9B3C0535-DFDF-463E-B413-96DED78EBF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288000" y="5410200"/>
          <a:ext cx="5482539" cy="4933333"/>
        </a:xfrm>
        <a:prstGeom prst="rect">
          <a:avLst/>
        </a:prstGeom>
      </xdr:spPr>
    </xdr:pic>
    <xdr:clientData/>
  </xdr:twoCellAnchor>
  <xdr:oneCellAnchor>
    <xdr:from>
      <xdr:col>10</xdr:col>
      <xdr:colOff>0</xdr:colOff>
      <xdr:row>27</xdr:row>
      <xdr:rowOff>0</xdr:rowOff>
    </xdr:from>
    <xdr:ext cx="5561914" cy="4933333"/>
    <xdr:pic>
      <xdr:nvPicPr>
        <xdr:cNvPr id="6" name="Picture 5">
          <a:extLst>
            <a:ext uri="{FF2B5EF4-FFF2-40B4-BE49-F238E27FC236}">
              <a16:creationId xmlns:a16="http://schemas.microsoft.com/office/drawing/2014/main" id="{D44302A6-7125-4EC0-9937-C4D1E968523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0" y="5410200"/>
          <a:ext cx="5561914" cy="4933333"/>
        </a:xfrm>
        <a:prstGeom prst="rect">
          <a:avLst/>
        </a:prstGeom>
      </xdr:spPr>
    </xdr:pic>
    <xdr:clientData/>
  </xdr:oneCellAnchor>
  <xdr:twoCellAnchor editAs="oneCell">
    <xdr:from>
      <xdr:col>50</xdr:col>
      <xdr:colOff>0</xdr:colOff>
      <xdr:row>27</xdr:row>
      <xdr:rowOff>0</xdr:rowOff>
    </xdr:from>
    <xdr:to>
      <xdr:col>59</xdr:col>
      <xdr:colOff>361219</xdr:colOff>
      <xdr:row>52</xdr:row>
      <xdr:rowOff>161309</xdr:rowOff>
    </xdr:to>
    <xdr:pic>
      <xdr:nvPicPr>
        <xdr:cNvPr id="7" name="Picture 6">
          <a:extLst>
            <a:ext uri="{FF2B5EF4-FFF2-40B4-BE49-F238E27FC236}">
              <a16:creationId xmlns:a16="http://schemas.microsoft.com/office/drawing/2014/main" id="{545BE13C-CD51-44A8-8293-7B60F2795AF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9525" y="5410200"/>
          <a:ext cx="5847619" cy="4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3231DC0F-D342-40BB-9842-79A57B03F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098EF8B2-BA88-4BED-A199-7FB4494D8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projects\fsae\Rules\2019-FSAE-Structural-Equivalency_Monocoque-Hybrid-Non-Ferrous_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Data"/>
      <sheetName val="Sheet2"/>
      <sheetName val="Sheet1"/>
      <sheetName val="T3.18 T3.31 Ft Bulkhead"/>
      <sheetName val="T3.20 IA AI Plate"/>
      <sheetName val="3 Point Bending Comp AIP"/>
      <sheetName val="Shear Test Comp AIP"/>
      <sheetName val="T3.30 Laminate Test"/>
      <sheetName val="T3.30.3 Different Layups"/>
      <sheetName val="T3.32.3 T3.33.4 Shear Tests"/>
      <sheetName val="Other &quot;x&quot; Mat'l Shear"/>
      <sheetName val="Monocoque Lap Joints"/>
      <sheetName val="T3.13 T3.36 MHoop Brace Spt"/>
      <sheetName val="T3.14 T3.36 FHoop Bracing"/>
      <sheetName val="T3.19 T3.32 FBH S'pt Structure"/>
      <sheetName val="T3.24 T3.33 Side Impact Struct."/>
      <sheetName val="T5.4 Shoulder Harness Bar"/>
    </sheetNames>
    <sheetDataSet>
      <sheetData sheetId="0">
        <row r="5">
          <cell r="C5">
            <v>200000000000</v>
          </cell>
          <cell r="D5">
            <v>70000000000</v>
          </cell>
          <cell r="E5">
            <v>70000000000</v>
          </cell>
          <cell r="F5">
            <v>0</v>
          </cell>
          <cell r="G5">
            <v>1</v>
          </cell>
          <cell r="H5">
            <v>2</v>
          </cell>
          <cell r="I5">
            <v>3</v>
          </cell>
          <cell r="J5">
            <v>4</v>
          </cell>
          <cell r="K5">
            <v>5</v>
          </cell>
          <cell r="L5">
            <v>0</v>
          </cell>
        </row>
        <row r="6">
          <cell r="C6">
            <v>305000000</v>
          </cell>
          <cell r="D6">
            <v>1</v>
          </cell>
          <cell r="E6">
            <v>2</v>
          </cell>
          <cell r="F6">
            <v>0</v>
          </cell>
          <cell r="G6">
            <v>1</v>
          </cell>
          <cell r="H6">
            <v>2</v>
          </cell>
          <cell r="I6">
            <v>3</v>
          </cell>
          <cell r="J6">
            <v>4</v>
          </cell>
          <cell r="K6">
            <v>5</v>
          </cell>
          <cell r="L6">
            <v>0</v>
          </cell>
        </row>
        <row r="7">
          <cell r="C7">
            <v>365000000</v>
          </cell>
          <cell r="D7">
            <v>1</v>
          </cell>
          <cell r="E7">
            <v>2</v>
          </cell>
          <cell r="F7">
            <v>0</v>
          </cell>
          <cell r="G7">
            <v>1</v>
          </cell>
          <cell r="H7">
            <v>2</v>
          </cell>
          <cell r="I7">
            <v>3</v>
          </cell>
          <cell r="J7">
            <v>4</v>
          </cell>
          <cell r="K7">
            <v>5</v>
          </cell>
          <cell r="L7">
            <v>0</v>
          </cell>
        </row>
        <row r="8">
          <cell r="C8">
            <v>180000000</v>
          </cell>
          <cell r="D8">
            <v>1</v>
          </cell>
          <cell r="E8">
            <v>2</v>
          </cell>
          <cell r="F8" t="str">
            <v>N/A</v>
          </cell>
          <cell r="G8">
            <v>1</v>
          </cell>
          <cell r="H8">
            <v>2</v>
          </cell>
          <cell r="I8">
            <v>3</v>
          </cell>
          <cell r="J8">
            <v>4</v>
          </cell>
          <cell r="K8">
            <v>5</v>
          </cell>
          <cell r="L8" t="str">
            <v>N/A</v>
          </cell>
        </row>
        <row r="9">
          <cell r="C9">
            <v>300000000</v>
          </cell>
          <cell r="D9">
            <v>1</v>
          </cell>
          <cell r="E9">
            <v>2</v>
          </cell>
          <cell r="F9" t="str">
            <v>N/A</v>
          </cell>
          <cell r="G9">
            <v>1</v>
          </cell>
          <cell r="H9">
            <v>2</v>
          </cell>
          <cell r="I9">
            <v>3</v>
          </cell>
          <cell r="J9">
            <v>4</v>
          </cell>
          <cell r="K9">
            <v>5</v>
          </cell>
          <cell r="L9" t="str">
            <v>N/A</v>
          </cell>
        </row>
        <row r="10">
          <cell r="C10">
            <v>219000000</v>
          </cell>
          <cell r="D10">
            <v>1</v>
          </cell>
          <cell r="E10">
            <v>2</v>
          </cell>
          <cell r="F10">
            <v>0</v>
          </cell>
          <cell r="G10">
            <v>1</v>
          </cell>
          <cell r="H10">
            <v>2</v>
          </cell>
          <cell r="I10">
            <v>3</v>
          </cell>
          <cell r="J10">
            <v>4</v>
          </cell>
          <cell r="K10">
            <v>5</v>
          </cell>
          <cell r="L10">
            <v>0</v>
          </cell>
        </row>
        <row r="22">
          <cell r="B22" t="str">
            <v>Tubing only</v>
          </cell>
        </row>
        <row r="23">
          <cell r="B23" t="str">
            <v>Composite only</v>
          </cell>
        </row>
        <row r="24">
          <cell r="B24" t="str">
            <v>Tubes + composite</v>
          </cell>
        </row>
      </sheetData>
      <sheetData sheetId="1"/>
      <sheetData sheetId="2"/>
      <sheetData sheetId="3">
        <row r="101">
          <cell r="E101"/>
        </row>
      </sheetData>
      <sheetData sheetId="4">
        <row r="92">
          <cell r="C92"/>
        </row>
      </sheetData>
      <sheetData sheetId="5"/>
      <sheetData sheetId="6"/>
      <sheetData sheetId="7"/>
      <sheetData sheetId="8"/>
      <sheetData sheetId="9">
        <row r="54">
          <cell r="D54">
            <v>0</v>
          </cell>
        </row>
      </sheetData>
      <sheetData sheetId="10"/>
      <sheetData sheetId="11"/>
      <sheetData sheetId="12"/>
      <sheetData sheetId="13"/>
      <sheetData sheetId="14"/>
      <sheetData sheetId="15">
        <row r="27">
          <cell r="C27">
            <v>5105.9510880000016</v>
          </cell>
        </row>
      </sheetData>
      <sheetData sheetId="16"/>
    </sheetDataSet>
  </externalBook>
</externalLink>
</file>

<file path=xl/theme/theme1.xml><?xml version="1.0" encoding="utf-8"?>
<a:theme xmlns:a="http://schemas.openxmlformats.org/drawingml/2006/main" name="Office Theme">
  <a:themeElements>
    <a:clrScheme name="Unambiguous">
      <a:dk1>
        <a:sysClr val="windowText" lastClr="000000"/>
      </a:dk1>
      <a:lt1>
        <a:sysClr val="window" lastClr="FFFFFF"/>
      </a:lt1>
      <a:dk2>
        <a:srgbClr val="004E72"/>
      </a:dk2>
      <a:lt2>
        <a:srgbClr val="E7E6E6"/>
      </a:lt2>
      <a:accent1>
        <a:srgbClr val="56B4E9"/>
      </a:accent1>
      <a:accent2>
        <a:srgbClr val="CC79A7"/>
      </a:accent2>
      <a:accent3>
        <a:srgbClr val="009E73"/>
      </a:accent3>
      <a:accent4>
        <a:srgbClr val="D55E00"/>
      </a:accent4>
      <a:accent5>
        <a:srgbClr val="E69F00"/>
      </a:accent5>
      <a:accent6>
        <a:srgbClr val="F0E442"/>
      </a:accent6>
      <a:hlink>
        <a:srgbClr val="56B4E9"/>
      </a:hlink>
      <a:folHlink>
        <a:srgbClr val="D55E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D4A4-BBD8-4992-9339-28B76E69241C}">
  <sheetPr>
    <pageSetUpPr fitToPage="1"/>
  </sheetPr>
  <dimension ref="A1:FQ167"/>
  <sheetViews>
    <sheetView tabSelected="1" topLeftCell="DI80" zoomScaleNormal="100" workbookViewId="0">
      <selection activeCell="CQ76" sqref="CQ76"/>
    </sheetView>
  </sheetViews>
  <sheetFormatPr baseColWidth="10" defaultColWidth="9.109375" defaultRowHeight="14.4" x14ac:dyDescent="0.3"/>
  <cols>
    <col min="1" max="1" width="11.109375" style="12" customWidth="1"/>
    <col min="2" max="6" width="9.109375" style="12" customWidth="1"/>
    <col min="7" max="10" width="9.109375" style="12"/>
    <col min="11" max="11" width="9.109375" style="200"/>
    <col min="12" max="12" width="9.109375" style="191"/>
    <col min="13" max="66" width="9.109375" style="12"/>
    <col min="67" max="67" width="10" style="12" bestFit="1" customWidth="1"/>
    <col min="68" max="69" width="9.109375" style="12"/>
    <col min="70" max="70" width="9.109375" style="12" customWidth="1"/>
    <col min="71" max="76" width="9.109375" style="19"/>
    <col min="77" max="78" width="9.33203125" style="19" bestFit="1" customWidth="1"/>
    <col min="79" max="80" width="9.109375" style="19"/>
    <col min="81" max="81" width="9.109375" style="47"/>
    <col min="82" max="82" width="9.109375" style="46"/>
    <col min="83" max="100" width="9.109375" style="19"/>
    <col min="101" max="16384" width="9.109375" style="12"/>
  </cols>
  <sheetData>
    <row r="1" spans="1:173" ht="17.25" customHeight="1" x14ac:dyDescent="0.3">
      <c r="B1" s="164" t="s">
        <v>0</v>
      </c>
      <c r="C1" s="241"/>
      <c r="D1" s="241"/>
      <c r="E1" s="241"/>
      <c r="F1" s="241"/>
      <c r="G1" s="241"/>
      <c r="H1" s="241"/>
      <c r="I1" s="241"/>
      <c r="J1" s="241"/>
      <c r="K1" s="163" t="str">
        <f>IF(C1="","BLANK","EQ")</f>
        <v>BLANK</v>
      </c>
      <c r="L1" s="3"/>
      <c r="M1" s="4">
        <v>2020</v>
      </c>
      <c r="N1" s="8" t="s">
        <v>183</v>
      </c>
      <c r="O1" s="8"/>
      <c r="P1" s="8"/>
      <c r="Q1" s="8"/>
      <c r="R1" s="8"/>
      <c r="T1" s="11"/>
      <c r="W1" s="8"/>
      <c r="Y1" s="8"/>
      <c r="Z1" s="3" t="s">
        <v>182</v>
      </c>
      <c r="AA1" s="11" t="s">
        <v>816</v>
      </c>
      <c r="AB1" s="19" t="s">
        <v>817</v>
      </c>
      <c r="AC1" s="47"/>
      <c r="AD1" s="165"/>
      <c r="AE1" s="166"/>
      <c r="AF1" s="166"/>
      <c r="AG1" s="166"/>
      <c r="AH1" s="166"/>
      <c r="AI1" s="166"/>
      <c r="AJ1" s="166"/>
      <c r="AK1" s="166"/>
      <c r="AL1" s="166"/>
      <c r="AM1" s="166"/>
      <c r="AN1" s="166"/>
      <c r="AO1" s="166"/>
      <c r="AP1" s="166"/>
      <c r="AQ1" s="166"/>
      <c r="AR1" s="165"/>
      <c r="AS1" s="166"/>
      <c r="AT1" s="166"/>
      <c r="AU1" s="166"/>
      <c r="AV1" s="166"/>
      <c r="AW1" s="166"/>
      <c r="AX1" s="166"/>
      <c r="AY1" s="166"/>
      <c r="AZ1" s="166"/>
      <c r="BA1" s="166"/>
      <c r="BB1" s="166"/>
      <c r="BC1" s="166"/>
      <c r="BD1" s="166"/>
      <c r="BE1" s="166"/>
      <c r="BF1" s="165"/>
      <c r="BG1" s="167"/>
      <c r="BH1" s="167"/>
      <c r="BI1" s="167"/>
      <c r="BJ1" s="167"/>
      <c r="BK1" s="167"/>
      <c r="BL1" s="167"/>
      <c r="BM1" s="167"/>
      <c r="BN1" s="167"/>
      <c r="BO1" s="167"/>
      <c r="BP1" s="167"/>
      <c r="BQ1" s="167"/>
      <c r="BR1" s="167"/>
      <c r="BS1" s="167"/>
      <c r="BT1" s="165"/>
      <c r="BU1" s="139"/>
      <c r="BV1" s="139"/>
      <c r="BW1" s="139"/>
      <c r="BX1" s="139"/>
      <c r="BY1" s="139"/>
      <c r="BZ1" s="139"/>
      <c r="CA1" s="139"/>
      <c r="CB1" s="139"/>
      <c r="CC1" s="139"/>
      <c r="CD1" s="139"/>
      <c r="CE1" s="139"/>
      <c r="CF1" s="139"/>
      <c r="CG1" s="139"/>
      <c r="CH1" s="82"/>
      <c r="CI1" s="139"/>
      <c r="CJ1" s="139"/>
      <c r="CK1" s="139"/>
      <c r="CL1" s="139"/>
      <c r="CM1" s="139"/>
      <c r="CN1" s="139"/>
      <c r="CO1" s="139"/>
      <c r="CP1" s="139"/>
      <c r="CQ1" s="139"/>
      <c r="CR1" s="139"/>
      <c r="CS1" s="139"/>
      <c r="CT1" s="139"/>
      <c r="CU1" s="139"/>
      <c r="CW1" s="234" t="s">
        <v>815</v>
      </c>
      <c r="CX1" s="234"/>
      <c r="CY1" s="234"/>
      <c r="CZ1" s="234"/>
      <c r="DA1" s="234"/>
      <c r="DB1" s="234"/>
      <c r="DC1" s="234"/>
      <c r="DD1" s="234"/>
      <c r="DE1" s="234"/>
      <c r="DF1" s="234"/>
      <c r="DG1" s="168"/>
      <c r="DH1" s="235" t="s">
        <v>94</v>
      </c>
      <c r="DI1" s="235"/>
      <c r="DJ1" s="235"/>
      <c r="DK1" s="235"/>
      <c r="DL1" s="235"/>
      <c r="DM1" s="235"/>
      <c r="DN1" s="235"/>
      <c r="DO1" s="235"/>
      <c r="DP1" s="235"/>
      <c r="DQ1" s="235"/>
      <c r="DR1" s="235"/>
      <c r="DS1" s="235"/>
      <c r="DT1" s="235"/>
      <c r="DU1" s="235"/>
      <c r="DV1" s="235"/>
      <c r="DW1" s="235"/>
      <c r="DX1" s="235"/>
      <c r="DY1" s="235"/>
      <c r="DZ1" s="235"/>
      <c r="EA1" s="235"/>
      <c r="EB1" s="235"/>
      <c r="EC1" s="235"/>
      <c r="ED1" s="235"/>
      <c r="EE1" s="235" t="s">
        <v>104</v>
      </c>
      <c r="EF1" s="235"/>
      <c r="EG1" s="235"/>
      <c r="EH1" s="235"/>
      <c r="EI1" s="235"/>
      <c r="EJ1" s="235"/>
      <c r="EK1" s="235"/>
      <c r="EL1" s="235"/>
      <c r="EM1" s="235" t="s">
        <v>152</v>
      </c>
      <c r="EN1" s="235"/>
      <c r="EO1" s="235"/>
      <c r="EP1" s="235"/>
      <c r="EQ1" s="235"/>
      <c r="ER1" s="235"/>
      <c r="ES1" s="235"/>
      <c r="EU1" s="235" t="s">
        <v>105</v>
      </c>
      <c r="EV1" s="236"/>
      <c r="EW1" s="236"/>
      <c r="EX1" s="236"/>
      <c r="EY1" s="236"/>
      <c r="EZ1" s="236"/>
      <c r="FA1" s="236"/>
      <c r="FB1" s="236"/>
      <c r="FC1" s="236"/>
      <c r="FD1" s="236"/>
      <c r="FE1" s="236"/>
      <c r="FF1" s="236"/>
      <c r="FG1" s="236"/>
      <c r="FH1" s="236"/>
      <c r="FI1" s="236"/>
      <c r="FJ1" s="235" t="s">
        <v>106</v>
      </c>
      <c r="FK1" s="235"/>
      <c r="FL1" s="235"/>
      <c r="FM1" s="235"/>
      <c r="FN1" s="235"/>
      <c r="FO1" s="235"/>
      <c r="FP1" s="235"/>
      <c r="FQ1" s="235"/>
    </row>
    <row r="2" spans="1:173" ht="15.75" customHeight="1" x14ac:dyDescent="0.3">
      <c r="B2" s="164" t="s">
        <v>5</v>
      </c>
      <c r="C2" s="241"/>
      <c r="D2" s="241"/>
      <c r="E2" s="241"/>
      <c r="F2" s="241"/>
      <c r="G2" s="241"/>
      <c r="H2" s="253"/>
      <c r="I2" s="253"/>
      <c r="J2" s="241"/>
      <c r="K2" s="163" t="str">
        <f>IF(C2="","BLANK","EQ")</f>
        <v>BLANK</v>
      </c>
      <c r="L2" s="3"/>
      <c r="M2" s="236"/>
      <c r="N2" s="236"/>
      <c r="O2" s="236"/>
      <c r="P2" s="236"/>
      <c r="Q2" s="236"/>
      <c r="R2" s="236"/>
      <c r="S2" s="236"/>
      <c r="T2" s="236"/>
      <c r="U2" s="236"/>
      <c r="V2" s="236"/>
      <c r="W2" s="236"/>
      <c r="X2" s="236"/>
      <c r="Y2" s="236"/>
      <c r="Z2" s="236"/>
      <c r="AA2" s="236"/>
      <c r="AB2" s="19" t="s">
        <v>818</v>
      </c>
      <c r="AC2" s="47"/>
      <c r="AD2" s="165"/>
      <c r="AE2" s="166"/>
      <c r="AF2" s="166"/>
      <c r="AG2" s="166"/>
      <c r="AH2" s="166"/>
      <c r="AI2" s="166"/>
      <c r="AJ2" s="166"/>
      <c r="AK2" s="166"/>
      <c r="AL2" s="166"/>
      <c r="AM2" s="166"/>
      <c r="AN2" s="166"/>
      <c r="AO2" s="166"/>
      <c r="AP2" s="166"/>
      <c r="AQ2" s="166"/>
      <c r="AR2" s="165"/>
      <c r="AS2" s="166"/>
      <c r="AT2" s="166"/>
      <c r="AU2" s="166"/>
      <c r="AV2" s="166"/>
      <c r="AW2" s="166"/>
      <c r="AX2" s="166"/>
      <c r="AY2" s="166"/>
      <c r="AZ2" s="166"/>
      <c r="BA2" s="166"/>
      <c r="BB2" s="166"/>
      <c r="BC2" s="166"/>
      <c r="BD2" s="166"/>
      <c r="BE2" s="166"/>
      <c r="BF2" s="165"/>
      <c r="BG2" s="167"/>
      <c r="BH2" s="167"/>
      <c r="BI2" s="167"/>
      <c r="BJ2" s="167"/>
      <c r="BK2" s="167"/>
      <c r="BL2" s="167"/>
      <c r="BM2" s="167"/>
      <c r="BN2" s="167"/>
      <c r="BO2" s="167"/>
      <c r="BP2" s="167"/>
      <c r="BQ2" s="167"/>
      <c r="BR2" s="167"/>
      <c r="BS2" s="167"/>
      <c r="BT2" s="165"/>
      <c r="BU2" s="139"/>
      <c r="BV2" s="139"/>
      <c r="BW2" s="139"/>
      <c r="BX2" s="139"/>
      <c r="BY2" s="139"/>
      <c r="BZ2" s="139"/>
      <c r="CA2" s="139"/>
      <c r="CB2" s="139"/>
      <c r="CC2" s="139"/>
      <c r="CD2" s="139"/>
      <c r="CE2" s="139"/>
      <c r="CF2" s="139"/>
      <c r="CG2" s="139"/>
      <c r="CH2" s="66"/>
      <c r="CI2" s="139"/>
      <c r="CJ2" s="139"/>
      <c r="CK2" s="139"/>
      <c r="CL2" s="139"/>
      <c r="CM2" s="139"/>
      <c r="CN2" s="139"/>
      <c r="CO2" s="139"/>
      <c r="CP2" s="139"/>
      <c r="CQ2" s="139"/>
      <c r="CR2" s="139"/>
      <c r="CS2" s="139"/>
      <c r="CT2" s="139"/>
      <c r="CU2" s="139"/>
      <c r="CW2" s="234"/>
      <c r="CX2" s="234"/>
      <c r="CY2" s="234"/>
      <c r="CZ2" s="234"/>
      <c r="DA2" s="234"/>
      <c r="DB2" s="234"/>
      <c r="DC2" s="234"/>
      <c r="DD2" s="234"/>
      <c r="DE2" s="234"/>
      <c r="DF2" s="234"/>
      <c r="DG2" s="168"/>
      <c r="DH2" s="235"/>
      <c r="DI2" s="235"/>
      <c r="DJ2" s="235"/>
      <c r="DK2" s="235"/>
      <c r="DL2" s="235"/>
      <c r="DM2" s="235"/>
      <c r="DN2" s="235"/>
      <c r="DO2" s="235"/>
      <c r="DP2" s="235"/>
      <c r="DQ2" s="235"/>
      <c r="DR2" s="235"/>
      <c r="DS2" s="235"/>
      <c r="DT2" s="235"/>
      <c r="DU2" s="235"/>
      <c r="DV2" s="235"/>
      <c r="DW2" s="235"/>
      <c r="DX2" s="235"/>
      <c r="DY2" s="235"/>
      <c r="DZ2" s="235"/>
      <c r="EA2" s="235"/>
      <c r="EB2" s="235"/>
      <c r="EC2" s="235"/>
      <c r="ED2" s="235"/>
      <c r="EE2" s="235"/>
      <c r="EF2" s="235"/>
      <c r="EG2" s="235"/>
      <c r="EH2" s="235"/>
      <c r="EI2" s="235"/>
      <c r="EJ2" s="235"/>
      <c r="EK2" s="235"/>
      <c r="EL2" s="235"/>
      <c r="EM2" s="235"/>
      <c r="EN2" s="235"/>
      <c r="EO2" s="235"/>
      <c r="EP2" s="235"/>
      <c r="EQ2" s="235"/>
      <c r="ER2" s="235"/>
      <c r="ES2" s="235"/>
      <c r="EU2" s="236"/>
      <c r="EV2" s="236"/>
      <c r="EW2" s="236"/>
      <c r="EX2" s="236"/>
      <c r="EY2" s="236"/>
      <c r="EZ2" s="236"/>
      <c r="FA2" s="236"/>
      <c r="FB2" s="236"/>
      <c r="FC2" s="236"/>
      <c r="FD2" s="236"/>
      <c r="FE2" s="236"/>
      <c r="FF2" s="236"/>
      <c r="FG2" s="236"/>
      <c r="FH2" s="236"/>
      <c r="FI2" s="236"/>
      <c r="FJ2" s="235"/>
      <c r="FK2" s="235"/>
      <c r="FL2" s="235"/>
      <c r="FM2" s="235"/>
      <c r="FN2" s="235"/>
      <c r="FO2" s="235"/>
      <c r="FP2" s="235"/>
      <c r="FQ2" s="235"/>
    </row>
    <row r="3" spans="1:173" ht="15.75" customHeight="1" x14ac:dyDescent="0.3">
      <c r="B3" s="164" t="s">
        <v>110</v>
      </c>
      <c r="C3" s="19"/>
      <c r="D3" s="255" t="s">
        <v>170</v>
      </c>
      <c r="E3" s="256"/>
      <c r="F3" s="257" t="s">
        <v>171</v>
      </c>
      <c r="G3" s="258"/>
      <c r="H3" s="241" t="s">
        <v>172</v>
      </c>
      <c r="I3" s="241"/>
      <c r="K3" s="25" t="s">
        <v>89</v>
      </c>
      <c r="L3" s="3"/>
      <c r="M3" s="169" t="s">
        <v>179</v>
      </c>
      <c r="N3" s="170"/>
      <c r="O3" s="170"/>
      <c r="P3" s="170"/>
      <c r="Q3" s="170"/>
      <c r="R3" s="170"/>
      <c r="S3" s="170"/>
      <c r="T3" s="170"/>
      <c r="U3" s="170"/>
      <c r="V3" s="170"/>
      <c r="W3" s="170"/>
      <c r="X3" s="170"/>
      <c r="Y3" s="170"/>
      <c r="Z3" s="170"/>
      <c r="AA3" s="170"/>
      <c r="AB3" s="51" t="s">
        <v>822</v>
      </c>
      <c r="AC3" s="47"/>
      <c r="AD3" s="165"/>
      <c r="AE3" s="166"/>
      <c r="AF3" s="166"/>
      <c r="AG3" s="166"/>
      <c r="AH3" s="166"/>
      <c r="AI3" s="166"/>
      <c r="AJ3" s="166"/>
      <c r="AK3" s="166"/>
      <c r="AL3" s="166"/>
      <c r="AM3" s="166"/>
      <c r="AN3" s="166"/>
      <c r="AO3" s="166"/>
      <c r="AP3" s="166"/>
      <c r="AQ3" s="166"/>
      <c r="AR3" s="165"/>
      <c r="AS3" s="166"/>
      <c r="AT3" s="166"/>
      <c r="AU3" s="166"/>
      <c r="AV3" s="166"/>
      <c r="AW3" s="166"/>
      <c r="AX3" s="166"/>
      <c r="AY3" s="166"/>
      <c r="AZ3" s="166"/>
      <c r="BA3" s="166"/>
      <c r="BB3" s="166"/>
      <c r="BC3" s="166"/>
      <c r="BD3" s="166"/>
      <c r="BE3" s="166"/>
      <c r="BF3" s="165"/>
      <c r="BG3" s="167"/>
      <c r="BH3" s="167"/>
      <c r="BI3" s="167"/>
      <c r="BJ3" s="167"/>
      <c r="BK3" s="167"/>
      <c r="BL3" s="167"/>
      <c r="BM3" s="167"/>
      <c r="BN3" s="167"/>
      <c r="BO3" s="167"/>
      <c r="BP3" s="167"/>
      <c r="BQ3" s="167"/>
      <c r="BR3" s="167"/>
      <c r="BS3" s="167"/>
      <c r="BT3" s="165"/>
      <c r="BU3" s="139"/>
      <c r="BV3" s="139"/>
      <c r="BW3" s="139"/>
      <c r="BX3" s="139"/>
      <c r="BY3" s="139"/>
      <c r="BZ3" s="139"/>
      <c r="CA3" s="139"/>
      <c r="CB3" s="139"/>
      <c r="CC3" s="139"/>
      <c r="CD3" s="139"/>
      <c r="CE3" s="139"/>
      <c r="CF3" s="139"/>
      <c r="CG3" s="139"/>
      <c r="CH3" s="66"/>
      <c r="CI3" s="139"/>
      <c r="CJ3" s="139"/>
      <c r="CK3" s="139"/>
      <c r="CL3" s="139"/>
      <c r="CM3" s="139"/>
      <c r="CN3" s="139"/>
      <c r="CO3" s="139"/>
      <c r="CP3" s="139"/>
      <c r="CQ3" s="139"/>
      <c r="CR3" s="139"/>
      <c r="CS3" s="139"/>
      <c r="CT3" s="139"/>
      <c r="CU3" s="139"/>
      <c r="CV3" s="47"/>
      <c r="CW3" s="234"/>
      <c r="CX3" s="234"/>
      <c r="CY3" s="234"/>
      <c r="CZ3" s="234"/>
      <c r="DA3" s="234"/>
      <c r="DB3" s="234"/>
      <c r="DC3" s="234"/>
      <c r="DD3" s="234"/>
      <c r="DE3" s="234"/>
      <c r="DF3" s="234"/>
      <c r="DG3" s="168"/>
    </row>
    <row r="4" spans="1:173" ht="15.75" customHeight="1" x14ac:dyDescent="0.3">
      <c r="B4" s="164" t="s">
        <v>109</v>
      </c>
      <c r="C4" s="19"/>
      <c r="D4" s="273"/>
      <c r="E4" s="273"/>
      <c r="F4" s="274"/>
      <c r="G4" s="275"/>
      <c r="H4" s="276"/>
      <c r="I4" s="276"/>
      <c r="K4" s="25" t="str">
        <f>IF(AND(D4="",H4="",F4=""),"BLANK",
IF(AND(NOT(D4=""),NOT(OR(G8="Select",G8="IC - Internal Combustion"))),"REJECT","EQ"))</f>
        <v>BLANK</v>
      </c>
      <c r="L4" s="3"/>
      <c r="M4" s="7" t="s">
        <v>178</v>
      </c>
      <c r="N4" s="7"/>
      <c r="O4" s="7"/>
      <c r="P4" s="7"/>
      <c r="Q4" s="7"/>
      <c r="R4" s="7"/>
      <c r="S4" s="7"/>
      <c r="T4" s="7"/>
      <c r="U4" s="7"/>
      <c r="V4" s="7"/>
      <c r="W4" s="7"/>
      <c r="X4" s="7"/>
      <c r="Y4" s="7"/>
      <c r="Z4" s="7"/>
      <c r="AA4" s="7"/>
      <c r="AB4" s="47"/>
      <c r="AC4" s="47"/>
      <c r="AD4" s="165"/>
      <c r="AE4" s="166"/>
      <c r="AF4" s="166"/>
      <c r="AG4" s="166"/>
      <c r="AH4" s="166"/>
      <c r="AI4" s="166"/>
      <c r="AJ4" s="166"/>
      <c r="AK4" s="166"/>
      <c r="AL4" s="166"/>
      <c r="AM4" s="166"/>
      <c r="AN4" s="166"/>
      <c r="AO4" s="166"/>
      <c r="AP4" s="166"/>
      <c r="AQ4" s="166"/>
      <c r="AR4" s="165"/>
      <c r="AS4" s="166"/>
      <c r="AT4" s="166"/>
      <c r="AU4" s="166"/>
      <c r="AV4" s="166"/>
      <c r="AW4" s="166"/>
      <c r="AX4" s="166"/>
      <c r="AY4" s="166"/>
      <c r="AZ4" s="166"/>
      <c r="BA4" s="166"/>
      <c r="BB4" s="166"/>
      <c r="BC4" s="166"/>
      <c r="BD4" s="166"/>
      <c r="BE4" s="166"/>
      <c r="BF4" s="165"/>
      <c r="BG4" s="167"/>
      <c r="BH4" s="167"/>
      <c r="BI4" s="167"/>
      <c r="BJ4" s="167"/>
      <c r="BK4" s="167"/>
      <c r="BL4" s="167"/>
      <c r="BM4" s="167"/>
      <c r="BN4" s="167"/>
      <c r="BO4" s="167"/>
      <c r="BP4" s="167"/>
      <c r="BQ4" s="167"/>
      <c r="BR4" s="167"/>
      <c r="BS4" s="167"/>
      <c r="BT4" s="165"/>
      <c r="BU4" s="139"/>
      <c r="BV4" s="139"/>
      <c r="BW4" s="139"/>
      <c r="BX4" s="139"/>
      <c r="BY4" s="139"/>
      <c r="BZ4" s="139"/>
      <c r="CA4" s="139"/>
      <c r="CB4" s="139"/>
      <c r="CC4" s="139"/>
      <c r="CD4" s="139"/>
      <c r="CE4" s="139"/>
      <c r="CF4" s="139"/>
      <c r="CG4" s="139"/>
      <c r="CH4" s="66"/>
      <c r="CI4" s="139"/>
      <c r="CJ4" s="139"/>
      <c r="CK4" s="139"/>
      <c r="CL4" s="139"/>
      <c r="CM4" s="139"/>
      <c r="CN4" s="139"/>
      <c r="CO4" s="139"/>
      <c r="CP4" s="139"/>
      <c r="CQ4" s="139"/>
      <c r="CR4" s="139"/>
      <c r="CS4" s="139"/>
      <c r="CT4" s="139"/>
      <c r="CU4" s="139"/>
      <c r="CV4" s="47"/>
      <c r="CW4" s="234"/>
      <c r="CX4" s="234"/>
      <c r="CY4" s="234"/>
      <c r="CZ4" s="234"/>
      <c r="DA4" s="234"/>
      <c r="DB4" s="234"/>
      <c r="DC4" s="234"/>
      <c r="DD4" s="234"/>
      <c r="DE4" s="234"/>
      <c r="DF4" s="234"/>
      <c r="DG4" s="168"/>
    </row>
    <row r="5" spans="1:173" ht="15.75" customHeight="1" x14ac:dyDescent="0.3">
      <c r="B5" s="164" t="s">
        <v>14</v>
      </c>
      <c r="C5" s="241"/>
      <c r="D5" s="241"/>
      <c r="E5" s="241"/>
      <c r="F5" s="241"/>
      <c r="G5" s="241"/>
      <c r="H5" s="254"/>
      <c r="I5" s="254"/>
      <c r="J5" s="241"/>
      <c r="K5" s="163" t="str">
        <f>IF(C5="","BLANK","EQ")</f>
        <v>BLANK</v>
      </c>
      <c r="L5" s="3"/>
      <c r="M5" s="7" t="s">
        <v>154</v>
      </c>
      <c r="N5" s="7"/>
      <c r="O5" s="7"/>
      <c r="P5" s="7"/>
      <c r="Q5" s="7"/>
      <c r="R5" s="7"/>
      <c r="S5" s="7"/>
      <c r="T5" s="7"/>
      <c r="U5" s="7"/>
      <c r="V5" s="7"/>
      <c r="W5" s="7"/>
      <c r="X5" s="7"/>
      <c r="Y5" s="7"/>
      <c r="Z5" s="7"/>
      <c r="AA5" s="7"/>
      <c r="AB5" s="47"/>
      <c r="AC5" s="47"/>
      <c r="AD5" s="165"/>
      <c r="AE5" s="166"/>
      <c r="AF5" s="166"/>
      <c r="AG5" s="166"/>
      <c r="AH5" s="166"/>
      <c r="AI5" s="166"/>
      <c r="AJ5" s="166"/>
      <c r="AK5" s="166"/>
      <c r="AL5" s="166"/>
      <c r="AM5" s="166"/>
      <c r="AN5" s="166"/>
      <c r="AO5" s="166"/>
      <c r="AP5" s="166"/>
      <c r="AQ5" s="166"/>
      <c r="AR5" s="165"/>
      <c r="AS5" s="166"/>
      <c r="AT5" s="166"/>
      <c r="AU5" s="166"/>
      <c r="AV5" s="166"/>
      <c r="AW5" s="166"/>
      <c r="AX5" s="166"/>
      <c r="AY5" s="166"/>
      <c r="AZ5" s="166"/>
      <c r="BA5" s="166"/>
      <c r="BB5" s="166"/>
      <c r="BC5" s="166"/>
      <c r="BD5" s="166"/>
      <c r="BE5" s="166"/>
      <c r="BF5" s="165"/>
      <c r="BG5" s="167"/>
      <c r="BH5" s="167"/>
      <c r="BI5" s="167"/>
      <c r="BJ5" s="167"/>
      <c r="BK5" s="167"/>
      <c r="BL5" s="167"/>
      <c r="BM5" s="167"/>
      <c r="BN5" s="167"/>
      <c r="BO5" s="167"/>
      <c r="BP5" s="167"/>
      <c r="BQ5" s="167"/>
      <c r="BR5" s="167"/>
      <c r="BS5" s="167"/>
      <c r="BT5" s="165"/>
      <c r="BU5" s="139"/>
      <c r="BV5" s="139"/>
      <c r="BW5" s="139"/>
      <c r="BX5" s="139"/>
      <c r="BY5" s="139"/>
      <c r="BZ5" s="139"/>
      <c r="CA5" s="139"/>
      <c r="CB5" s="139"/>
      <c r="CC5" s="139"/>
      <c r="CD5" s="139"/>
      <c r="CE5" s="139"/>
      <c r="CF5" s="139"/>
      <c r="CG5" s="139"/>
      <c r="CH5" s="66"/>
      <c r="CI5" s="139"/>
      <c r="CJ5" s="139"/>
      <c r="CK5" s="139"/>
      <c r="CL5" s="139"/>
      <c r="CM5" s="139"/>
      <c r="CN5" s="139"/>
      <c r="CO5" s="139"/>
      <c r="CP5" s="139"/>
      <c r="CQ5" s="139"/>
      <c r="CR5" s="139"/>
      <c r="CS5" s="139"/>
      <c r="CT5" s="139"/>
      <c r="CU5" s="139"/>
      <c r="CV5" s="47"/>
      <c r="CW5" s="234"/>
      <c r="CX5" s="234"/>
      <c r="CY5" s="234"/>
      <c r="CZ5" s="234"/>
      <c r="DA5" s="234"/>
      <c r="DB5" s="234"/>
      <c r="DC5" s="234"/>
      <c r="DD5" s="234"/>
      <c r="DE5" s="234"/>
      <c r="DF5" s="234"/>
      <c r="DG5" s="168"/>
    </row>
    <row r="6" spans="1:173" ht="15.75" customHeight="1" x14ac:dyDescent="0.3">
      <c r="B6" s="164" t="s">
        <v>6</v>
      </c>
      <c r="C6" s="241"/>
      <c r="D6" s="241"/>
      <c r="E6" s="241"/>
      <c r="F6" s="241"/>
      <c r="G6" s="241"/>
      <c r="H6" s="241"/>
      <c r="I6" s="241"/>
      <c r="J6" s="241"/>
      <c r="K6" s="163" t="str">
        <f>IF(C6="","BLANK","EQ")</f>
        <v>BLANK</v>
      </c>
      <c r="L6" s="3"/>
      <c r="M6" s="7" t="s">
        <v>530</v>
      </c>
      <c r="N6" s="93"/>
      <c r="O6" s="93"/>
      <c r="P6" s="93"/>
      <c r="Q6" s="93"/>
      <c r="R6" s="93"/>
      <c r="S6" s="93"/>
      <c r="T6" s="93"/>
      <c r="U6" s="93"/>
      <c r="V6" s="93"/>
      <c r="W6" s="93"/>
      <c r="X6" s="93"/>
      <c r="Y6" s="93"/>
      <c r="Z6" s="93"/>
      <c r="AA6" s="93"/>
      <c r="AB6" s="47"/>
      <c r="AC6" s="47"/>
      <c r="AD6" s="165"/>
      <c r="AE6" s="166"/>
      <c r="AF6" s="166"/>
      <c r="AG6" s="166"/>
      <c r="AH6" s="166"/>
      <c r="AI6" s="166"/>
      <c r="AJ6" s="166"/>
      <c r="AK6" s="166"/>
      <c r="AL6" s="166"/>
      <c r="AM6" s="166"/>
      <c r="AN6" s="166"/>
      <c r="AO6" s="166"/>
      <c r="AP6" s="166"/>
      <c r="AQ6" s="166"/>
      <c r="AR6" s="165"/>
      <c r="AS6" s="166"/>
      <c r="AT6" s="166"/>
      <c r="AU6" s="166"/>
      <c r="AV6" s="166"/>
      <c r="AW6" s="166"/>
      <c r="AX6" s="166"/>
      <c r="AY6" s="166"/>
      <c r="AZ6" s="166"/>
      <c r="BA6" s="166"/>
      <c r="BB6" s="166"/>
      <c r="BC6" s="166"/>
      <c r="BD6" s="166"/>
      <c r="BE6" s="166"/>
      <c r="BF6" s="165"/>
      <c r="BG6" s="167"/>
      <c r="BH6" s="167"/>
      <c r="BI6" s="167"/>
      <c r="BJ6" s="167"/>
      <c r="BK6" s="167"/>
      <c r="BL6" s="167"/>
      <c r="BM6" s="167"/>
      <c r="BN6" s="167"/>
      <c r="BO6" s="167"/>
      <c r="BP6" s="167"/>
      <c r="BQ6" s="167"/>
      <c r="BR6" s="167"/>
      <c r="BS6" s="167"/>
      <c r="BT6" s="165"/>
      <c r="BU6" s="139"/>
      <c r="BV6" s="139"/>
      <c r="BW6" s="139"/>
      <c r="BX6" s="139"/>
      <c r="BY6" s="139"/>
      <c r="BZ6" s="139"/>
      <c r="CA6" s="139"/>
      <c r="CB6" s="139"/>
      <c r="CC6" s="139"/>
      <c r="CD6" s="139"/>
      <c r="CE6" s="139"/>
      <c r="CF6" s="139"/>
      <c r="CG6" s="139"/>
      <c r="CH6" s="93"/>
      <c r="CI6" s="139"/>
      <c r="CJ6" s="139"/>
      <c r="CK6" s="139"/>
      <c r="CL6" s="139"/>
      <c r="CM6" s="139"/>
      <c r="CN6" s="139"/>
      <c r="CO6" s="139"/>
      <c r="CP6" s="139"/>
      <c r="CQ6" s="139"/>
      <c r="CR6" s="139"/>
      <c r="CS6" s="139"/>
      <c r="CT6" s="139"/>
      <c r="CU6" s="139"/>
      <c r="CV6" s="47"/>
      <c r="CW6" s="234"/>
      <c r="CX6" s="234"/>
      <c r="CY6" s="234"/>
      <c r="CZ6" s="234"/>
      <c r="DA6" s="234"/>
      <c r="DB6" s="234"/>
      <c r="DC6" s="234"/>
      <c r="DD6" s="234"/>
      <c r="DE6" s="234"/>
      <c r="DF6" s="234"/>
      <c r="DG6" s="168"/>
    </row>
    <row r="7" spans="1:173" ht="15.75" customHeight="1" thickBot="1" x14ac:dyDescent="0.35">
      <c r="A7" s="259" t="s">
        <v>2</v>
      </c>
      <c r="B7" s="259"/>
      <c r="C7" s="259" t="s">
        <v>1</v>
      </c>
      <c r="D7" s="259"/>
      <c r="E7" s="259" t="s">
        <v>181</v>
      </c>
      <c r="F7" s="259"/>
      <c r="G7" s="260" t="s">
        <v>174</v>
      </c>
      <c r="H7" s="260"/>
      <c r="I7" s="260"/>
      <c r="J7" s="260"/>
      <c r="K7" s="163" t="s">
        <v>89</v>
      </c>
      <c r="L7" s="3"/>
      <c r="M7" s="171" t="s">
        <v>180</v>
      </c>
      <c r="AB7" s="47"/>
      <c r="AC7" s="47"/>
      <c r="AD7" s="165"/>
      <c r="AE7" s="166"/>
      <c r="AF7" s="166"/>
      <c r="AG7" s="166"/>
      <c r="AH7" s="166"/>
      <c r="AI7" s="166"/>
      <c r="AJ7" s="166"/>
      <c r="AK7" s="166"/>
      <c r="AL7" s="166"/>
      <c r="AM7" s="166"/>
      <c r="AN7" s="166"/>
      <c r="AO7" s="166"/>
      <c r="AP7" s="166"/>
      <c r="AQ7" s="166"/>
      <c r="AR7" s="165"/>
      <c r="AS7" s="166"/>
      <c r="AT7" s="166"/>
      <c r="AU7" s="166"/>
      <c r="AV7" s="166"/>
      <c r="AW7" s="166"/>
      <c r="AX7" s="166"/>
      <c r="AY7" s="166"/>
      <c r="AZ7" s="166"/>
      <c r="BA7" s="166"/>
      <c r="BB7" s="166"/>
      <c r="BC7" s="166"/>
      <c r="BD7" s="166"/>
      <c r="BE7" s="166"/>
      <c r="BF7" s="165"/>
      <c r="BG7" s="167"/>
      <c r="BH7" s="167"/>
      <c r="BI7" s="167"/>
      <c r="BJ7" s="167"/>
      <c r="BK7" s="167"/>
      <c r="BL7" s="167"/>
      <c r="BM7" s="167"/>
      <c r="BN7" s="167"/>
      <c r="BO7" s="167"/>
      <c r="BP7" s="167"/>
      <c r="BQ7" s="167"/>
      <c r="BR7" s="167"/>
      <c r="BS7" s="167"/>
      <c r="BT7" s="165"/>
      <c r="BU7" s="139"/>
      <c r="BV7" s="139"/>
      <c r="BW7" s="139"/>
      <c r="BX7" s="139"/>
      <c r="BY7" s="139"/>
      <c r="BZ7" s="139"/>
      <c r="CA7" s="139"/>
      <c r="CB7" s="139"/>
      <c r="CC7" s="139"/>
      <c r="CD7" s="139"/>
      <c r="CE7" s="139"/>
      <c r="CF7" s="139"/>
      <c r="CG7" s="139"/>
      <c r="CH7" s="172"/>
      <c r="CI7" s="139"/>
      <c r="CJ7" s="139"/>
      <c r="CK7" s="139"/>
      <c r="CL7" s="139"/>
      <c r="CM7" s="139"/>
      <c r="CN7" s="139"/>
      <c r="CO7" s="139"/>
      <c r="CP7" s="139"/>
      <c r="CQ7" s="139"/>
      <c r="CR7" s="139"/>
      <c r="CS7" s="139"/>
      <c r="CT7" s="139"/>
      <c r="CU7" s="139"/>
      <c r="CV7" s="47"/>
      <c r="CW7" s="168"/>
      <c r="CX7" s="168"/>
      <c r="CY7" s="168"/>
      <c r="CZ7" s="168"/>
      <c r="DA7" s="168"/>
      <c r="DB7" s="168"/>
      <c r="DC7" s="168"/>
      <c r="DD7" s="168"/>
      <c r="DE7" s="168"/>
      <c r="DF7" s="168"/>
      <c r="DG7" s="173"/>
    </row>
    <row r="8" spans="1:173" ht="15.75" customHeight="1" thickBot="1" x14ac:dyDescent="0.35">
      <c r="A8" s="248"/>
      <c r="B8" s="248"/>
      <c r="C8" s="242"/>
      <c r="D8" s="242"/>
      <c r="E8" s="243" t="s">
        <v>477</v>
      </c>
      <c r="F8" s="244"/>
      <c r="G8" s="243" t="s">
        <v>477</v>
      </c>
      <c r="H8" s="247"/>
      <c r="I8" s="247"/>
      <c r="J8" s="244"/>
      <c r="K8" s="163" t="str">
        <f>IF(OR(E8="Other Equivalence",G8="EV - Other Equivalence"),"REJECT",
IF(K4="REJECT","REJECT",
IF(OR(A8="",C8="",G8="Select",E8="Select"),"BLANK","EQ")))</f>
        <v>BLANK</v>
      </c>
      <c r="L8" s="3"/>
      <c r="AB8" s="47"/>
      <c r="AC8" s="47"/>
      <c r="AD8" s="165"/>
      <c r="AE8" s="166"/>
      <c r="AF8" s="166"/>
      <c r="AG8" s="166"/>
      <c r="AH8" s="166"/>
      <c r="AI8" s="166"/>
      <c r="AJ8" s="166"/>
      <c r="AK8" s="166"/>
      <c r="AL8" s="166"/>
      <c r="AM8" s="166"/>
      <c r="AN8" s="166"/>
      <c r="AO8" s="166"/>
      <c r="AP8" s="166"/>
      <c r="AQ8" s="166"/>
      <c r="AR8" s="165"/>
      <c r="AS8" s="166"/>
      <c r="AT8" s="166"/>
      <c r="AU8" s="166"/>
      <c r="AV8" s="166"/>
      <c r="AW8" s="166"/>
      <c r="AX8" s="166"/>
      <c r="AY8" s="166"/>
      <c r="AZ8" s="166"/>
      <c r="BA8" s="166"/>
      <c r="BB8" s="166"/>
      <c r="BC8" s="166"/>
      <c r="BD8" s="166"/>
      <c r="BE8" s="166"/>
      <c r="BF8" s="165"/>
      <c r="BG8" s="167"/>
      <c r="BH8" s="167"/>
      <c r="BI8" s="167"/>
      <c r="BJ8" s="167"/>
      <c r="BK8" s="167"/>
      <c r="BL8" s="167"/>
      <c r="BM8" s="167"/>
      <c r="BN8" s="167"/>
      <c r="BO8" s="167"/>
      <c r="BP8" s="167"/>
      <c r="BQ8" s="167"/>
      <c r="BR8" s="167"/>
      <c r="BS8" s="167"/>
      <c r="BT8" s="165"/>
      <c r="BU8" s="139"/>
      <c r="BV8" s="139"/>
      <c r="BW8" s="139"/>
      <c r="BX8" s="139"/>
      <c r="BY8" s="139"/>
      <c r="BZ8" s="139"/>
      <c r="CA8" s="139"/>
      <c r="CB8" s="139"/>
      <c r="CC8" s="139"/>
      <c r="CD8" s="139"/>
      <c r="CE8" s="139"/>
      <c r="CF8" s="139"/>
      <c r="CG8" s="139"/>
      <c r="CH8" s="141"/>
      <c r="CI8" s="139"/>
      <c r="CJ8" s="139"/>
      <c r="CK8" s="139"/>
      <c r="CL8" s="139"/>
      <c r="CM8" s="139"/>
      <c r="CN8" s="139"/>
      <c r="CO8" s="139"/>
      <c r="CP8" s="139"/>
      <c r="CQ8" s="139"/>
      <c r="CR8" s="139"/>
      <c r="CS8" s="139"/>
      <c r="CT8" s="139"/>
      <c r="CU8" s="139"/>
      <c r="CV8" s="47"/>
      <c r="CW8" s="174" t="s">
        <v>167</v>
      </c>
      <c r="CX8" s="174"/>
      <c r="CY8" s="174"/>
      <c r="CZ8" s="174"/>
      <c r="DA8" s="174"/>
      <c r="DB8" s="174"/>
      <c r="DC8" s="174"/>
      <c r="DD8" s="174"/>
      <c r="DE8" s="174"/>
      <c r="DF8" s="174"/>
      <c r="DG8" s="174"/>
    </row>
    <row r="9" spans="1:173" ht="15.75" customHeight="1" thickBot="1" x14ac:dyDescent="0.35">
      <c r="A9" s="245" t="str">
        <f>IF(OR(E8="Other Equivalence",G8="EV - Other Equivalence"),"FILL OUT THE MONOCOQUE/HYBRID/NON-FERROUS SES.",
IF(K4="REJECT","ILLOGICAL POWERTRAIN",""))</f>
        <v/>
      </c>
      <c r="B9" s="246"/>
      <c r="C9" s="246"/>
      <c r="D9" s="246"/>
      <c r="E9" s="246"/>
      <c r="F9" s="246"/>
      <c r="G9" s="246"/>
      <c r="H9" s="246"/>
      <c r="I9" s="246"/>
      <c r="J9" s="246"/>
      <c r="K9" s="163" t="str">
        <f>IF(K8="REJECT",K8,"")</f>
        <v/>
      </c>
      <c r="L9" s="3"/>
      <c r="M9" s="2"/>
      <c r="N9" s="9" t="s">
        <v>30</v>
      </c>
      <c r="O9" s="10"/>
      <c r="P9" s="10"/>
      <c r="Q9" s="10"/>
      <c r="R9" s="10"/>
      <c r="S9" s="10"/>
      <c r="T9" s="10"/>
      <c r="U9" s="10"/>
      <c r="V9" s="10"/>
      <c r="W9" s="10"/>
      <c r="X9" s="10"/>
      <c r="Y9" s="10"/>
      <c r="Z9" s="10"/>
      <c r="AA9" s="10"/>
      <c r="AB9" s="47"/>
      <c r="AC9" s="47"/>
      <c r="AD9" s="165"/>
      <c r="AE9" s="166"/>
      <c r="AF9" s="240" t="s">
        <v>79</v>
      </c>
      <c r="AG9" s="240"/>
      <c r="AH9" s="240"/>
      <c r="AI9" s="240"/>
      <c r="AJ9" s="240"/>
      <c r="AK9" s="240"/>
      <c r="AL9" s="240"/>
      <c r="AM9" s="240"/>
      <c r="AN9" s="240"/>
      <c r="AO9" s="240"/>
      <c r="AP9" s="240"/>
      <c r="AQ9" s="166"/>
      <c r="AR9" s="165"/>
      <c r="AS9" s="166"/>
      <c r="AT9" s="240" t="s">
        <v>80</v>
      </c>
      <c r="AU9" s="240"/>
      <c r="AV9" s="240"/>
      <c r="AW9" s="240"/>
      <c r="AX9" s="240"/>
      <c r="AY9" s="240"/>
      <c r="AZ9" s="240"/>
      <c r="BA9" s="240"/>
      <c r="BB9" s="240"/>
      <c r="BC9" s="240"/>
      <c r="BD9" s="240"/>
      <c r="BE9" s="166"/>
      <c r="BF9" s="165"/>
      <c r="BG9" s="167"/>
      <c r="BH9" s="240"/>
      <c r="BI9" s="240"/>
      <c r="BJ9" s="240"/>
      <c r="BK9" s="240"/>
      <c r="BL9" s="240"/>
      <c r="BM9" s="240"/>
      <c r="BN9" s="240"/>
      <c r="BO9" s="240"/>
      <c r="BP9" s="240"/>
      <c r="BQ9" s="240"/>
      <c r="BR9" s="240"/>
      <c r="BS9" s="167"/>
      <c r="BT9" s="165"/>
      <c r="BU9" s="239" t="s">
        <v>600</v>
      </c>
      <c r="BV9" s="239"/>
      <c r="BW9" s="239"/>
      <c r="BX9" s="239"/>
      <c r="BY9" s="239"/>
      <c r="BZ9" s="239"/>
      <c r="CA9" s="239"/>
      <c r="CB9" s="239"/>
      <c r="CC9" s="239"/>
      <c r="CD9" s="239"/>
      <c r="CE9" s="239"/>
      <c r="CF9" s="239"/>
      <c r="CG9" s="239"/>
      <c r="CH9" s="141"/>
      <c r="CI9" s="239" t="s">
        <v>598</v>
      </c>
      <c r="CJ9" s="239"/>
      <c r="CK9" s="239"/>
      <c r="CL9" s="239"/>
      <c r="CM9" s="239"/>
      <c r="CN9" s="239"/>
      <c r="CO9" s="239"/>
      <c r="CP9" s="239"/>
      <c r="CQ9" s="239"/>
      <c r="CR9" s="239"/>
      <c r="CS9" s="239"/>
      <c r="CT9" s="239"/>
      <c r="CU9" s="239"/>
      <c r="CV9" s="47"/>
      <c r="CW9" s="174" t="s">
        <v>528</v>
      </c>
      <c r="CX9" s="174"/>
      <c r="CY9" s="174"/>
      <c r="CZ9" s="174"/>
      <c r="DA9" s="174"/>
      <c r="DB9" s="174"/>
      <c r="DC9" s="174" t="s">
        <v>527</v>
      </c>
      <c r="DD9" s="174"/>
      <c r="DE9" s="174"/>
      <c r="DF9" s="174"/>
      <c r="DG9" s="174"/>
    </row>
    <row r="10" spans="1:173" ht="15.75" customHeight="1" thickBot="1" x14ac:dyDescent="0.35">
      <c r="A10" s="238" t="s">
        <v>190</v>
      </c>
      <c r="B10" s="238"/>
      <c r="C10" s="238"/>
      <c r="D10" s="238" t="s">
        <v>9</v>
      </c>
      <c r="E10" s="238"/>
      <c r="F10" s="238"/>
      <c r="G10" s="238"/>
      <c r="H10" s="238"/>
      <c r="I10" s="238"/>
      <c r="J10" s="238" t="str">
        <f>IF(OR(A18="EQ",A18="CHECK"),"YES","NO")</f>
        <v>NO</v>
      </c>
      <c r="K10" s="238"/>
      <c r="L10" s="93"/>
      <c r="M10" s="278" t="s">
        <v>173</v>
      </c>
      <c r="N10" s="279"/>
      <c r="O10" s="279"/>
      <c r="P10" s="279"/>
      <c r="Q10" s="279"/>
      <c r="R10" s="279"/>
      <c r="S10" s="279"/>
      <c r="T10" s="279"/>
      <c r="U10" s="279"/>
      <c r="V10" s="279"/>
      <c r="W10" s="279"/>
      <c r="X10" s="279"/>
      <c r="Y10" s="279"/>
      <c r="Z10" s="279"/>
      <c r="AA10" s="280"/>
      <c r="AB10" s="45"/>
      <c r="AC10" s="45"/>
      <c r="AD10" s="165"/>
      <c r="AE10" s="166"/>
      <c r="AF10" s="240"/>
      <c r="AG10" s="240"/>
      <c r="AH10" s="240"/>
      <c r="AI10" s="240"/>
      <c r="AJ10" s="240"/>
      <c r="AK10" s="240"/>
      <c r="AL10" s="240"/>
      <c r="AM10" s="240"/>
      <c r="AN10" s="240"/>
      <c r="AO10" s="240"/>
      <c r="AP10" s="240"/>
      <c r="AQ10" s="166"/>
      <c r="AR10" s="165"/>
      <c r="AS10" s="166"/>
      <c r="AT10" s="240"/>
      <c r="AU10" s="240"/>
      <c r="AV10" s="240"/>
      <c r="AW10" s="240"/>
      <c r="AX10" s="240"/>
      <c r="AY10" s="240"/>
      <c r="AZ10" s="240"/>
      <c r="BA10" s="240"/>
      <c r="BB10" s="240"/>
      <c r="BC10" s="240"/>
      <c r="BD10" s="240"/>
      <c r="BE10" s="166"/>
      <c r="BF10" s="165"/>
      <c r="BG10" s="167"/>
      <c r="BH10" s="240"/>
      <c r="BI10" s="240"/>
      <c r="BJ10" s="240"/>
      <c r="BK10" s="240"/>
      <c r="BL10" s="240"/>
      <c r="BM10" s="240"/>
      <c r="BN10" s="240"/>
      <c r="BO10" s="240"/>
      <c r="BP10" s="240"/>
      <c r="BQ10" s="240"/>
      <c r="BR10" s="240"/>
      <c r="BS10" s="167"/>
      <c r="BT10" s="165"/>
      <c r="BU10" s="239"/>
      <c r="BV10" s="239"/>
      <c r="BW10" s="239"/>
      <c r="BX10" s="239"/>
      <c r="BY10" s="239"/>
      <c r="BZ10" s="239"/>
      <c r="CA10" s="239"/>
      <c r="CB10" s="239"/>
      <c r="CC10" s="239"/>
      <c r="CD10" s="239"/>
      <c r="CE10" s="239"/>
      <c r="CF10" s="239"/>
      <c r="CG10" s="239"/>
      <c r="CH10" s="143"/>
      <c r="CI10" s="239"/>
      <c r="CJ10" s="239"/>
      <c r="CK10" s="239"/>
      <c r="CL10" s="239"/>
      <c r="CM10" s="239"/>
      <c r="CN10" s="239"/>
      <c r="CO10" s="239"/>
      <c r="CP10" s="239"/>
      <c r="CQ10" s="239"/>
      <c r="CR10" s="239"/>
      <c r="CS10" s="239"/>
      <c r="CT10" s="239"/>
      <c r="CU10" s="239"/>
      <c r="CV10" s="47"/>
      <c r="CW10" s="174" t="s">
        <v>168</v>
      </c>
      <c r="CX10" s="174"/>
      <c r="CY10" s="174"/>
      <c r="CZ10" s="174"/>
      <c r="DA10" s="174"/>
      <c r="DB10" s="174"/>
      <c r="DC10" s="174"/>
      <c r="DD10" s="174"/>
      <c r="DE10" s="174"/>
      <c r="DF10" s="174"/>
      <c r="DG10" s="174"/>
    </row>
    <row r="11" spans="1:173" ht="15.75" customHeight="1" x14ac:dyDescent="0.3">
      <c r="A11" s="238"/>
      <c r="B11" s="238"/>
      <c r="C11" s="238"/>
      <c r="D11" s="238"/>
      <c r="E11" s="238"/>
      <c r="F11" s="238"/>
      <c r="G11" s="238"/>
      <c r="H11" s="238"/>
      <c r="I11" s="238"/>
      <c r="J11" s="238"/>
      <c r="K11" s="238"/>
      <c r="L11" s="93"/>
      <c r="M11" s="7" t="s">
        <v>186</v>
      </c>
      <c r="N11" s="7"/>
      <c r="O11" s="7"/>
      <c r="P11" s="7"/>
      <c r="Q11" s="7"/>
      <c r="R11" s="7"/>
      <c r="S11" s="7"/>
      <c r="T11" s="7"/>
      <c r="U11" s="7"/>
      <c r="V11" s="175" t="s">
        <v>175</v>
      </c>
      <c r="W11" s="175" t="s">
        <v>89</v>
      </c>
      <c r="X11" s="175" t="s">
        <v>187</v>
      </c>
      <c r="Y11" s="175" t="s">
        <v>188</v>
      </c>
      <c r="Z11" s="175" t="s">
        <v>137</v>
      </c>
      <c r="AA11" s="7"/>
      <c r="AB11" s="45"/>
      <c r="AC11" s="45"/>
      <c r="AD11" s="165"/>
      <c r="AE11" s="166"/>
      <c r="AF11" s="166"/>
      <c r="AG11" s="240" t="s">
        <v>69</v>
      </c>
      <c r="AH11" s="240"/>
      <c r="AI11" s="240"/>
      <c r="AJ11" s="240"/>
      <c r="AK11" s="240"/>
      <c r="AL11" s="240"/>
      <c r="AM11" s="240"/>
      <c r="AN11" s="240"/>
      <c r="AO11" s="240"/>
      <c r="AP11" s="166"/>
      <c r="AQ11" s="166"/>
      <c r="AR11" s="165"/>
      <c r="AS11" s="166"/>
      <c r="AT11" s="166"/>
      <c r="AU11" s="240" t="s">
        <v>69</v>
      </c>
      <c r="AV11" s="240"/>
      <c r="AW11" s="240"/>
      <c r="AX11" s="240"/>
      <c r="AY11" s="240"/>
      <c r="AZ11" s="240"/>
      <c r="BA11" s="240"/>
      <c r="BB11" s="240"/>
      <c r="BC11" s="240"/>
      <c r="BD11" s="166"/>
      <c r="BE11" s="166"/>
      <c r="BF11" s="165"/>
      <c r="BG11" s="167"/>
      <c r="BH11" s="249" t="s">
        <v>529</v>
      </c>
      <c r="BI11" s="249"/>
      <c r="BJ11" s="249"/>
      <c r="BK11" s="249"/>
      <c r="BL11" s="249"/>
      <c r="BM11" s="249"/>
      <c r="BN11" s="249"/>
      <c r="BO11" s="249"/>
      <c r="BP11" s="249"/>
      <c r="BQ11" s="249"/>
      <c r="BR11" s="249"/>
      <c r="BS11" s="167"/>
      <c r="BT11" s="165"/>
      <c r="BU11" s="239" t="s">
        <v>69</v>
      </c>
      <c r="BV11" s="239"/>
      <c r="BW11" s="239"/>
      <c r="BX11" s="239"/>
      <c r="BY11" s="239"/>
      <c r="BZ11" s="239"/>
      <c r="CA11" s="239"/>
      <c r="CB11" s="239"/>
      <c r="CC11" s="239"/>
      <c r="CD11" s="239"/>
      <c r="CE11" s="239"/>
      <c r="CF11" s="239"/>
      <c r="CG11" s="239"/>
      <c r="CH11" s="141"/>
      <c r="CI11" s="239" t="s">
        <v>69</v>
      </c>
      <c r="CJ11" s="239"/>
      <c r="CK11" s="239"/>
      <c r="CL11" s="239"/>
      <c r="CM11" s="239"/>
      <c r="CN11" s="239"/>
      <c r="CO11" s="239"/>
      <c r="CP11" s="239"/>
      <c r="CQ11" s="239"/>
      <c r="CR11" s="239"/>
      <c r="CS11" s="239"/>
      <c r="CT11" s="239"/>
      <c r="CU11" s="239"/>
      <c r="CV11" s="47"/>
      <c r="CW11" s="174"/>
      <c r="CX11" s="174"/>
      <c r="CY11" s="174"/>
      <c r="CZ11" s="174"/>
      <c r="DA11" s="174"/>
      <c r="DB11" s="174"/>
      <c r="DC11" s="174"/>
      <c r="DD11" s="174"/>
      <c r="DE11" s="174"/>
      <c r="DF11" s="174"/>
      <c r="DG11" s="174"/>
    </row>
    <row r="12" spans="1:173" ht="15.75" customHeight="1" x14ac:dyDescent="0.3">
      <c r="A12" s="19"/>
      <c r="B12" s="176" t="s">
        <v>493</v>
      </c>
      <c r="C12" s="25" t="str">
        <f>IF(OR(COUNTIF(K1:K8,"BLANK"),COUNTIF(A56:DZ57,"BLANK")),"BLANK",
IF(OR(COUNTIF(K1:K9,"REJECT"),COUNTIF(A56:DZ57,"REJECT")),"REJECT",
IF(COUNTIF(A56:DZ57,"CHECK"),"CHECK","EQ")))</f>
        <v>BLANK</v>
      </c>
      <c r="D12" s="177" t="s">
        <v>90</v>
      </c>
      <c r="E12" s="177"/>
      <c r="F12" s="177"/>
      <c r="G12" s="177"/>
      <c r="H12" s="177"/>
      <c r="I12" s="177"/>
      <c r="J12" s="177"/>
      <c r="K12" s="178"/>
      <c r="L12" s="93"/>
      <c r="M12" s="7" t="s">
        <v>18</v>
      </c>
      <c r="AB12" s="146"/>
      <c r="AC12" s="146"/>
      <c r="AD12" s="165"/>
      <c r="AE12" s="166"/>
      <c r="AF12" s="166"/>
      <c r="AG12" s="240"/>
      <c r="AH12" s="240"/>
      <c r="AI12" s="240"/>
      <c r="AJ12" s="240"/>
      <c r="AK12" s="240"/>
      <c r="AL12" s="240"/>
      <c r="AM12" s="240"/>
      <c r="AN12" s="240"/>
      <c r="AO12" s="240"/>
      <c r="AP12" s="166"/>
      <c r="AQ12" s="166"/>
      <c r="AR12" s="165"/>
      <c r="AS12" s="166"/>
      <c r="AT12" s="166"/>
      <c r="AU12" s="240"/>
      <c r="AV12" s="240"/>
      <c r="AW12" s="240"/>
      <c r="AX12" s="240"/>
      <c r="AY12" s="240"/>
      <c r="AZ12" s="240"/>
      <c r="BA12" s="240"/>
      <c r="BB12" s="240"/>
      <c r="BC12" s="240"/>
      <c r="BD12" s="166"/>
      <c r="BE12" s="166"/>
      <c r="BF12" s="165"/>
      <c r="BG12" s="167"/>
      <c r="BH12" s="249"/>
      <c r="BI12" s="249"/>
      <c r="BJ12" s="249"/>
      <c r="BK12" s="249"/>
      <c r="BL12" s="249"/>
      <c r="BM12" s="249"/>
      <c r="BN12" s="249"/>
      <c r="BO12" s="249"/>
      <c r="BP12" s="249"/>
      <c r="BQ12" s="249"/>
      <c r="BR12" s="249"/>
      <c r="BS12" s="167"/>
      <c r="BT12" s="165"/>
      <c r="BU12" s="239"/>
      <c r="BV12" s="239"/>
      <c r="BW12" s="239"/>
      <c r="BX12" s="239"/>
      <c r="BY12" s="239"/>
      <c r="BZ12" s="239"/>
      <c r="CA12" s="239"/>
      <c r="CB12" s="239"/>
      <c r="CC12" s="239"/>
      <c r="CD12" s="239"/>
      <c r="CE12" s="239"/>
      <c r="CF12" s="239"/>
      <c r="CG12" s="239"/>
      <c r="CH12" s="63"/>
      <c r="CI12" s="239"/>
      <c r="CJ12" s="239"/>
      <c r="CK12" s="239"/>
      <c r="CL12" s="239"/>
      <c r="CM12" s="239"/>
      <c r="CN12" s="239"/>
      <c r="CO12" s="239"/>
      <c r="CP12" s="239"/>
      <c r="CQ12" s="239"/>
      <c r="CR12" s="239"/>
      <c r="CS12" s="239"/>
      <c r="CT12" s="239"/>
      <c r="CU12" s="239"/>
      <c r="CV12" s="47"/>
      <c r="CW12" s="12" t="s">
        <v>151</v>
      </c>
    </row>
    <row r="13" spans="1:173" ht="15.75" customHeight="1" x14ac:dyDescent="0.3">
      <c r="A13" s="146"/>
      <c r="B13" s="176" t="s">
        <v>191</v>
      </c>
      <c r="C13" s="25" t="str">
        <f>BI116</f>
        <v>BLANK</v>
      </c>
      <c r="D13" s="166" t="s">
        <v>87</v>
      </c>
      <c r="E13" s="166"/>
      <c r="F13" s="166"/>
      <c r="G13" s="166"/>
      <c r="H13" s="166"/>
      <c r="I13" s="166"/>
      <c r="J13" s="166"/>
      <c r="K13" s="178"/>
      <c r="L13" s="93"/>
      <c r="AB13" s="146"/>
      <c r="AC13" s="146"/>
      <c r="AD13" s="165"/>
      <c r="AE13" s="166"/>
      <c r="AF13" s="166"/>
      <c r="AG13" s="240" t="s">
        <v>70</v>
      </c>
      <c r="AH13" s="240"/>
      <c r="AI13" s="240"/>
      <c r="AJ13" s="240"/>
      <c r="AK13" s="240"/>
      <c r="AL13" s="240"/>
      <c r="AM13" s="240"/>
      <c r="AN13" s="240"/>
      <c r="AO13" s="240"/>
      <c r="AP13" s="166"/>
      <c r="AQ13" s="166"/>
      <c r="AR13" s="165"/>
      <c r="AS13" s="166"/>
      <c r="AT13" s="166"/>
      <c r="AU13" s="240" t="s">
        <v>70</v>
      </c>
      <c r="AV13" s="240"/>
      <c r="AW13" s="240"/>
      <c r="AX13" s="240"/>
      <c r="AY13" s="240"/>
      <c r="AZ13" s="240"/>
      <c r="BA13" s="240"/>
      <c r="BB13" s="240"/>
      <c r="BC13" s="240"/>
      <c r="BD13" s="166"/>
      <c r="BE13" s="166"/>
      <c r="BF13" s="165"/>
      <c r="BG13" s="167"/>
      <c r="BH13" s="249" t="s">
        <v>78</v>
      </c>
      <c r="BI13" s="249"/>
      <c r="BJ13" s="249"/>
      <c r="BK13" s="249"/>
      <c r="BL13" s="249"/>
      <c r="BM13" s="249"/>
      <c r="BN13" s="249"/>
      <c r="BO13" s="249"/>
      <c r="BP13" s="249"/>
      <c r="BQ13" s="249"/>
      <c r="BR13" s="249"/>
      <c r="BS13" s="167"/>
      <c r="BT13" s="165"/>
      <c r="BU13" s="239" t="s">
        <v>70</v>
      </c>
      <c r="BV13" s="239"/>
      <c r="BW13" s="239"/>
      <c r="BX13" s="239"/>
      <c r="BY13" s="239"/>
      <c r="BZ13" s="239"/>
      <c r="CA13" s="239"/>
      <c r="CB13" s="239"/>
      <c r="CC13" s="239"/>
      <c r="CD13" s="239"/>
      <c r="CE13" s="239"/>
      <c r="CF13" s="239"/>
      <c r="CG13" s="239"/>
      <c r="CH13" s="93"/>
      <c r="CI13" s="239" t="s">
        <v>70</v>
      </c>
      <c r="CJ13" s="239"/>
      <c r="CK13" s="239"/>
      <c r="CL13" s="239"/>
      <c r="CM13" s="239"/>
      <c r="CN13" s="239"/>
      <c r="CO13" s="239"/>
      <c r="CP13" s="239"/>
      <c r="CQ13" s="239"/>
      <c r="CR13" s="239"/>
      <c r="CS13" s="239"/>
      <c r="CT13" s="239"/>
      <c r="CU13" s="239"/>
      <c r="CV13" s="47"/>
      <c r="CW13" s="179" t="str">
        <f>HYPERLINK("http://mkweb.bcgsc.ca/colorblind/","http://mkweb.bcgsc.ca/colorblind/")</f>
        <v>http://mkweb.bcgsc.ca/colorblind/</v>
      </c>
      <c r="CX13" s="179"/>
      <c r="CY13" s="179"/>
      <c r="CZ13" s="179"/>
      <c r="DA13" s="179"/>
      <c r="DB13" s="179"/>
      <c r="DC13" s="179"/>
      <c r="DD13" s="179"/>
      <c r="DE13" s="179"/>
      <c r="DF13" s="179"/>
      <c r="DG13" s="179"/>
    </row>
    <row r="14" spans="1:173" ht="15.75" customHeight="1" x14ac:dyDescent="0.3">
      <c r="A14" s="146"/>
      <c r="B14" s="176" t="s">
        <v>192</v>
      </c>
      <c r="C14" s="25" t="str">
        <f>BI118</f>
        <v>BLANK</v>
      </c>
      <c r="D14" s="177" t="s">
        <v>65</v>
      </c>
      <c r="E14" s="177"/>
      <c r="F14" s="177"/>
      <c r="G14" s="177"/>
      <c r="H14" s="177"/>
      <c r="I14" s="177"/>
      <c r="J14" s="177"/>
      <c r="K14" s="178"/>
      <c r="L14" s="93"/>
      <c r="M14" s="5" t="s">
        <v>159</v>
      </c>
      <c r="N14" s="5"/>
      <c r="O14" s="5"/>
      <c r="P14" s="5"/>
      <c r="Q14" s="5"/>
      <c r="R14" s="5"/>
      <c r="S14" s="5"/>
      <c r="T14" s="5"/>
      <c r="U14" s="5"/>
      <c r="V14" s="5"/>
      <c r="W14" s="5"/>
      <c r="X14" s="5"/>
      <c r="Y14" s="5"/>
      <c r="Z14" s="5"/>
      <c r="AA14" s="5"/>
      <c r="AB14" s="146"/>
      <c r="AC14" s="146"/>
      <c r="AD14" s="165"/>
      <c r="AE14" s="166"/>
      <c r="AF14" s="166"/>
      <c r="AG14" s="240"/>
      <c r="AH14" s="240"/>
      <c r="AI14" s="240"/>
      <c r="AJ14" s="240"/>
      <c r="AK14" s="240"/>
      <c r="AL14" s="240"/>
      <c r="AM14" s="240"/>
      <c r="AN14" s="240"/>
      <c r="AO14" s="240"/>
      <c r="AP14" s="166"/>
      <c r="AQ14" s="166"/>
      <c r="AR14" s="165"/>
      <c r="AS14" s="166"/>
      <c r="AT14" s="166"/>
      <c r="AU14" s="240"/>
      <c r="AV14" s="240"/>
      <c r="AW14" s="240"/>
      <c r="AX14" s="240"/>
      <c r="AY14" s="240"/>
      <c r="AZ14" s="240"/>
      <c r="BA14" s="240"/>
      <c r="BB14" s="240"/>
      <c r="BC14" s="240"/>
      <c r="BD14" s="166"/>
      <c r="BE14" s="166"/>
      <c r="BF14" s="165"/>
      <c r="BG14" s="167"/>
      <c r="BH14" s="249"/>
      <c r="BI14" s="249"/>
      <c r="BJ14" s="249"/>
      <c r="BK14" s="249"/>
      <c r="BL14" s="249"/>
      <c r="BM14" s="249"/>
      <c r="BN14" s="249"/>
      <c r="BO14" s="249"/>
      <c r="BP14" s="249"/>
      <c r="BQ14" s="249"/>
      <c r="BR14" s="249"/>
      <c r="BS14" s="167"/>
      <c r="BT14" s="165"/>
      <c r="BU14" s="239"/>
      <c r="BV14" s="239"/>
      <c r="BW14" s="239"/>
      <c r="BX14" s="239"/>
      <c r="BY14" s="239"/>
      <c r="BZ14" s="239"/>
      <c r="CA14" s="239"/>
      <c r="CB14" s="239"/>
      <c r="CC14" s="239"/>
      <c r="CD14" s="239"/>
      <c r="CE14" s="239"/>
      <c r="CF14" s="239"/>
      <c r="CG14" s="239"/>
      <c r="CH14" s="82"/>
      <c r="CI14" s="239"/>
      <c r="CJ14" s="239"/>
      <c r="CK14" s="239"/>
      <c r="CL14" s="239"/>
      <c r="CM14" s="239"/>
      <c r="CN14" s="239"/>
      <c r="CO14" s="239"/>
      <c r="CP14" s="239"/>
      <c r="CQ14" s="239"/>
      <c r="CR14" s="239"/>
      <c r="CS14" s="239"/>
      <c r="CT14" s="239"/>
      <c r="CU14" s="239"/>
      <c r="CV14" s="47"/>
      <c r="CW14" s="12" t="s">
        <v>150</v>
      </c>
    </row>
    <row r="15" spans="1:173" ht="15.75" customHeight="1" x14ac:dyDescent="0.3">
      <c r="A15" s="146"/>
      <c r="B15" s="176" t="s">
        <v>193</v>
      </c>
      <c r="C15" s="25" t="str">
        <f>BI120</f>
        <v>BLANK</v>
      </c>
      <c r="D15" s="180" t="s">
        <v>88</v>
      </c>
      <c r="E15" s="180"/>
      <c r="F15" s="180"/>
      <c r="G15" s="180"/>
      <c r="H15" s="180"/>
      <c r="I15" s="180"/>
      <c r="J15" s="180"/>
      <c r="K15" s="181"/>
      <c r="L15" s="3"/>
      <c r="M15" s="6" t="s">
        <v>161</v>
      </c>
      <c r="N15" s="6"/>
      <c r="O15" s="6"/>
      <c r="P15" s="6"/>
      <c r="Q15" s="6"/>
      <c r="R15" s="6"/>
      <c r="S15" s="6"/>
      <c r="T15" s="6"/>
      <c r="U15" s="6"/>
      <c r="V15" s="6"/>
      <c r="W15" s="6"/>
      <c r="X15" s="6"/>
      <c r="Y15" s="6"/>
      <c r="Z15" s="6"/>
      <c r="AA15" s="6"/>
      <c r="AB15" s="146"/>
      <c r="AC15" s="146"/>
      <c r="AD15" s="165"/>
      <c r="AE15" s="166"/>
      <c r="AF15" s="240" t="s">
        <v>71</v>
      </c>
      <c r="AG15" s="240"/>
      <c r="AH15" s="240"/>
      <c r="AI15" s="240"/>
      <c r="AJ15" s="240"/>
      <c r="AK15" s="240"/>
      <c r="AL15" s="240"/>
      <c r="AM15" s="240"/>
      <c r="AN15" s="240"/>
      <c r="AO15" s="240"/>
      <c r="AP15" s="240"/>
      <c r="AQ15" s="166"/>
      <c r="AR15" s="165"/>
      <c r="AS15" s="166"/>
      <c r="AT15" s="240" t="s">
        <v>71</v>
      </c>
      <c r="AU15" s="240"/>
      <c r="AV15" s="240"/>
      <c r="AW15" s="240"/>
      <c r="AX15" s="240"/>
      <c r="AY15" s="240"/>
      <c r="AZ15" s="240"/>
      <c r="BA15" s="240"/>
      <c r="BB15" s="240"/>
      <c r="BC15" s="240"/>
      <c r="BD15" s="240"/>
      <c r="BE15" s="166"/>
      <c r="BF15" s="165"/>
      <c r="BG15" s="167"/>
      <c r="BH15" s="240"/>
      <c r="BI15" s="240"/>
      <c r="BJ15" s="240"/>
      <c r="BK15" s="240"/>
      <c r="BL15" s="240"/>
      <c r="BM15" s="240"/>
      <c r="BN15" s="240"/>
      <c r="BO15" s="240"/>
      <c r="BP15" s="240"/>
      <c r="BQ15" s="240"/>
      <c r="BR15" s="240"/>
      <c r="BS15" s="167"/>
      <c r="BT15" s="165"/>
      <c r="BU15" s="239" t="s">
        <v>599</v>
      </c>
      <c r="BV15" s="239"/>
      <c r="BW15" s="239"/>
      <c r="BX15" s="239"/>
      <c r="BY15" s="239"/>
      <c r="BZ15" s="239"/>
      <c r="CA15" s="239"/>
      <c r="CB15" s="239"/>
      <c r="CC15" s="239"/>
      <c r="CD15" s="239"/>
      <c r="CE15" s="239"/>
      <c r="CF15" s="239"/>
      <c r="CG15" s="239"/>
      <c r="CH15" s="66"/>
      <c r="CI15" s="239" t="s">
        <v>599</v>
      </c>
      <c r="CJ15" s="239"/>
      <c r="CK15" s="239"/>
      <c r="CL15" s="239"/>
      <c r="CM15" s="239"/>
      <c r="CN15" s="239"/>
      <c r="CO15" s="239"/>
      <c r="CP15" s="239"/>
      <c r="CQ15" s="239"/>
      <c r="CR15" s="239"/>
      <c r="CS15" s="239"/>
      <c r="CT15" s="239"/>
      <c r="CU15" s="239"/>
      <c r="CV15" s="47"/>
      <c r="CW15" s="12" t="s">
        <v>146</v>
      </c>
    </row>
    <row r="16" spans="1:173" ht="15.75" customHeight="1" x14ac:dyDescent="0.3">
      <c r="A16" s="146"/>
      <c r="B16" s="176" t="s">
        <v>194</v>
      </c>
      <c r="C16" s="25" t="str">
        <f>BI122</f>
        <v>BLANK</v>
      </c>
      <c r="D16" s="182" t="s">
        <v>478</v>
      </c>
      <c r="E16" s="183"/>
      <c r="F16" s="183"/>
      <c r="G16" s="183"/>
      <c r="H16" s="183"/>
      <c r="I16" s="183"/>
      <c r="J16" s="183"/>
      <c r="K16" s="181"/>
      <c r="L16" s="3"/>
      <c r="M16" s="6" t="s">
        <v>157</v>
      </c>
      <c r="P16" s="143"/>
      <c r="Q16" s="143"/>
      <c r="R16" s="143"/>
      <c r="S16" s="143"/>
      <c r="T16" s="143"/>
      <c r="U16" s="143"/>
      <c r="V16" s="143"/>
      <c r="W16" s="143"/>
      <c r="X16" s="143"/>
      <c r="Y16" s="143"/>
      <c r="Z16" s="143"/>
      <c r="AA16" s="143"/>
      <c r="AB16" s="146"/>
      <c r="AC16" s="146"/>
      <c r="AD16" s="165"/>
      <c r="AE16" s="166"/>
      <c r="AF16" s="240"/>
      <c r="AG16" s="240"/>
      <c r="AH16" s="240"/>
      <c r="AI16" s="240"/>
      <c r="AJ16" s="240"/>
      <c r="AK16" s="240"/>
      <c r="AL16" s="240"/>
      <c r="AM16" s="240"/>
      <c r="AN16" s="240"/>
      <c r="AO16" s="240"/>
      <c r="AP16" s="240"/>
      <c r="AQ16" s="166"/>
      <c r="AR16" s="165"/>
      <c r="AS16" s="166"/>
      <c r="AT16" s="240"/>
      <c r="AU16" s="240"/>
      <c r="AV16" s="240"/>
      <c r="AW16" s="240"/>
      <c r="AX16" s="240"/>
      <c r="AY16" s="240"/>
      <c r="AZ16" s="240"/>
      <c r="BA16" s="240"/>
      <c r="BB16" s="240"/>
      <c r="BC16" s="240"/>
      <c r="BD16" s="240"/>
      <c r="BE16" s="166"/>
      <c r="BF16" s="165"/>
      <c r="BG16" s="167"/>
      <c r="BH16" s="240"/>
      <c r="BI16" s="240"/>
      <c r="BJ16" s="240"/>
      <c r="BK16" s="240"/>
      <c r="BL16" s="240"/>
      <c r="BM16" s="240"/>
      <c r="BN16" s="240"/>
      <c r="BO16" s="240"/>
      <c r="BP16" s="240"/>
      <c r="BQ16" s="240"/>
      <c r="BR16" s="240"/>
      <c r="BS16" s="167"/>
      <c r="BT16" s="165"/>
      <c r="BU16" s="239"/>
      <c r="BV16" s="239"/>
      <c r="BW16" s="239"/>
      <c r="BX16" s="239"/>
      <c r="BY16" s="239"/>
      <c r="BZ16" s="239"/>
      <c r="CA16" s="239"/>
      <c r="CB16" s="239"/>
      <c r="CC16" s="239"/>
      <c r="CD16" s="239"/>
      <c r="CE16" s="239"/>
      <c r="CF16" s="239"/>
      <c r="CG16" s="239"/>
      <c r="CH16" s="66"/>
      <c r="CI16" s="239"/>
      <c r="CJ16" s="239"/>
      <c r="CK16" s="239"/>
      <c r="CL16" s="239"/>
      <c r="CM16" s="239"/>
      <c r="CN16" s="239"/>
      <c r="CO16" s="239"/>
      <c r="CP16" s="239"/>
      <c r="CQ16" s="239"/>
      <c r="CR16" s="239"/>
      <c r="CS16" s="239"/>
      <c r="CT16" s="239"/>
      <c r="CU16" s="239"/>
      <c r="CV16" s="47"/>
      <c r="CW16" s="12" t="s">
        <v>145</v>
      </c>
    </row>
    <row r="17" spans="1:111" ht="15.75" customHeight="1" x14ac:dyDescent="0.3">
      <c r="A17" s="146"/>
      <c r="B17" s="176" t="s">
        <v>195</v>
      </c>
      <c r="C17" s="25" t="str">
        <f>BI124</f>
        <v>BLANK</v>
      </c>
      <c r="D17" s="183" t="s">
        <v>17</v>
      </c>
      <c r="E17" s="183"/>
      <c r="F17" s="183"/>
      <c r="G17" s="183"/>
      <c r="H17" s="183"/>
      <c r="I17" s="183"/>
      <c r="J17" s="183"/>
      <c r="K17" s="181"/>
      <c r="L17" s="3"/>
      <c r="M17" s="143" t="s">
        <v>176</v>
      </c>
      <c r="N17" s="72" t="s">
        <v>175</v>
      </c>
      <c r="O17" s="143" t="s">
        <v>177</v>
      </c>
      <c r="P17" s="6"/>
      <c r="Q17" s="6"/>
      <c r="R17" s="6"/>
      <c r="S17" s="6"/>
      <c r="T17" s="6"/>
      <c r="U17" s="6"/>
      <c r="V17" s="6"/>
      <c r="W17" s="6"/>
      <c r="X17" s="6"/>
      <c r="Y17" s="6"/>
      <c r="Z17" s="6"/>
      <c r="AA17" s="6"/>
      <c r="AB17" s="146"/>
      <c r="AC17" s="146"/>
      <c r="AD17" s="165"/>
      <c r="AE17" s="166"/>
      <c r="AF17" s="166"/>
      <c r="AG17" s="166"/>
      <c r="AH17" s="166"/>
      <c r="AI17" s="166"/>
      <c r="AJ17" s="166"/>
      <c r="AK17" s="166"/>
      <c r="AL17" s="166"/>
      <c r="AM17" s="166"/>
      <c r="AN17" s="166"/>
      <c r="AO17" s="166"/>
      <c r="AP17" s="166"/>
      <c r="AQ17" s="166"/>
      <c r="AR17" s="165"/>
      <c r="AS17" s="166"/>
      <c r="AT17" s="166"/>
      <c r="AU17" s="166"/>
      <c r="AV17" s="166"/>
      <c r="AW17" s="166"/>
      <c r="AX17" s="166"/>
      <c r="AY17" s="166"/>
      <c r="AZ17" s="166"/>
      <c r="BA17" s="166"/>
      <c r="BB17" s="166"/>
      <c r="BC17" s="166"/>
      <c r="BD17" s="166"/>
      <c r="BE17" s="166"/>
      <c r="BF17" s="165"/>
      <c r="BG17" s="167"/>
      <c r="BH17" s="167"/>
      <c r="BI17" s="167"/>
      <c r="BJ17" s="167"/>
      <c r="BK17" s="167"/>
      <c r="BL17" s="167"/>
      <c r="BM17" s="167"/>
      <c r="BN17" s="167"/>
      <c r="BO17" s="167"/>
      <c r="BP17" s="167"/>
      <c r="BQ17" s="167"/>
      <c r="BR17" s="167"/>
      <c r="BS17" s="167"/>
      <c r="BT17" s="165"/>
      <c r="BU17" s="139"/>
      <c r="BV17" s="139"/>
      <c r="BW17" s="139"/>
      <c r="BX17" s="139"/>
      <c r="BY17" s="139"/>
      <c r="BZ17" s="139"/>
      <c r="CA17" s="139"/>
      <c r="CB17" s="139"/>
      <c r="CC17" s="139"/>
      <c r="CD17" s="139"/>
      <c r="CE17" s="139"/>
      <c r="CF17" s="139"/>
      <c r="CG17" s="139"/>
      <c r="CH17" s="66"/>
      <c r="CI17" s="139"/>
      <c r="CJ17" s="139"/>
      <c r="CK17" s="139"/>
      <c r="CL17" s="139"/>
      <c r="CM17" s="139"/>
      <c r="CN17" s="139"/>
      <c r="CO17" s="139"/>
      <c r="CP17" s="139"/>
      <c r="CQ17" s="139"/>
      <c r="CR17" s="139"/>
      <c r="CS17" s="139"/>
      <c r="CT17" s="139"/>
      <c r="CU17" s="139"/>
      <c r="CV17" s="47"/>
      <c r="CW17" s="12" t="s">
        <v>147</v>
      </c>
    </row>
    <row r="18" spans="1:111" ht="15.75" customHeight="1" x14ac:dyDescent="0.3">
      <c r="A18" s="268" t="str">
        <f>IF(SUMPRODUCT(--ISERROR(C12:C17))&gt;0,"REJECT",
IF(COUNTIF(C12:C17,"BLANK"),"BLANK",
IF(COUNTIF(C12:C17,"REJECT"),"REJECT",
IF(COUNTIF(C12:C17,"CHECK"),"CHECK","EQ"))))</f>
        <v>BLANK</v>
      </c>
      <c r="B18" s="268"/>
      <c r="C18" s="268"/>
      <c r="D18" s="180" t="s">
        <v>93</v>
      </c>
      <c r="E18" s="180"/>
      <c r="F18" s="180"/>
      <c r="G18" s="180"/>
      <c r="H18" s="180"/>
      <c r="I18" s="180"/>
      <c r="J18" s="180"/>
      <c r="K18" s="181"/>
      <c r="L18" s="3"/>
      <c r="M18" s="6" t="s">
        <v>158</v>
      </c>
      <c r="AB18" s="146"/>
      <c r="AC18" s="146"/>
      <c r="AD18" s="165"/>
      <c r="AE18" s="166"/>
      <c r="AF18" s="166"/>
      <c r="AG18" s="166"/>
      <c r="AH18" s="166"/>
      <c r="AI18" s="166"/>
      <c r="AJ18" s="166"/>
      <c r="AK18" s="166"/>
      <c r="AL18" s="166"/>
      <c r="AM18" s="166"/>
      <c r="AN18" s="166"/>
      <c r="AO18" s="166"/>
      <c r="AP18" s="166"/>
      <c r="AQ18" s="166"/>
      <c r="AR18" s="165"/>
      <c r="AS18" s="166"/>
      <c r="AT18" s="166"/>
      <c r="AU18" s="166"/>
      <c r="AV18" s="166"/>
      <c r="AW18" s="166"/>
      <c r="AX18" s="166"/>
      <c r="AY18" s="166"/>
      <c r="AZ18" s="166"/>
      <c r="BA18" s="166"/>
      <c r="BB18" s="166"/>
      <c r="BC18" s="166"/>
      <c r="BD18" s="166"/>
      <c r="BE18" s="166"/>
      <c r="BF18" s="165"/>
      <c r="BG18" s="167"/>
      <c r="BH18" s="167"/>
      <c r="BI18" s="167"/>
      <c r="BJ18" s="167"/>
      <c r="BK18" s="167"/>
      <c r="BL18" s="167"/>
      <c r="BM18" s="167"/>
      <c r="BN18" s="167"/>
      <c r="BO18" s="167"/>
      <c r="BP18" s="167"/>
      <c r="BQ18" s="167"/>
      <c r="BR18" s="167"/>
      <c r="BS18" s="167"/>
      <c r="BT18" s="165"/>
      <c r="BU18" s="139"/>
      <c r="BV18" s="139"/>
      <c r="BW18" s="139"/>
      <c r="BX18" s="139"/>
      <c r="BY18" s="139"/>
      <c r="BZ18" s="139"/>
      <c r="CA18" s="139"/>
      <c r="CB18" s="139"/>
      <c r="CC18" s="139"/>
      <c r="CD18" s="139"/>
      <c r="CE18" s="139"/>
      <c r="CF18" s="139"/>
      <c r="CG18" s="139"/>
      <c r="CH18" s="66"/>
      <c r="CI18" s="139"/>
      <c r="CJ18" s="139"/>
      <c r="CK18" s="139"/>
      <c r="CL18" s="139"/>
      <c r="CM18" s="139"/>
      <c r="CN18" s="139"/>
      <c r="CO18" s="139"/>
      <c r="CP18" s="139"/>
      <c r="CQ18" s="139"/>
      <c r="CR18" s="139"/>
      <c r="CS18" s="139"/>
      <c r="CT18" s="139"/>
      <c r="CU18" s="139"/>
      <c r="CV18" s="47"/>
      <c r="CW18" s="12" t="s">
        <v>414</v>
      </c>
    </row>
    <row r="19" spans="1:111" ht="15.75" customHeight="1" x14ac:dyDescent="0.3">
      <c r="A19" s="268"/>
      <c r="B19" s="268"/>
      <c r="C19" s="268"/>
      <c r="D19" s="184" t="s">
        <v>91</v>
      </c>
      <c r="E19" s="184"/>
      <c r="F19" s="184"/>
      <c r="G19" s="184"/>
      <c r="H19" s="184"/>
      <c r="I19" s="184"/>
      <c r="J19" s="184"/>
      <c r="K19" s="185"/>
      <c r="L19" s="3"/>
      <c r="AB19" s="186"/>
      <c r="AC19" s="186"/>
      <c r="AD19" s="165"/>
      <c r="AE19" s="166"/>
      <c r="AF19" s="166"/>
      <c r="AG19" s="166"/>
      <c r="AH19" s="166"/>
      <c r="AI19" s="166"/>
      <c r="AJ19" s="166"/>
      <c r="AK19" s="166"/>
      <c r="AL19" s="166"/>
      <c r="AM19" s="166"/>
      <c r="AN19" s="166"/>
      <c r="AO19" s="166"/>
      <c r="AP19" s="166"/>
      <c r="AQ19" s="166"/>
      <c r="AR19" s="165"/>
      <c r="AS19" s="166"/>
      <c r="AT19" s="166"/>
      <c r="AU19" s="166"/>
      <c r="AV19" s="166"/>
      <c r="AW19" s="166"/>
      <c r="AX19" s="166"/>
      <c r="AY19" s="166"/>
      <c r="AZ19" s="166"/>
      <c r="BA19" s="166"/>
      <c r="BB19" s="166"/>
      <c r="BC19" s="166"/>
      <c r="BD19" s="166"/>
      <c r="BE19" s="166"/>
      <c r="BF19" s="165"/>
      <c r="BG19" s="167"/>
      <c r="BH19" s="167"/>
      <c r="BI19" s="167"/>
      <c r="BJ19" s="167"/>
      <c r="BK19" s="167"/>
      <c r="BL19" s="167"/>
      <c r="BM19" s="167"/>
      <c r="BN19" s="167"/>
      <c r="BO19" s="167"/>
      <c r="BP19" s="167"/>
      <c r="BQ19" s="167"/>
      <c r="BR19" s="167"/>
      <c r="BS19" s="167"/>
      <c r="BT19" s="165"/>
      <c r="BU19" s="139"/>
      <c r="BV19" s="139"/>
      <c r="BW19" s="139"/>
      <c r="BX19" s="139"/>
      <c r="BY19" s="139"/>
      <c r="BZ19" s="139"/>
      <c r="CA19" s="139"/>
      <c r="CB19" s="139"/>
      <c r="CC19" s="139"/>
      <c r="CD19" s="139"/>
      <c r="CE19" s="139"/>
      <c r="CF19" s="139"/>
      <c r="CG19" s="139"/>
      <c r="CH19" s="66"/>
      <c r="CI19" s="139"/>
      <c r="CJ19" s="139"/>
      <c r="CK19" s="139"/>
      <c r="CL19" s="139"/>
      <c r="CM19" s="139"/>
      <c r="CN19" s="139"/>
      <c r="CO19" s="139"/>
      <c r="CP19" s="139"/>
      <c r="CQ19" s="139"/>
      <c r="CR19" s="139"/>
      <c r="CS19" s="139"/>
      <c r="CT19" s="139"/>
      <c r="CU19" s="139"/>
      <c r="CV19" s="47"/>
      <c r="CW19" s="284" t="s">
        <v>149</v>
      </c>
      <c r="CX19" s="284"/>
      <c r="CY19" s="12" t="s">
        <v>148</v>
      </c>
    </row>
    <row r="20" spans="1:111" ht="15.75" customHeight="1" x14ac:dyDescent="0.3">
      <c r="A20" s="268"/>
      <c r="B20" s="268"/>
      <c r="C20" s="268"/>
      <c r="D20" s="187" t="s">
        <v>10</v>
      </c>
      <c r="E20" s="187"/>
      <c r="F20" s="187"/>
      <c r="G20" s="187"/>
      <c r="H20" s="187"/>
      <c r="I20" s="187"/>
      <c r="J20" s="187"/>
      <c r="K20" s="185"/>
      <c r="L20" s="3" t="s">
        <v>189</v>
      </c>
      <c r="M20" s="7" t="s">
        <v>4</v>
      </c>
      <c r="AB20" s="186"/>
      <c r="AC20" s="186"/>
      <c r="AD20" s="165"/>
      <c r="AE20" s="166"/>
      <c r="AF20" s="166"/>
      <c r="AG20" s="166"/>
      <c r="AH20" s="166"/>
      <c r="AI20" s="166"/>
      <c r="AJ20" s="166"/>
      <c r="AK20" s="166"/>
      <c r="AL20" s="166"/>
      <c r="AM20" s="166"/>
      <c r="AN20" s="166"/>
      <c r="AO20" s="166"/>
      <c r="AP20" s="166"/>
      <c r="AQ20" s="166"/>
      <c r="AR20" s="165"/>
      <c r="AS20" s="166"/>
      <c r="AT20" s="166"/>
      <c r="AU20" s="166"/>
      <c r="AV20" s="166"/>
      <c r="AW20" s="166"/>
      <c r="AX20" s="166"/>
      <c r="AY20" s="166"/>
      <c r="AZ20" s="166"/>
      <c r="BA20" s="166"/>
      <c r="BB20" s="166"/>
      <c r="BC20" s="166"/>
      <c r="BD20" s="166"/>
      <c r="BE20" s="166"/>
      <c r="BF20" s="165"/>
      <c r="BG20" s="167"/>
      <c r="BH20" s="167"/>
      <c r="BI20" s="167"/>
      <c r="BJ20" s="167"/>
      <c r="BK20" s="167"/>
      <c r="BL20" s="167"/>
      <c r="BM20" s="167"/>
      <c r="BN20" s="167"/>
      <c r="BO20" s="167"/>
      <c r="BP20" s="167"/>
      <c r="BQ20" s="167"/>
      <c r="BR20" s="167"/>
      <c r="BS20" s="167"/>
      <c r="BT20" s="165"/>
      <c r="BU20" s="139"/>
      <c r="BV20" s="139"/>
      <c r="BW20" s="139"/>
      <c r="BX20" s="139"/>
      <c r="BY20" s="139"/>
      <c r="BZ20" s="139"/>
      <c r="CA20" s="139"/>
      <c r="CB20" s="139"/>
      <c r="CC20" s="139"/>
      <c r="CD20" s="139"/>
      <c r="CE20" s="139"/>
      <c r="CF20" s="139"/>
      <c r="CG20" s="139"/>
      <c r="CH20" s="93"/>
      <c r="CI20" s="139"/>
      <c r="CJ20" s="139"/>
      <c r="CK20" s="139"/>
      <c r="CL20" s="139"/>
      <c r="CM20" s="139"/>
      <c r="CN20" s="139"/>
      <c r="CO20" s="139"/>
      <c r="CP20" s="139"/>
      <c r="CQ20" s="139"/>
      <c r="CR20" s="139"/>
      <c r="CS20" s="139"/>
      <c r="CT20" s="139"/>
      <c r="CU20" s="139"/>
      <c r="CW20" s="173"/>
      <c r="CX20" s="173"/>
      <c r="CY20" s="173"/>
      <c r="CZ20" s="173"/>
      <c r="DA20" s="173"/>
      <c r="DB20" s="173"/>
      <c r="DC20" s="173"/>
      <c r="DD20" s="173"/>
      <c r="DE20" s="173"/>
      <c r="DF20" s="173"/>
      <c r="DG20" s="173"/>
    </row>
    <row r="21" spans="1:111" ht="15.75" customHeight="1" x14ac:dyDescent="0.3">
      <c r="A21" s="268"/>
      <c r="B21" s="268"/>
      <c r="C21" s="268"/>
      <c r="D21" s="187" t="s">
        <v>43</v>
      </c>
      <c r="E21" s="187"/>
      <c r="F21" s="187"/>
      <c r="G21" s="187"/>
      <c r="H21" s="187"/>
      <c r="I21" s="187"/>
      <c r="J21" s="187"/>
      <c r="K21" s="185"/>
      <c r="L21" s="3" t="s">
        <v>12</v>
      </c>
      <c r="M21" s="7" t="s">
        <v>144</v>
      </c>
      <c r="N21" s="7"/>
      <c r="O21" s="7"/>
      <c r="P21" s="7"/>
      <c r="Q21" s="7"/>
      <c r="R21" s="7"/>
      <c r="S21" s="7"/>
      <c r="T21" s="7"/>
      <c r="U21" s="7"/>
      <c r="V21" s="7"/>
      <c r="W21" s="7"/>
      <c r="X21" s="7"/>
      <c r="Y21" s="7"/>
      <c r="Z21" s="7"/>
      <c r="AA21" s="7"/>
      <c r="AB21" s="186"/>
      <c r="AC21" s="186"/>
      <c r="AD21" s="165"/>
      <c r="AE21" s="166"/>
      <c r="AF21" s="166"/>
      <c r="AG21" s="166"/>
      <c r="AH21" s="166"/>
      <c r="AI21" s="166"/>
      <c r="AJ21" s="166"/>
      <c r="AK21" s="166"/>
      <c r="AL21" s="166"/>
      <c r="AM21" s="166"/>
      <c r="AN21" s="166"/>
      <c r="AO21" s="166"/>
      <c r="AP21" s="166"/>
      <c r="AQ21" s="166"/>
      <c r="AR21" s="165"/>
      <c r="AS21" s="166"/>
      <c r="AT21" s="166"/>
      <c r="AU21" s="166"/>
      <c r="AV21" s="166"/>
      <c r="AW21" s="166"/>
      <c r="AX21" s="166"/>
      <c r="AY21" s="166"/>
      <c r="AZ21" s="166"/>
      <c r="BA21" s="166"/>
      <c r="BB21" s="166"/>
      <c r="BC21" s="166"/>
      <c r="BD21" s="166"/>
      <c r="BE21" s="166"/>
      <c r="BF21" s="165"/>
      <c r="BG21" s="167"/>
      <c r="BH21" s="167"/>
      <c r="BI21" s="167"/>
      <c r="BJ21" s="167"/>
      <c r="BK21" s="167"/>
      <c r="BL21" s="167"/>
      <c r="BM21" s="167"/>
      <c r="BN21" s="167"/>
      <c r="BO21" s="167"/>
      <c r="BP21" s="167"/>
      <c r="BQ21" s="167"/>
      <c r="BR21" s="167"/>
      <c r="BS21" s="167"/>
      <c r="BT21" s="165"/>
      <c r="BU21" s="139"/>
      <c r="BV21" s="139"/>
      <c r="BW21" s="139"/>
      <c r="BX21" s="139"/>
      <c r="BY21" s="139"/>
      <c r="BZ21" s="139"/>
      <c r="CA21" s="139"/>
      <c r="CB21" s="139"/>
      <c r="CC21" s="139"/>
      <c r="CD21" s="139"/>
      <c r="CE21" s="139"/>
      <c r="CF21" s="139"/>
      <c r="CG21" s="139"/>
      <c r="CH21" s="66"/>
      <c r="CI21" s="139"/>
      <c r="CJ21" s="139"/>
      <c r="CK21" s="139"/>
      <c r="CL21" s="139"/>
      <c r="CM21" s="139"/>
      <c r="CN21" s="139"/>
      <c r="CO21" s="139"/>
      <c r="CP21" s="139"/>
      <c r="CQ21" s="139"/>
      <c r="CR21" s="139"/>
      <c r="CS21" s="139"/>
      <c r="CT21" s="139"/>
      <c r="CU21" s="139"/>
      <c r="CW21" s="235" t="s">
        <v>116</v>
      </c>
      <c r="CX21" s="235"/>
      <c r="CY21" s="235"/>
      <c r="DC21" s="173"/>
      <c r="DD21" s="173"/>
      <c r="DE21" s="173"/>
      <c r="DF21" s="173"/>
      <c r="DG21" s="173"/>
    </row>
    <row r="22" spans="1:111" ht="15.75" customHeight="1" x14ac:dyDescent="0.3">
      <c r="A22" s="268"/>
      <c r="B22" s="268"/>
      <c r="C22" s="268"/>
      <c r="D22" s="188" t="s">
        <v>92</v>
      </c>
      <c r="E22" s="188"/>
      <c r="F22" s="188"/>
      <c r="G22" s="188"/>
      <c r="H22" s="188"/>
      <c r="I22" s="188"/>
      <c r="J22" s="188"/>
      <c r="K22" s="189"/>
      <c r="L22" s="3" t="s">
        <v>13</v>
      </c>
      <c r="M22" s="7" t="s">
        <v>184</v>
      </c>
      <c r="N22" s="7"/>
      <c r="O22" s="7"/>
      <c r="P22" s="7"/>
      <c r="Q22" s="7"/>
      <c r="R22" s="7"/>
      <c r="S22" s="7"/>
      <c r="T22" s="7"/>
      <c r="U22" s="7"/>
      <c r="V22" s="7"/>
      <c r="W22" s="7"/>
      <c r="X22" s="7"/>
      <c r="Y22" s="7"/>
      <c r="Z22" s="7"/>
      <c r="AA22" s="7"/>
      <c r="AB22" s="186"/>
      <c r="AC22" s="186"/>
      <c r="AD22" s="165"/>
      <c r="AE22" s="166"/>
      <c r="AF22" s="166"/>
      <c r="AG22" s="166"/>
      <c r="AH22" s="166"/>
      <c r="AI22" s="166"/>
      <c r="AJ22" s="166"/>
      <c r="AK22" s="166"/>
      <c r="AL22" s="166"/>
      <c r="AM22" s="166"/>
      <c r="AN22" s="166"/>
      <c r="AO22" s="166"/>
      <c r="AP22" s="166"/>
      <c r="AQ22" s="166"/>
      <c r="AR22" s="165"/>
      <c r="AS22" s="166"/>
      <c r="AT22" s="166"/>
      <c r="AU22" s="166"/>
      <c r="AV22" s="166"/>
      <c r="AW22" s="166"/>
      <c r="AX22" s="166"/>
      <c r="AY22" s="166"/>
      <c r="AZ22" s="166"/>
      <c r="BA22" s="166"/>
      <c r="BB22" s="166"/>
      <c r="BC22" s="166"/>
      <c r="BD22" s="166"/>
      <c r="BE22" s="166"/>
      <c r="BF22" s="165"/>
      <c r="BG22" s="167"/>
      <c r="BH22" s="167"/>
      <c r="BI22" s="167"/>
      <c r="BJ22" s="167"/>
      <c r="BK22" s="167"/>
      <c r="BL22" s="167"/>
      <c r="BM22" s="167"/>
      <c r="BN22" s="167"/>
      <c r="BO22" s="167"/>
      <c r="BP22" s="167"/>
      <c r="BQ22" s="167"/>
      <c r="BR22" s="167"/>
      <c r="BS22" s="167"/>
      <c r="BT22" s="165"/>
      <c r="BU22" s="139"/>
      <c r="BV22" s="139"/>
      <c r="BW22" s="139"/>
      <c r="BX22" s="139"/>
      <c r="BY22" s="139"/>
      <c r="BZ22" s="139"/>
      <c r="CA22" s="139"/>
      <c r="CB22" s="139"/>
      <c r="CC22" s="139"/>
      <c r="CD22" s="139"/>
      <c r="CE22" s="139"/>
      <c r="CF22" s="139"/>
      <c r="CG22" s="139"/>
      <c r="CH22" s="66"/>
      <c r="CI22" s="139"/>
      <c r="CJ22" s="139"/>
      <c r="CK22" s="139"/>
      <c r="CL22" s="139"/>
      <c r="CM22" s="139"/>
      <c r="CN22" s="139"/>
      <c r="CO22" s="139"/>
      <c r="CP22" s="139"/>
      <c r="CQ22" s="139"/>
      <c r="CR22" s="139"/>
      <c r="CS22" s="139"/>
      <c r="CT22" s="139"/>
      <c r="CU22" s="139"/>
      <c r="CW22" s="235"/>
      <c r="CX22" s="235"/>
      <c r="CY22" s="235"/>
      <c r="DC22" s="173"/>
      <c r="DD22" s="173"/>
      <c r="DE22" s="173"/>
      <c r="DF22" s="173"/>
      <c r="DG22" s="173"/>
    </row>
    <row r="23" spans="1:111" ht="15.75" customHeight="1" x14ac:dyDescent="0.3">
      <c r="A23" s="268"/>
      <c r="B23" s="268"/>
      <c r="C23" s="268"/>
      <c r="D23" s="190" t="s">
        <v>15</v>
      </c>
      <c r="E23" s="190"/>
      <c r="F23" s="190"/>
      <c r="G23" s="190"/>
      <c r="H23" s="190"/>
      <c r="I23" s="190"/>
      <c r="J23" s="190"/>
      <c r="K23" s="189"/>
      <c r="L23" s="191" t="s">
        <v>13</v>
      </c>
      <c r="M23" s="12" t="s">
        <v>185</v>
      </c>
      <c r="N23" s="7"/>
      <c r="O23" s="7"/>
      <c r="P23" s="7"/>
      <c r="Q23" s="7"/>
      <c r="R23" s="7"/>
      <c r="S23" s="7"/>
      <c r="T23" s="7"/>
      <c r="U23" s="7"/>
      <c r="V23" s="7"/>
      <c r="W23" s="7"/>
      <c r="X23" s="7"/>
      <c r="Y23" s="7"/>
      <c r="Z23" s="7"/>
      <c r="AA23" s="7"/>
      <c r="AB23" s="186"/>
      <c r="AC23" s="186"/>
      <c r="AD23" s="165"/>
      <c r="AE23" s="166"/>
      <c r="AF23" s="166"/>
      <c r="AG23" s="166"/>
      <c r="AH23" s="166"/>
      <c r="AI23" s="166"/>
      <c r="AJ23" s="166"/>
      <c r="AK23" s="166"/>
      <c r="AL23" s="166"/>
      <c r="AM23" s="166"/>
      <c r="AN23" s="166"/>
      <c r="AO23" s="166"/>
      <c r="AP23" s="166"/>
      <c r="AQ23" s="166"/>
      <c r="AR23" s="165"/>
      <c r="AS23" s="166"/>
      <c r="AT23" s="166"/>
      <c r="AU23" s="166"/>
      <c r="AV23" s="166"/>
      <c r="AW23" s="166"/>
      <c r="AX23" s="166"/>
      <c r="AY23" s="166"/>
      <c r="AZ23" s="166"/>
      <c r="BA23" s="166"/>
      <c r="BB23" s="166"/>
      <c r="BC23" s="166"/>
      <c r="BD23" s="166"/>
      <c r="BE23" s="166"/>
      <c r="BF23" s="165"/>
      <c r="BG23" s="167"/>
      <c r="BH23" s="167"/>
      <c r="BI23" s="167"/>
      <c r="BJ23" s="167"/>
      <c r="BK23" s="167"/>
      <c r="BL23" s="167"/>
      <c r="BM23" s="167"/>
      <c r="BN23" s="167"/>
      <c r="BO23" s="167"/>
      <c r="BP23" s="167"/>
      <c r="BQ23" s="167"/>
      <c r="BR23" s="167"/>
      <c r="BS23" s="167"/>
      <c r="BT23" s="165"/>
      <c r="BU23" s="139"/>
      <c r="BV23" s="139"/>
      <c r="BW23" s="139"/>
      <c r="BX23" s="139"/>
      <c r="BY23" s="139"/>
      <c r="BZ23" s="139"/>
      <c r="CA23" s="139"/>
      <c r="CB23" s="139"/>
      <c r="CC23" s="139"/>
      <c r="CD23" s="139"/>
      <c r="CE23" s="139"/>
      <c r="CF23" s="139"/>
      <c r="CG23" s="139"/>
      <c r="CH23" s="66"/>
      <c r="CI23" s="139"/>
      <c r="CJ23" s="139"/>
      <c r="CK23" s="139"/>
      <c r="CL23" s="139"/>
      <c r="CM23" s="139"/>
      <c r="CN23" s="139"/>
      <c r="CO23" s="139"/>
      <c r="CP23" s="139"/>
      <c r="CQ23" s="139"/>
      <c r="CR23" s="139"/>
      <c r="CS23" s="139"/>
      <c r="CT23" s="139"/>
      <c r="CU23" s="139"/>
      <c r="CV23" s="93"/>
      <c r="CW23" s="192" t="s">
        <v>117</v>
      </c>
      <c r="CX23" s="12" t="s">
        <v>118</v>
      </c>
      <c r="DC23" s="173"/>
      <c r="DD23" s="173"/>
      <c r="DE23" s="173"/>
      <c r="DF23" s="173"/>
      <c r="DG23" s="173"/>
    </row>
    <row r="24" spans="1:111" ht="15.75" customHeight="1" thickBot="1" x14ac:dyDescent="0.35">
      <c r="A24" s="268"/>
      <c r="B24" s="268"/>
      <c r="C24" s="268"/>
      <c r="D24" s="190" t="s">
        <v>16</v>
      </c>
      <c r="E24" s="190"/>
      <c r="F24" s="190"/>
      <c r="G24" s="190"/>
      <c r="H24" s="190"/>
      <c r="I24" s="190"/>
      <c r="J24" s="190"/>
      <c r="K24" s="189"/>
      <c r="L24" s="3" t="s">
        <v>11</v>
      </c>
      <c r="M24" s="7" t="s">
        <v>155</v>
      </c>
      <c r="N24" s="7"/>
      <c r="O24" s="7"/>
      <c r="P24" s="7"/>
      <c r="Q24" s="7"/>
      <c r="R24" s="7"/>
      <c r="S24" s="7"/>
      <c r="T24" s="7"/>
      <c r="U24" s="7"/>
      <c r="V24" s="7"/>
      <c r="W24" s="7"/>
      <c r="X24" s="7"/>
      <c r="Y24" s="7"/>
      <c r="Z24" s="7"/>
      <c r="AA24" s="7"/>
      <c r="AB24" s="186"/>
      <c r="AC24" s="186"/>
      <c r="AD24" s="165"/>
      <c r="AE24" s="166"/>
      <c r="AF24" s="166"/>
      <c r="AG24" s="166"/>
      <c r="AH24" s="166"/>
      <c r="AI24" s="166"/>
      <c r="AJ24" s="166"/>
      <c r="AK24" s="166"/>
      <c r="AL24" s="166"/>
      <c r="AM24" s="166"/>
      <c r="AN24" s="166"/>
      <c r="AO24" s="166"/>
      <c r="AP24" s="166"/>
      <c r="AQ24" s="166"/>
      <c r="AR24" s="165"/>
      <c r="AS24" s="166"/>
      <c r="AT24" s="166"/>
      <c r="AU24" s="166"/>
      <c r="AV24" s="166"/>
      <c r="AW24" s="166"/>
      <c r="AX24" s="166"/>
      <c r="AY24" s="166"/>
      <c r="AZ24" s="166"/>
      <c r="BA24" s="166"/>
      <c r="BB24" s="166"/>
      <c r="BC24" s="166"/>
      <c r="BD24" s="166"/>
      <c r="BE24" s="166"/>
      <c r="BF24" s="165"/>
      <c r="BG24" s="167"/>
      <c r="BH24" s="167"/>
      <c r="BI24" s="167"/>
      <c r="BJ24" s="167"/>
      <c r="BK24" s="167"/>
      <c r="BL24" s="167"/>
      <c r="BM24" s="167"/>
      <c r="BN24" s="167"/>
      <c r="BO24" s="167"/>
      <c r="BP24" s="167"/>
      <c r="BQ24" s="167"/>
      <c r="BR24" s="167"/>
      <c r="BS24" s="167"/>
      <c r="BT24" s="165"/>
      <c r="BU24" s="139"/>
      <c r="BV24" s="139"/>
      <c r="BW24" s="139"/>
      <c r="BX24" s="139"/>
      <c r="BY24" s="139"/>
      <c r="BZ24" s="139"/>
      <c r="CA24" s="139"/>
      <c r="CB24" s="139"/>
      <c r="CC24" s="139"/>
      <c r="CD24" s="139"/>
      <c r="CE24" s="139"/>
      <c r="CF24" s="139"/>
      <c r="CG24" s="139"/>
      <c r="CH24" s="66"/>
      <c r="CI24" s="139"/>
      <c r="CJ24" s="139"/>
      <c r="CK24" s="139"/>
      <c r="CL24" s="139"/>
      <c r="CM24" s="139"/>
      <c r="CN24" s="139"/>
      <c r="CO24" s="139"/>
      <c r="CP24" s="139"/>
      <c r="CQ24" s="139"/>
      <c r="CR24" s="139"/>
      <c r="CS24" s="139"/>
      <c r="CT24" s="139"/>
      <c r="CU24" s="139"/>
      <c r="CV24" s="93"/>
      <c r="CW24" s="192" t="s">
        <v>131</v>
      </c>
      <c r="CX24" s="12" t="s">
        <v>162</v>
      </c>
      <c r="DC24" s="173"/>
      <c r="DD24" s="173"/>
      <c r="DE24" s="173"/>
      <c r="DF24" s="173"/>
      <c r="DG24" s="173"/>
    </row>
    <row r="25" spans="1:111" ht="15.75" customHeight="1" x14ac:dyDescent="0.3">
      <c r="A25" s="238" t="s">
        <v>19</v>
      </c>
      <c r="B25" s="238"/>
      <c r="C25" s="267"/>
      <c r="D25" s="261" t="s">
        <v>202</v>
      </c>
      <c r="E25" s="262"/>
      <c r="F25" s="262"/>
      <c r="G25" s="262"/>
      <c r="H25" s="262"/>
      <c r="I25" s="262"/>
      <c r="J25" s="262"/>
      <c r="K25" s="263"/>
      <c r="L25" s="3" t="s">
        <v>7</v>
      </c>
      <c r="M25" s="7" t="s">
        <v>531</v>
      </c>
      <c r="N25" s="7"/>
      <c r="O25" s="7"/>
      <c r="P25" s="7"/>
      <c r="Q25" s="7"/>
      <c r="R25" s="7"/>
      <c r="S25" s="7"/>
      <c r="T25" s="7"/>
      <c r="U25" s="7"/>
      <c r="V25" s="7"/>
      <c r="W25" s="7"/>
      <c r="X25" s="7"/>
      <c r="Y25" s="7"/>
      <c r="Z25" s="7"/>
      <c r="AA25" s="7"/>
      <c r="AB25" s="45"/>
      <c r="AC25" s="45"/>
      <c r="AD25" s="165"/>
      <c r="AE25" s="166"/>
      <c r="AF25" s="166"/>
      <c r="AG25" s="166"/>
      <c r="AH25" s="166"/>
      <c r="AI25" s="166"/>
      <c r="AJ25" s="166"/>
      <c r="AK25" s="166"/>
      <c r="AL25" s="166"/>
      <c r="AM25" s="166"/>
      <c r="AN25" s="166"/>
      <c r="AO25" s="166"/>
      <c r="AP25" s="166"/>
      <c r="AQ25" s="166"/>
      <c r="AR25" s="165"/>
      <c r="AS25" s="166"/>
      <c r="AT25" s="166"/>
      <c r="AU25" s="166"/>
      <c r="AV25" s="166"/>
      <c r="AW25" s="166"/>
      <c r="AX25" s="166"/>
      <c r="AY25" s="166"/>
      <c r="AZ25" s="166"/>
      <c r="BA25" s="166"/>
      <c r="BB25" s="166"/>
      <c r="BC25" s="166"/>
      <c r="BD25" s="166"/>
      <c r="BE25" s="166"/>
      <c r="BF25" s="165"/>
      <c r="BG25" s="167"/>
      <c r="BH25" s="167"/>
      <c r="BI25" s="167"/>
      <c r="BJ25" s="167"/>
      <c r="BK25" s="167"/>
      <c r="BL25" s="167"/>
      <c r="BM25" s="167"/>
      <c r="BN25" s="167"/>
      <c r="BO25" s="167"/>
      <c r="BP25" s="167"/>
      <c r="BQ25" s="167"/>
      <c r="BR25" s="167"/>
      <c r="BS25" s="167"/>
      <c r="BT25" s="165"/>
      <c r="BU25" s="139"/>
      <c r="BV25" s="139"/>
      <c r="BW25" s="139"/>
      <c r="BX25" s="139"/>
      <c r="BY25" s="139"/>
      <c r="BZ25" s="139"/>
      <c r="CA25" s="139"/>
      <c r="CB25" s="139"/>
      <c r="CC25" s="139"/>
      <c r="CD25" s="139"/>
      <c r="CE25" s="139"/>
      <c r="CF25" s="139"/>
      <c r="CG25" s="139"/>
      <c r="CH25" s="66"/>
      <c r="CI25" s="139"/>
      <c r="CJ25" s="139"/>
      <c r="CK25" s="139"/>
      <c r="CL25" s="139"/>
      <c r="CM25" s="139"/>
      <c r="CN25" s="139"/>
      <c r="CO25" s="139"/>
      <c r="CP25" s="139"/>
      <c r="CQ25" s="139"/>
      <c r="CR25" s="139"/>
      <c r="CS25" s="139"/>
      <c r="CT25" s="139"/>
      <c r="CU25" s="139"/>
      <c r="CV25" s="93"/>
      <c r="CW25" s="192" t="s">
        <v>412</v>
      </c>
      <c r="CX25" s="12" t="s">
        <v>413</v>
      </c>
      <c r="DC25" s="173"/>
      <c r="DD25" s="173"/>
      <c r="DE25" s="173"/>
      <c r="DF25" s="173"/>
      <c r="DG25" s="173"/>
    </row>
    <row r="26" spans="1:111" ht="15.75" customHeight="1" thickBot="1" x14ac:dyDescent="0.35">
      <c r="A26" s="238"/>
      <c r="B26" s="238"/>
      <c r="C26" s="267"/>
      <c r="D26" s="264"/>
      <c r="E26" s="265"/>
      <c r="F26" s="265"/>
      <c r="G26" s="265"/>
      <c r="H26" s="265"/>
      <c r="I26" s="265"/>
      <c r="J26" s="265"/>
      <c r="K26" s="266"/>
      <c r="L26" s="3" t="s">
        <v>8</v>
      </c>
      <c r="M26" s="7" t="s">
        <v>156</v>
      </c>
      <c r="N26" s="7"/>
      <c r="O26" s="7"/>
      <c r="P26" s="7"/>
      <c r="Q26" s="7"/>
      <c r="R26" s="7"/>
      <c r="S26" s="7"/>
      <c r="T26" s="7"/>
      <c r="U26" s="7"/>
      <c r="V26" s="7"/>
      <c r="W26" s="7"/>
      <c r="X26" s="7"/>
      <c r="Y26" s="7"/>
      <c r="Z26" s="7"/>
      <c r="AA26" s="7"/>
      <c r="AB26" s="45"/>
      <c r="AC26" s="45"/>
      <c r="AD26" s="165"/>
      <c r="AE26" s="166"/>
      <c r="AF26" s="166"/>
      <c r="AG26" s="166"/>
      <c r="AH26" s="166"/>
      <c r="AI26" s="166"/>
      <c r="AJ26" s="166"/>
      <c r="AK26" s="166"/>
      <c r="AL26" s="166"/>
      <c r="AM26" s="166"/>
      <c r="AN26" s="166"/>
      <c r="AO26" s="166"/>
      <c r="AP26" s="166"/>
      <c r="AQ26" s="166"/>
      <c r="AR26" s="165"/>
      <c r="AS26" s="166"/>
      <c r="AT26" s="166"/>
      <c r="AU26" s="166"/>
      <c r="AV26" s="166"/>
      <c r="AW26" s="166"/>
      <c r="AX26" s="166"/>
      <c r="AY26" s="166"/>
      <c r="AZ26" s="166"/>
      <c r="BA26" s="166"/>
      <c r="BB26" s="166"/>
      <c r="BC26" s="166"/>
      <c r="BD26" s="166"/>
      <c r="BE26" s="166"/>
      <c r="BF26" s="165"/>
      <c r="BG26" s="167"/>
      <c r="BH26" s="167"/>
      <c r="BI26" s="167"/>
      <c r="BJ26" s="167"/>
      <c r="BK26" s="167"/>
      <c r="BL26" s="167"/>
      <c r="BM26" s="167"/>
      <c r="BN26" s="167"/>
      <c r="BO26" s="167"/>
      <c r="BP26" s="167"/>
      <c r="BQ26" s="167"/>
      <c r="BR26" s="167"/>
      <c r="BS26" s="167"/>
      <c r="BT26" s="165"/>
      <c r="BU26" s="139"/>
      <c r="BV26" s="139"/>
      <c r="BW26" s="139"/>
      <c r="BX26" s="139"/>
      <c r="BY26" s="139"/>
      <c r="BZ26" s="139"/>
      <c r="CA26" s="139"/>
      <c r="CB26" s="139"/>
      <c r="CC26" s="139"/>
      <c r="CD26" s="139"/>
      <c r="CE26" s="139"/>
      <c r="CF26" s="139"/>
      <c r="CG26" s="139"/>
      <c r="CH26" s="66"/>
      <c r="CI26" s="139"/>
      <c r="CJ26" s="139"/>
      <c r="CK26" s="139"/>
      <c r="CL26" s="139"/>
      <c r="CM26" s="139"/>
      <c r="CN26" s="139"/>
      <c r="CO26" s="139"/>
      <c r="CP26" s="139"/>
      <c r="CQ26" s="139"/>
      <c r="CR26" s="139"/>
      <c r="CS26" s="139"/>
      <c r="CT26" s="139"/>
      <c r="CU26" s="139"/>
      <c r="CW26" s="192" t="s">
        <v>119</v>
      </c>
      <c r="CX26" s="12" t="s">
        <v>120</v>
      </c>
      <c r="DC26" s="173"/>
      <c r="DD26" s="173"/>
      <c r="DE26" s="173"/>
      <c r="DF26" s="173"/>
      <c r="DG26" s="173"/>
    </row>
    <row r="27" spans="1:111" ht="15" customHeight="1" x14ac:dyDescent="0.3">
      <c r="A27" s="193"/>
      <c r="B27" s="193"/>
      <c r="C27" s="193"/>
      <c r="D27" s="193"/>
      <c r="E27" s="193"/>
      <c r="F27" s="193"/>
      <c r="G27" s="193"/>
      <c r="H27" s="193"/>
      <c r="I27" s="193"/>
      <c r="J27" s="193"/>
      <c r="K27" s="194"/>
      <c r="L27" s="195"/>
      <c r="M27" s="165"/>
      <c r="N27" s="165"/>
      <c r="O27" s="165"/>
      <c r="P27" s="165"/>
      <c r="Q27" s="165"/>
      <c r="R27" s="165"/>
      <c r="S27" s="165"/>
      <c r="T27" s="193"/>
      <c r="U27" s="165"/>
      <c r="V27" s="165"/>
      <c r="W27" s="165"/>
      <c r="X27" s="165"/>
      <c r="Y27" s="165"/>
      <c r="Z27" s="165"/>
      <c r="AA27" s="165"/>
      <c r="AB27" s="165"/>
      <c r="AC27" s="165"/>
      <c r="AD27" s="193"/>
      <c r="AE27" s="165"/>
      <c r="AF27" s="165"/>
      <c r="AG27" s="165"/>
      <c r="AH27" s="165"/>
      <c r="AI27" s="165"/>
      <c r="AJ27" s="165"/>
      <c r="AK27" s="165"/>
      <c r="AL27" s="165"/>
      <c r="AM27" s="165"/>
      <c r="AN27" s="193"/>
      <c r="AO27" s="165"/>
      <c r="AP27" s="165"/>
      <c r="AQ27" s="165"/>
      <c r="AR27" s="165"/>
      <c r="AS27" s="165"/>
      <c r="AT27" s="165"/>
      <c r="AU27" s="165"/>
      <c r="AV27" s="165"/>
      <c r="AW27" s="165"/>
      <c r="AX27" s="193"/>
      <c r="AY27" s="165"/>
      <c r="AZ27" s="165"/>
      <c r="BA27" s="165"/>
      <c r="BB27" s="165"/>
      <c r="BC27" s="165"/>
      <c r="BD27" s="165"/>
      <c r="BE27" s="165"/>
      <c r="BF27" s="165"/>
      <c r="BG27" s="165"/>
      <c r="BH27" s="193"/>
      <c r="BI27" s="165"/>
      <c r="BJ27" s="165"/>
      <c r="BK27" s="165"/>
      <c r="BL27" s="165"/>
      <c r="BM27" s="165"/>
      <c r="BN27" s="165"/>
      <c r="BO27" s="165"/>
      <c r="BP27" s="165"/>
      <c r="BQ27" s="165"/>
      <c r="BR27" s="19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45"/>
      <c r="CW27" s="192" t="s">
        <v>89</v>
      </c>
      <c r="CX27" s="12" t="s">
        <v>121</v>
      </c>
      <c r="DC27" s="173"/>
      <c r="DD27" s="173"/>
      <c r="DE27" s="173"/>
      <c r="DF27" s="173"/>
      <c r="DG27" s="173"/>
    </row>
    <row r="28" spans="1:111" ht="15" customHeight="1" x14ac:dyDescent="0.3">
      <c r="A28" s="196"/>
      <c r="B28" s="196"/>
      <c r="C28" s="196"/>
      <c r="D28" s="196"/>
      <c r="E28" s="196"/>
      <c r="F28" s="196"/>
      <c r="G28" s="196"/>
      <c r="H28" s="196"/>
      <c r="I28" s="196"/>
      <c r="J28" s="193"/>
      <c r="K28" s="196"/>
      <c r="L28" s="196"/>
      <c r="M28" s="196"/>
      <c r="N28" s="196"/>
      <c r="O28" s="196"/>
      <c r="P28" s="196"/>
      <c r="Q28" s="196"/>
      <c r="R28" s="196"/>
      <c r="S28" s="196"/>
      <c r="T28" s="193"/>
      <c r="U28" s="196"/>
      <c r="V28" s="196"/>
      <c r="W28" s="196"/>
      <c r="X28" s="196"/>
      <c r="Y28" s="196"/>
      <c r="Z28" s="196"/>
      <c r="AA28" s="196"/>
      <c r="AB28" s="196"/>
      <c r="AC28" s="196"/>
      <c r="AD28" s="193"/>
      <c r="AE28" s="166"/>
      <c r="AF28" s="166"/>
      <c r="AG28" s="166"/>
      <c r="AH28" s="166"/>
      <c r="AI28" s="166"/>
      <c r="AJ28" s="166"/>
      <c r="AK28" s="166"/>
      <c r="AL28" s="166"/>
      <c r="AM28" s="166"/>
      <c r="AN28" s="193"/>
      <c r="AO28" s="166"/>
      <c r="AP28" s="166"/>
      <c r="AQ28" s="166"/>
      <c r="AR28" s="166"/>
      <c r="AS28" s="166"/>
      <c r="AT28" s="166"/>
      <c r="AU28" s="166"/>
      <c r="AV28" s="166"/>
      <c r="AW28" s="166"/>
      <c r="AX28" s="193"/>
      <c r="AY28" s="166"/>
      <c r="AZ28" s="166"/>
      <c r="BA28" s="166"/>
      <c r="BB28" s="166"/>
      <c r="BC28" s="166"/>
      <c r="BD28" s="166"/>
      <c r="BE28" s="166"/>
      <c r="BF28" s="166"/>
      <c r="BG28" s="166"/>
      <c r="BH28" s="193"/>
      <c r="BI28" s="166"/>
      <c r="BJ28" s="166"/>
      <c r="BK28" s="166"/>
      <c r="BL28" s="166"/>
      <c r="BM28" s="166"/>
      <c r="BN28" s="166"/>
      <c r="BO28" s="166"/>
      <c r="BP28" s="166"/>
      <c r="BQ28" s="166"/>
      <c r="BR28" s="19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45"/>
      <c r="CW28" s="192" t="s">
        <v>122</v>
      </c>
      <c r="CX28" s="12" t="s">
        <v>123</v>
      </c>
      <c r="DC28" s="173"/>
      <c r="DD28" s="173"/>
      <c r="DE28" s="173"/>
      <c r="DF28" s="173"/>
      <c r="DG28" s="173"/>
    </row>
    <row r="29" spans="1:111" ht="15" customHeight="1" x14ac:dyDescent="0.3">
      <c r="A29" s="196"/>
      <c r="B29" s="196"/>
      <c r="C29" s="196"/>
      <c r="D29" s="196"/>
      <c r="E29" s="196"/>
      <c r="F29" s="196"/>
      <c r="G29" s="196"/>
      <c r="H29" s="196"/>
      <c r="I29" s="196"/>
      <c r="J29" s="193"/>
      <c r="K29" s="196"/>
      <c r="L29" s="196"/>
      <c r="M29" s="196"/>
      <c r="N29" s="196"/>
      <c r="O29" s="196"/>
      <c r="P29" s="196"/>
      <c r="Q29" s="196"/>
      <c r="R29" s="196"/>
      <c r="S29" s="196"/>
      <c r="T29" s="193"/>
      <c r="U29" s="196"/>
      <c r="V29" s="196"/>
      <c r="W29" s="196"/>
      <c r="X29" s="196"/>
      <c r="Y29" s="196"/>
      <c r="Z29" s="196"/>
      <c r="AA29" s="196"/>
      <c r="AB29" s="196"/>
      <c r="AC29" s="196"/>
      <c r="AD29" s="193"/>
      <c r="AE29" s="166"/>
      <c r="AF29" s="166"/>
      <c r="AG29" s="166"/>
      <c r="AH29" s="166"/>
      <c r="AI29" s="166"/>
      <c r="AJ29" s="166"/>
      <c r="AK29" s="166"/>
      <c r="AL29" s="166"/>
      <c r="AM29" s="166"/>
      <c r="AN29" s="193"/>
      <c r="AO29" s="166"/>
      <c r="AP29" s="166"/>
      <c r="AQ29" s="166"/>
      <c r="AR29" s="166"/>
      <c r="AS29" s="166"/>
      <c r="AT29" s="166"/>
      <c r="AU29" s="166"/>
      <c r="AV29" s="166"/>
      <c r="AW29" s="166"/>
      <c r="AX29" s="193"/>
      <c r="AY29" s="166"/>
      <c r="AZ29" s="166"/>
      <c r="BA29" s="166"/>
      <c r="BB29" s="166"/>
      <c r="BC29" s="166"/>
      <c r="BD29" s="166"/>
      <c r="BE29" s="166"/>
      <c r="BF29" s="166"/>
      <c r="BG29" s="166"/>
      <c r="BH29" s="193"/>
      <c r="BI29" s="166"/>
      <c r="BJ29" s="166"/>
      <c r="BK29" s="166"/>
      <c r="BL29" s="166"/>
      <c r="BM29" s="166"/>
      <c r="BN29" s="166"/>
      <c r="BO29" s="166"/>
      <c r="BP29" s="166"/>
      <c r="BQ29" s="166"/>
      <c r="BR29" s="19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45"/>
      <c r="CW29" s="192" t="s">
        <v>102</v>
      </c>
      <c r="CX29" s="12" t="s">
        <v>124</v>
      </c>
      <c r="DC29" s="173"/>
      <c r="DD29" s="173"/>
      <c r="DE29" s="173"/>
      <c r="DF29" s="173"/>
      <c r="DG29" s="173"/>
    </row>
    <row r="30" spans="1:111" ht="15" customHeight="1" x14ac:dyDescent="0.3">
      <c r="A30" s="196"/>
      <c r="B30" s="196"/>
      <c r="C30" s="196"/>
      <c r="D30" s="196"/>
      <c r="E30" s="196"/>
      <c r="F30" s="196"/>
      <c r="G30" s="196"/>
      <c r="H30" s="196"/>
      <c r="I30" s="196"/>
      <c r="J30" s="193"/>
      <c r="K30" s="196"/>
      <c r="L30" s="196"/>
      <c r="M30" s="196"/>
      <c r="N30" s="196"/>
      <c r="O30" s="196"/>
      <c r="P30" s="196"/>
      <c r="Q30" s="196"/>
      <c r="R30" s="196"/>
      <c r="S30" s="196"/>
      <c r="T30" s="193"/>
      <c r="U30" s="196"/>
      <c r="V30" s="196"/>
      <c r="W30" s="196"/>
      <c r="X30" s="196"/>
      <c r="Y30" s="196"/>
      <c r="Z30" s="196"/>
      <c r="AA30" s="196"/>
      <c r="AB30" s="196"/>
      <c r="AC30" s="196"/>
      <c r="AD30" s="193"/>
      <c r="AE30" s="166"/>
      <c r="AF30" s="166"/>
      <c r="AG30" s="166"/>
      <c r="AH30" s="166"/>
      <c r="AI30" s="166"/>
      <c r="AJ30" s="166"/>
      <c r="AK30" s="166"/>
      <c r="AL30" s="166"/>
      <c r="AM30" s="166"/>
      <c r="AN30" s="193"/>
      <c r="AO30" s="166"/>
      <c r="AP30" s="166"/>
      <c r="AQ30" s="166"/>
      <c r="AR30" s="166"/>
      <c r="AS30" s="166"/>
      <c r="AT30" s="166"/>
      <c r="AU30" s="166"/>
      <c r="AV30" s="166"/>
      <c r="AW30" s="166"/>
      <c r="AX30" s="193"/>
      <c r="AY30" s="166"/>
      <c r="AZ30" s="166"/>
      <c r="BA30" s="166"/>
      <c r="BB30" s="166"/>
      <c r="BC30" s="166"/>
      <c r="BD30" s="166"/>
      <c r="BE30" s="166"/>
      <c r="BF30" s="166"/>
      <c r="BG30" s="166"/>
      <c r="BH30" s="193"/>
      <c r="BI30" s="166"/>
      <c r="BJ30" s="166"/>
      <c r="BK30" s="166"/>
      <c r="BL30" s="166"/>
      <c r="BM30" s="166"/>
      <c r="BN30" s="166"/>
      <c r="BO30" s="166"/>
      <c r="BP30" s="166"/>
      <c r="BQ30" s="166"/>
      <c r="BR30" s="19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45"/>
      <c r="CW30" s="192" t="s">
        <v>125</v>
      </c>
      <c r="CX30" s="12" t="s">
        <v>126</v>
      </c>
      <c r="DC30" s="173"/>
      <c r="DD30" s="173"/>
      <c r="DE30" s="173"/>
      <c r="DF30" s="173"/>
      <c r="DG30" s="173"/>
    </row>
    <row r="31" spans="1:111" ht="15" customHeight="1" x14ac:dyDescent="0.3">
      <c r="A31" s="196"/>
      <c r="B31" s="196"/>
      <c r="C31" s="196"/>
      <c r="D31" s="196"/>
      <c r="E31" s="196"/>
      <c r="F31" s="196"/>
      <c r="G31" s="196"/>
      <c r="H31" s="196"/>
      <c r="I31" s="196"/>
      <c r="J31" s="193"/>
      <c r="K31" s="196"/>
      <c r="L31" s="196"/>
      <c r="M31" s="196"/>
      <c r="N31" s="196"/>
      <c r="O31" s="196"/>
      <c r="P31" s="196"/>
      <c r="Q31" s="196"/>
      <c r="R31" s="196"/>
      <c r="S31" s="196"/>
      <c r="T31" s="193"/>
      <c r="U31" s="196"/>
      <c r="V31" s="196"/>
      <c r="W31" s="196"/>
      <c r="X31" s="196"/>
      <c r="Y31" s="196"/>
      <c r="Z31" s="196"/>
      <c r="AA31" s="196"/>
      <c r="AB31" s="196"/>
      <c r="AC31" s="196"/>
      <c r="AD31" s="193"/>
      <c r="AE31" s="166"/>
      <c r="AF31" s="166"/>
      <c r="AG31" s="166"/>
      <c r="AH31" s="166"/>
      <c r="AI31" s="166"/>
      <c r="AJ31" s="166"/>
      <c r="AK31" s="166"/>
      <c r="AL31" s="166"/>
      <c r="AM31" s="166"/>
      <c r="AN31" s="193"/>
      <c r="AO31" s="166"/>
      <c r="AP31" s="166"/>
      <c r="AQ31" s="166"/>
      <c r="AR31" s="166"/>
      <c r="AS31" s="166"/>
      <c r="AT31" s="166"/>
      <c r="AU31" s="166"/>
      <c r="AV31" s="166"/>
      <c r="AW31" s="166"/>
      <c r="AX31" s="193"/>
      <c r="AY31" s="166"/>
      <c r="AZ31" s="166"/>
      <c r="BA31" s="166"/>
      <c r="BB31" s="166"/>
      <c r="BC31" s="166"/>
      <c r="BD31" s="166"/>
      <c r="BE31" s="166"/>
      <c r="BF31" s="166"/>
      <c r="BG31" s="166"/>
      <c r="BH31" s="193"/>
      <c r="BI31" s="166"/>
      <c r="BJ31" s="166"/>
      <c r="BK31" s="166"/>
      <c r="BL31" s="166"/>
      <c r="BM31" s="166"/>
      <c r="BN31" s="166"/>
      <c r="BO31" s="166"/>
      <c r="BP31" s="166"/>
      <c r="BQ31" s="166"/>
      <c r="BR31" s="19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45"/>
      <c r="CW31" s="192" t="s">
        <v>127</v>
      </c>
      <c r="CX31" s="12" t="s">
        <v>128</v>
      </c>
      <c r="DC31" s="173"/>
      <c r="DD31" s="173"/>
      <c r="DE31" s="173"/>
      <c r="DF31" s="173"/>
      <c r="DG31" s="173"/>
    </row>
    <row r="32" spans="1:111" ht="15" customHeight="1" x14ac:dyDescent="0.3">
      <c r="A32" s="197"/>
      <c r="B32" s="196"/>
      <c r="C32" s="196"/>
      <c r="D32" s="196"/>
      <c r="E32" s="196"/>
      <c r="F32" s="196"/>
      <c r="G32" s="196"/>
      <c r="H32" s="196"/>
      <c r="I32" s="196"/>
      <c r="J32" s="193"/>
      <c r="K32" s="196"/>
      <c r="L32" s="196"/>
      <c r="M32" s="196"/>
      <c r="N32" s="196"/>
      <c r="O32" s="196"/>
      <c r="P32" s="196"/>
      <c r="Q32" s="196"/>
      <c r="R32" s="196"/>
      <c r="S32" s="196"/>
      <c r="T32" s="193"/>
      <c r="U32" s="196"/>
      <c r="V32" s="196"/>
      <c r="W32" s="196"/>
      <c r="X32" s="196"/>
      <c r="Y32" s="196"/>
      <c r="Z32" s="196"/>
      <c r="AA32" s="196"/>
      <c r="AB32" s="196"/>
      <c r="AC32" s="196"/>
      <c r="AD32" s="193"/>
      <c r="AE32" s="166"/>
      <c r="AF32" s="166"/>
      <c r="AG32" s="166"/>
      <c r="AH32" s="166"/>
      <c r="AI32" s="166"/>
      <c r="AJ32" s="166"/>
      <c r="AK32" s="166"/>
      <c r="AL32" s="166"/>
      <c r="AM32" s="166"/>
      <c r="AN32" s="193"/>
      <c r="AO32" s="166"/>
      <c r="AP32" s="166"/>
      <c r="AQ32" s="166"/>
      <c r="AR32" s="166"/>
      <c r="AS32" s="166"/>
      <c r="AT32" s="166"/>
      <c r="AU32" s="166"/>
      <c r="AV32" s="166"/>
      <c r="AW32" s="166"/>
      <c r="AX32" s="193"/>
      <c r="AY32" s="166"/>
      <c r="AZ32" s="166"/>
      <c r="BA32" s="166"/>
      <c r="BB32" s="166"/>
      <c r="BC32" s="166"/>
      <c r="BD32" s="166"/>
      <c r="BE32" s="166"/>
      <c r="BF32" s="166"/>
      <c r="BG32" s="166"/>
      <c r="BH32" s="193"/>
      <c r="BI32" s="166"/>
      <c r="BJ32" s="166"/>
      <c r="BK32" s="166"/>
      <c r="BL32" s="166"/>
      <c r="BM32" s="166"/>
      <c r="BN32" s="166"/>
      <c r="BO32" s="166"/>
      <c r="BP32" s="166"/>
      <c r="BQ32" s="166"/>
      <c r="BR32" s="19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45"/>
      <c r="CW32" s="192" t="s">
        <v>129</v>
      </c>
      <c r="CX32" s="12" t="s">
        <v>130</v>
      </c>
      <c r="DC32" s="173"/>
      <c r="DD32" s="173"/>
      <c r="DE32" s="173"/>
      <c r="DF32" s="173"/>
      <c r="DG32" s="173"/>
    </row>
    <row r="33" spans="1:111" ht="15" customHeight="1" x14ac:dyDescent="0.3">
      <c r="A33" s="281"/>
      <c r="B33" s="281"/>
      <c r="C33" s="281"/>
      <c r="D33" s="198"/>
      <c r="E33" s="196"/>
      <c r="F33" s="196"/>
      <c r="G33" s="196"/>
      <c r="H33" s="196"/>
      <c r="I33" s="196"/>
      <c r="J33" s="193"/>
      <c r="K33" s="196"/>
      <c r="L33" s="196"/>
      <c r="M33" s="196"/>
      <c r="N33" s="196"/>
      <c r="O33" s="196"/>
      <c r="P33" s="196"/>
      <c r="Q33" s="196"/>
      <c r="R33" s="196"/>
      <c r="S33" s="196"/>
      <c r="T33" s="193"/>
      <c r="U33" s="196"/>
      <c r="V33" s="196"/>
      <c r="W33" s="196"/>
      <c r="X33" s="196"/>
      <c r="Y33" s="196"/>
      <c r="Z33" s="196"/>
      <c r="AA33" s="196"/>
      <c r="AB33" s="196"/>
      <c r="AC33" s="196"/>
      <c r="AD33" s="193"/>
      <c r="AE33" s="166"/>
      <c r="AF33" s="166"/>
      <c r="AG33" s="166"/>
      <c r="AH33" s="166"/>
      <c r="AI33" s="166"/>
      <c r="AJ33" s="166"/>
      <c r="AK33" s="166"/>
      <c r="AL33" s="166"/>
      <c r="AM33" s="166"/>
      <c r="AN33" s="193"/>
      <c r="AO33" s="166"/>
      <c r="AP33" s="166"/>
      <c r="AQ33" s="166"/>
      <c r="AR33" s="166"/>
      <c r="AS33" s="166"/>
      <c r="AT33" s="166"/>
      <c r="AU33" s="166"/>
      <c r="AV33" s="166"/>
      <c r="AW33" s="166"/>
      <c r="AX33" s="193"/>
      <c r="AY33" s="166"/>
      <c r="AZ33" s="166"/>
      <c r="BA33" s="166"/>
      <c r="BB33" s="166"/>
      <c r="BC33" s="166"/>
      <c r="BD33" s="166"/>
      <c r="BE33" s="166"/>
      <c r="BF33" s="166"/>
      <c r="BG33" s="166"/>
      <c r="BH33" s="193"/>
      <c r="BI33" s="166"/>
      <c r="BJ33" s="166"/>
      <c r="BK33" s="166"/>
      <c r="BL33" s="166"/>
      <c r="BM33" s="166"/>
      <c r="BN33" s="166"/>
      <c r="BO33" s="166"/>
      <c r="BP33" s="166"/>
      <c r="BQ33" s="166"/>
      <c r="BR33" s="193"/>
      <c r="BS33" s="290"/>
      <c r="BT33" s="290"/>
      <c r="BU33" s="290"/>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45"/>
      <c r="CW33" s="192" t="s">
        <v>132</v>
      </c>
      <c r="CX33" s="12" t="s">
        <v>133</v>
      </c>
      <c r="DC33" s="173"/>
      <c r="DD33" s="173"/>
      <c r="DE33" s="173"/>
      <c r="DF33" s="173"/>
      <c r="DG33" s="173"/>
    </row>
    <row r="34" spans="1:111" ht="15" customHeight="1" x14ac:dyDescent="0.3">
      <c r="A34" s="196"/>
      <c r="B34" s="196"/>
      <c r="C34" s="196"/>
      <c r="D34" s="196"/>
      <c r="E34" s="196"/>
      <c r="F34" s="196"/>
      <c r="G34" s="196"/>
      <c r="H34" s="196"/>
      <c r="I34" s="196"/>
      <c r="J34" s="193"/>
      <c r="K34" s="196"/>
      <c r="L34" s="196"/>
      <c r="M34" s="196"/>
      <c r="N34" s="196"/>
      <c r="O34" s="196"/>
      <c r="P34" s="196"/>
      <c r="Q34" s="196"/>
      <c r="R34" s="196"/>
      <c r="S34" s="196"/>
      <c r="T34" s="193"/>
      <c r="U34" s="196"/>
      <c r="V34" s="196"/>
      <c r="W34" s="196"/>
      <c r="X34" s="196"/>
      <c r="Y34" s="196"/>
      <c r="Z34" s="196"/>
      <c r="AA34" s="196"/>
      <c r="AB34" s="196"/>
      <c r="AC34" s="196"/>
      <c r="AD34" s="193"/>
      <c r="AE34" s="166"/>
      <c r="AF34" s="166"/>
      <c r="AG34" s="166"/>
      <c r="AH34" s="166"/>
      <c r="AI34" s="166"/>
      <c r="AJ34" s="166"/>
      <c r="AK34" s="166"/>
      <c r="AL34" s="166"/>
      <c r="AM34" s="166"/>
      <c r="AN34" s="193"/>
      <c r="AO34" s="166"/>
      <c r="AP34" s="166"/>
      <c r="AQ34" s="166"/>
      <c r="AR34" s="166"/>
      <c r="AS34" s="166"/>
      <c r="AT34" s="166"/>
      <c r="AU34" s="166"/>
      <c r="AV34" s="166"/>
      <c r="AW34" s="166"/>
      <c r="AX34" s="193"/>
      <c r="AY34" s="166"/>
      <c r="AZ34" s="166"/>
      <c r="BA34" s="166"/>
      <c r="BB34" s="166"/>
      <c r="BC34" s="166"/>
      <c r="BD34" s="166"/>
      <c r="BE34" s="166"/>
      <c r="BF34" s="166"/>
      <c r="BG34" s="166"/>
      <c r="BH34" s="193"/>
      <c r="BI34" s="166"/>
      <c r="BJ34" s="166"/>
      <c r="BK34" s="166"/>
      <c r="BL34" s="166"/>
      <c r="BM34" s="166"/>
      <c r="BN34" s="166"/>
      <c r="BO34" s="166"/>
      <c r="BP34" s="166"/>
      <c r="BQ34" s="166"/>
      <c r="BR34" s="19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45"/>
      <c r="CW34" s="192" t="s">
        <v>134</v>
      </c>
      <c r="CX34" s="12" t="s">
        <v>135</v>
      </c>
      <c r="DC34" s="173"/>
      <c r="DD34" s="173"/>
      <c r="DE34" s="173"/>
      <c r="DF34" s="173"/>
      <c r="DG34" s="173"/>
    </row>
    <row r="35" spans="1:111" ht="15" customHeight="1" x14ac:dyDescent="0.3">
      <c r="A35" s="196"/>
      <c r="B35" s="196"/>
      <c r="C35" s="196"/>
      <c r="D35" s="196"/>
      <c r="E35" s="196"/>
      <c r="F35" s="196"/>
      <c r="G35" s="196"/>
      <c r="H35" s="196"/>
      <c r="I35" s="196"/>
      <c r="J35" s="193"/>
      <c r="K35" s="196"/>
      <c r="L35" s="196"/>
      <c r="M35" s="196"/>
      <c r="N35" s="196"/>
      <c r="O35" s="196"/>
      <c r="P35" s="196"/>
      <c r="Q35" s="196"/>
      <c r="R35" s="196"/>
      <c r="S35" s="196"/>
      <c r="T35" s="193"/>
      <c r="U35" s="196"/>
      <c r="V35" s="196"/>
      <c r="W35" s="196"/>
      <c r="X35" s="196"/>
      <c r="Y35" s="196"/>
      <c r="Z35" s="196"/>
      <c r="AA35" s="196"/>
      <c r="AB35" s="196"/>
      <c r="AC35" s="196"/>
      <c r="AD35" s="193"/>
      <c r="AE35" s="166"/>
      <c r="AF35" s="166"/>
      <c r="AG35" s="166"/>
      <c r="AH35" s="166"/>
      <c r="AI35" s="166"/>
      <c r="AJ35" s="166"/>
      <c r="AK35" s="166"/>
      <c r="AL35" s="166"/>
      <c r="AM35" s="166"/>
      <c r="AN35" s="193"/>
      <c r="AO35" s="166"/>
      <c r="AP35" s="166"/>
      <c r="AQ35" s="166"/>
      <c r="AR35" s="166"/>
      <c r="AS35" s="166"/>
      <c r="AT35" s="166"/>
      <c r="AU35" s="166"/>
      <c r="AV35" s="166"/>
      <c r="AW35" s="166"/>
      <c r="AX35" s="193"/>
      <c r="AY35" s="166"/>
      <c r="AZ35" s="166"/>
      <c r="BA35" s="166"/>
      <c r="BB35" s="166"/>
      <c r="BC35" s="166"/>
      <c r="BD35" s="166"/>
      <c r="BE35" s="166"/>
      <c r="BF35" s="166"/>
      <c r="BG35" s="166"/>
      <c r="BH35" s="193"/>
      <c r="BI35" s="166"/>
      <c r="BJ35" s="166"/>
      <c r="BK35" s="166"/>
      <c r="BL35" s="166"/>
      <c r="BM35" s="166"/>
      <c r="BN35" s="166"/>
      <c r="BO35" s="166"/>
      <c r="BP35" s="166"/>
      <c r="BQ35" s="166"/>
      <c r="BR35" s="19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45"/>
      <c r="CW35" s="192" t="s">
        <v>101</v>
      </c>
      <c r="CX35" s="12" t="s">
        <v>136</v>
      </c>
      <c r="DC35" s="173"/>
      <c r="DD35" s="173"/>
      <c r="DE35" s="173"/>
      <c r="DF35" s="173"/>
      <c r="DG35" s="173"/>
    </row>
    <row r="36" spans="1:111" ht="15" customHeight="1" x14ac:dyDescent="0.3">
      <c r="A36" s="196"/>
      <c r="B36" s="196"/>
      <c r="C36" s="196"/>
      <c r="D36" s="196"/>
      <c r="E36" s="196"/>
      <c r="F36" s="196"/>
      <c r="G36" s="196"/>
      <c r="H36" s="196"/>
      <c r="I36" s="196"/>
      <c r="J36" s="193"/>
      <c r="K36" s="196"/>
      <c r="L36" s="196"/>
      <c r="M36" s="196"/>
      <c r="N36" s="196"/>
      <c r="O36" s="196"/>
      <c r="P36" s="196"/>
      <c r="Q36" s="196"/>
      <c r="R36" s="196"/>
      <c r="S36" s="196"/>
      <c r="T36" s="193"/>
      <c r="U36" s="196"/>
      <c r="V36" s="196"/>
      <c r="W36" s="196"/>
      <c r="X36" s="196"/>
      <c r="Y36" s="196"/>
      <c r="Z36" s="196"/>
      <c r="AA36" s="196"/>
      <c r="AB36" s="196"/>
      <c r="AC36" s="196"/>
      <c r="AD36" s="193"/>
      <c r="AE36" s="166"/>
      <c r="AF36" s="166"/>
      <c r="AG36" s="166"/>
      <c r="AH36" s="166"/>
      <c r="AI36" s="166"/>
      <c r="AJ36" s="166"/>
      <c r="AK36" s="166"/>
      <c r="AL36" s="166"/>
      <c r="AM36" s="166"/>
      <c r="AN36" s="193"/>
      <c r="AO36" s="166"/>
      <c r="AP36" s="166"/>
      <c r="AQ36" s="166"/>
      <c r="AR36" s="166"/>
      <c r="AS36" s="166"/>
      <c r="AT36" s="166"/>
      <c r="AU36" s="166"/>
      <c r="AV36" s="166"/>
      <c r="AW36" s="166"/>
      <c r="AX36" s="193"/>
      <c r="AY36" s="166"/>
      <c r="AZ36" s="166"/>
      <c r="BA36" s="166"/>
      <c r="BB36" s="166"/>
      <c r="BC36" s="166"/>
      <c r="BD36" s="166"/>
      <c r="BE36" s="166"/>
      <c r="BF36" s="166"/>
      <c r="BG36" s="166"/>
      <c r="BH36" s="193"/>
      <c r="BI36" s="166"/>
      <c r="BJ36" s="166"/>
      <c r="BK36" s="166"/>
      <c r="BL36" s="166"/>
      <c r="BM36" s="166"/>
      <c r="BN36" s="166"/>
      <c r="BO36" s="166"/>
      <c r="BP36" s="166"/>
      <c r="BQ36" s="166"/>
      <c r="BR36" s="19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45"/>
      <c r="CW36" s="192" t="s">
        <v>137</v>
      </c>
      <c r="CX36" s="12" t="s">
        <v>138</v>
      </c>
      <c r="DC36" s="173"/>
      <c r="DD36" s="173"/>
      <c r="DE36" s="173"/>
      <c r="DF36" s="173"/>
      <c r="DG36" s="173"/>
    </row>
    <row r="37" spans="1:111" ht="15" customHeight="1" x14ac:dyDescent="0.3">
      <c r="A37" s="196"/>
      <c r="B37" s="196"/>
      <c r="C37" s="196"/>
      <c r="D37" s="196"/>
      <c r="E37" s="196"/>
      <c r="F37" s="196"/>
      <c r="G37" s="196"/>
      <c r="H37" s="196"/>
      <c r="I37" s="196"/>
      <c r="J37" s="193"/>
      <c r="K37" s="196"/>
      <c r="L37" s="196"/>
      <c r="M37" s="196"/>
      <c r="N37" s="196"/>
      <c r="O37" s="196"/>
      <c r="P37" s="196"/>
      <c r="Q37" s="196"/>
      <c r="R37" s="196"/>
      <c r="S37" s="196"/>
      <c r="T37" s="193"/>
      <c r="U37" s="196"/>
      <c r="V37" s="196"/>
      <c r="W37" s="196"/>
      <c r="X37" s="196"/>
      <c r="Y37" s="196"/>
      <c r="Z37" s="196"/>
      <c r="AA37" s="196"/>
      <c r="AB37" s="196"/>
      <c r="AC37" s="196"/>
      <c r="AD37" s="193"/>
      <c r="AE37" s="166"/>
      <c r="AF37" s="166"/>
      <c r="AG37" s="166"/>
      <c r="AH37" s="166"/>
      <c r="AI37" s="166"/>
      <c r="AJ37" s="166"/>
      <c r="AK37" s="166"/>
      <c r="AL37" s="166"/>
      <c r="AM37" s="166"/>
      <c r="AN37" s="193"/>
      <c r="AO37" s="166"/>
      <c r="AP37" s="166"/>
      <c r="AQ37" s="166"/>
      <c r="AR37" s="166"/>
      <c r="AS37" s="166"/>
      <c r="AT37" s="166"/>
      <c r="AU37" s="166"/>
      <c r="AV37" s="166"/>
      <c r="AW37" s="166"/>
      <c r="AX37" s="193"/>
      <c r="AY37" s="166"/>
      <c r="AZ37" s="166"/>
      <c r="BA37" s="166"/>
      <c r="BB37" s="166"/>
      <c r="BC37" s="166"/>
      <c r="BD37" s="166"/>
      <c r="BE37" s="166"/>
      <c r="BF37" s="166"/>
      <c r="BG37" s="166"/>
      <c r="BH37" s="193"/>
      <c r="BI37" s="166"/>
      <c r="BJ37" s="166"/>
      <c r="BK37" s="166"/>
      <c r="BL37" s="166"/>
      <c r="BM37" s="166"/>
      <c r="BN37" s="166"/>
      <c r="BO37" s="166"/>
      <c r="BP37" s="166"/>
      <c r="BQ37" s="166"/>
      <c r="BR37" s="19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45"/>
      <c r="CW37" s="192" t="s">
        <v>139</v>
      </c>
      <c r="CX37" s="12" t="s">
        <v>140</v>
      </c>
      <c r="DC37" s="173"/>
      <c r="DD37" s="173"/>
      <c r="DE37" s="173"/>
      <c r="DF37" s="173"/>
      <c r="DG37" s="173"/>
    </row>
    <row r="38" spans="1:111" ht="15" customHeight="1" x14ac:dyDescent="0.3">
      <c r="A38" s="240" t="s">
        <v>112</v>
      </c>
      <c r="B38" s="240"/>
      <c r="C38" s="240"/>
      <c r="D38" s="240"/>
      <c r="E38" s="240"/>
      <c r="F38" s="240"/>
      <c r="G38" s="240"/>
      <c r="H38" s="240"/>
      <c r="I38" s="240"/>
      <c r="J38" s="193"/>
      <c r="K38" s="196"/>
      <c r="L38" s="196"/>
      <c r="M38" s="196"/>
      <c r="N38" s="196"/>
      <c r="O38" s="196"/>
      <c r="P38" s="196"/>
      <c r="Q38" s="196"/>
      <c r="R38" s="196"/>
      <c r="S38" s="196"/>
      <c r="T38" s="193"/>
      <c r="U38" s="196"/>
      <c r="V38" s="196"/>
      <c r="W38" s="196"/>
      <c r="X38" s="196"/>
      <c r="Y38" s="196"/>
      <c r="Z38" s="196"/>
      <c r="AA38" s="196"/>
      <c r="AB38" s="196"/>
      <c r="AC38" s="196"/>
      <c r="AD38" s="193"/>
      <c r="AE38" s="166"/>
      <c r="AF38" s="166"/>
      <c r="AG38" s="166"/>
      <c r="AH38" s="166"/>
      <c r="AI38" s="166"/>
      <c r="AJ38" s="166"/>
      <c r="AK38" s="166"/>
      <c r="AL38" s="166"/>
      <c r="AM38" s="166"/>
      <c r="AN38" s="193"/>
      <c r="AO38" s="166"/>
      <c r="AP38" s="166"/>
      <c r="AQ38" s="166"/>
      <c r="AR38" s="166"/>
      <c r="AS38" s="166"/>
      <c r="AT38" s="166"/>
      <c r="AU38" s="166"/>
      <c r="AV38" s="166"/>
      <c r="AW38" s="166"/>
      <c r="AX38" s="193"/>
      <c r="AY38" s="166"/>
      <c r="AZ38" s="166"/>
      <c r="BA38" s="166"/>
      <c r="BB38" s="166"/>
      <c r="BC38" s="166"/>
      <c r="BD38" s="166"/>
      <c r="BE38" s="166"/>
      <c r="BF38" s="166"/>
      <c r="BG38" s="166"/>
      <c r="BH38" s="193"/>
      <c r="BI38" s="166"/>
      <c r="BJ38" s="166"/>
      <c r="BK38" s="166"/>
      <c r="BL38" s="166"/>
      <c r="BM38" s="166"/>
      <c r="BN38" s="166"/>
      <c r="BO38" s="166"/>
      <c r="BP38" s="166"/>
      <c r="BQ38" s="166"/>
      <c r="BR38" s="19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45"/>
      <c r="CW38" s="192" t="s">
        <v>141</v>
      </c>
      <c r="CX38" s="12" t="s">
        <v>142</v>
      </c>
      <c r="DC38" s="173"/>
      <c r="DD38" s="173"/>
      <c r="DE38" s="173"/>
      <c r="DF38" s="173"/>
      <c r="DG38" s="173"/>
    </row>
    <row r="39" spans="1:111" ht="15" customHeight="1" x14ac:dyDescent="0.3">
      <c r="A39" s="240"/>
      <c r="B39" s="240"/>
      <c r="C39" s="240"/>
      <c r="D39" s="240"/>
      <c r="E39" s="240"/>
      <c r="F39" s="240"/>
      <c r="G39" s="240"/>
      <c r="H39" s="240"/>
      <c r="I39" s="240"/>
      <c r="J39" s="193"/>
      <c r="K39" s="240" t="s">
        <v>72</v>
      </c>
      <c r="L39" s="240"/>
      <c r="M39" s="240"/>
      <c r="N39" s="240"/>
      <c r="O39" s="240"/>
      <c r="P39" s="240"/>
      <c r="Q39" s="240"/>
      <c r="R39" s="240"/>
      <c r="S39" s="240"/>
      <c r="T39" s="193"/>
      <c r="U39" s="240" t="s">
        <v>73</v>
      </c>
      <c r="V39" s="240"/>
      <c r="W39" s="240"/>
      <c r="X39" s="240"/>
      <c r="Y39" s="240"/>
      <c r="Z39" s="240"/>
      <c r="AA39" s="240"/>
      <c r="AB39" s="240"/>
      <c r="AC39" s="240"/>
      <c r="AD39" s="193"/>
      <c r="AE39" s="240" t="s">
        <v>74</v>
      </c>
      <c r="AF39" s="240"/>
      <c r="AG39" s="240"/>
      <c r="AH39" s="240"/>
      <c r="AI39" s="240"/>
      <c r="AJ39" s="240"/>
      <c r="AK39" s="240"/>
      <c r="AL39" s="240"/>
      <c r="AM39" s="240"/>
      <c r="AN39" s="193"/>
      <c r="AO39" s="240" t="s">
        <v>75</v>
      </c>
      <c r="AP39" s="240"/>
      <c r="AQ39" s="240"/>
      <c r="AR39" s="240"/>
      <c r="AS39" s="240"/>
      <c r="AT39" s="240"/>
      <c r="AU39" s="240"/>
      <c r="AV39" s="240"/>
      <c r="AW39" s="240"/>
      <c r="AX39" s="193"/>
      <c r="AY39" s="240" t="s">
        <v>76</v>
      </c>
      <c r="AZ39" s="240"/>
      <c r="BA39" s="240"/>
      <c r="BB39" s="240"/>
      <c r="BC39" s="240"/>
      <c r="BD39" s="240"/>
      <c r="BE39" s="240"/>
      <c r="BF39" s="240"/>
      <c r="BG39" s="240"/>
      <c r="BH39" s="193"/>
      <c r="BI39" s="240" t="s">
        <v>77</v>
      </c>
      <c r="BJ39" s="240"/>
      <c r="BK39" s="240"/>
      <c r="BL39" s="240"/>
      <c r="BM39" s="240"/>
      <c r="BN39" s="240"/>
      <c r="BO39" s="240"/>
      <c r="BP39" s="240"/>
      <c r="BQ39" s="240"/>
      <c r="BR39" s="193"/>
      <c r="BS39" s="239" t="s">
        <v>448</v>
      </c>
      <c r="BT39" s="239"/>
      <c r="BU39" s="239"/>
      <c r="BV39" s="239"/>
      <c r="BW39" s="239"/>
      <c r="BX39" s="239"/>
      <c r="BY39" s="239"/>
      <c r="BZ39" s="239"/>
      <c r="CA39" s="239"/>
      <c r="CB39" s="20"/>
      <c r="CC39" s="239" t="s">
        <v>449</v>
      </c>
      <c r="CD39" s="239"/>
      <c r="CE39" s="239"/>
      <c r="CF39" s="239"/>
      <c r="CG39" s="239"/>
      <c r="CH39" s="239"/>
      <c r="CI39" s="239"/>
      <c r="CJ39" s="239"/>
      <c r="CK39" s="239"/>
      <c r="CL39" s="20"/>
      <c r="CM39" s="239" t="s">
        <v>450</v>
      </c>
      <c r="CN39" s="239"/>
      <c r="CO39" s="239"/>
      <c r="CP39" s="239"/>
      <c r="CQ39" s="239"/>
      <c r="CR39" s="239"/>
      <c r="CS39" s="239"/>
      <c r="CT39" s="239"/>
      <c r="CU39" s="239"/>
      <c r="CV39" s="45"/>
      <c r="CW39" s="192" t="s">
        <v>103</v>
      </c>
      <c r="CX39" s="12" t="s">
        <v>143</v>
      </c>
      <c r="DC39" s="173"/>
      <c r="DD39" s="173"/>
      <c r="DE39" s="173"/>
      <c r="DF39" s="173"/>
      <c r="DG39" s="173"/>
    </row>
    <row r="40" spans="1:111" ht="15" customHeight="1" x14ac:dyDescent="0.3">
      <c r="A40" s="196"/>
      <c r="B40" s="196"/>
      <c r="C40" s="196"/>
      <c r="D40" s="196"/>
      <c r="E40" s="196"/>
      <c r="F40" s="196"/>
      <c r="G40" s="196"/>
      <c r="H40" s="196"/>
      <c r="I40" s="196"/>
      <c r="J40" s="193"/>
      <c r="K40" s="240"/>
      <c r="L40" s="240"/>
      <c r="M40" s="240"/>
      <c r="N40" s="240"/>
      <c r="O40" s="240"/>
      <c r="P40" s="240"/>
      <c r="Q40" s="240"/>
      <c r="R40" s="240"/>
      <c r="S40" s="240"/>
      <c r="T40" s="193"/>
      <c r="U40" s="240"/>
      <c r="V40" s="240"/>
      <c r="W40" s="240"/>
      <c r="X40" s="240"/>
      <c r="Y40" s="240"/>
      <c r="Z40" s="240"/>
      <c r="AA40" s="240"/>
      <c r="AB40" s="240"/>
      <c r="AC40" s="240"/>
      <c r="AD40" s="193"/>
      <c r="AE40" s="240"/>
      <c r="AF40" s="240"/>
      <c r="AG40" s="240"/>
      <c r="AH40" s="240"/>
      <c r="AI40" s="240"/>
      <c r="AJ40" s="240"/>
      <c r="AK40" s="240"/>
      <c r="AL40" s="240"/>
      <c r="AM40" s="240"/>
      <c r="AN40" s="193"/>
      <c r="AO40" s="240"/>
      <c r="AP40" s="240"/>
      <c r="AQ40" s="240"/>
      <c r="AR40" s="240"/>
      <c r="AS40" s="240"/>
      <c r="AT40" s="240"/>
      <c r="AU40" s="240"/>
      <c r="AV40" s="240"/>
      <c r="AW40" s="240"/>
      <c r="AX40" s="193"/>
      <c r="AY40" s="240"/>
      <c r="AZ40" s="240"/>
      <c r="BA40" s="240"/>
      <c r="BB40" s="240"/>
      <c r="BC40" s="240"/>
      <c r="BD40" s="240"/>
      <c r="BE40" s="240"/>
      <c r="BF40" s="240"/>
      <c r="BG40" s="240"/>
      <c r="BH40" s="193"/>
      <c r="BI40" s="240"/>
      <c r="BJ40" s="240"/>
      <c r="BK40" s="240"/>
      <c r="BL40" s="240"/>
      <c r="BM40" s="240"/>
      <c r="BN40" s="240"/>
      <c r="BO40" s="240"/>
      <c r="BP40" s="240"/>
      <c r="BQ40" s="240"/>
      <c r="BR40" s="193"/>
      <c r="BS40" s="239"/>
      <c r="BT40" s="239"/>
      <c r="BU40" s="239"/>
      <c r="BV40" s="239"/>
      <c r="BW40" s="239"/>
      <c r="BX40" s="239"/>
      <c r="BY40" s="239"/>
      <c r="BZ40" s="239"/>
      <c r="CA40" s="239"/>
      <c r="CB40" s="20"/>
      <c r="CC40" s="239"/>
      <c r="CD40" s="239"/>
      <c r="CE40" s="239"/>
      <c r="CF40" s="239"/>
      <c r="CG40" s="239"/>
      <c r="CH40" s="239"/>
      <c r="CI40" s="239"/>
      <c r="CJ40" s="239"/>
      <c r="CK40" s="239"/>
      <c r="CL40" s="20"/>
      <c r="CM40" s="239"/>
      <c r="CN40" s="239"/>
      <c r="CO40" s="239"/>
      <c r="CP40" s="239"/>
      <c r="CQ40" s="239"/>
      <c r="CR40" s="239"/>
      <c r="CS40" s="239"/>
      <c r="CT40" s="239"/>
      <c r="CU40" s="239"/>
      <c r="CV40" s="45"/>
      <c r="CW40" s="192"/>
      <c r="CX40" s="192"/>
      <c r="CY40" s="192"/>
      <c r="CZ40" s="192"/>
      <c r="DA40" s="192"/>
      <c r="DB40" s="192"/>
      <c r="DC40" s="192"/>
      <c r="DD40" s="192"/>
      <c r="DE40" s="192"/>
      <c r="DF40" s="192"/>
      <c r="DG40" s="192"/>
    </row>
    <row r="41" spans="1:111" ht="15" customHeight="1" x14ac:dyDescent="0.3">
      <c r="A41" s="196"/>
      <c r="B41" s="196"/>
      <c r="C41" s="196"/>
      <c r="D41" s="196"/>
      <c r="E41" s="196"/>
      <c r="F41" s="196"/>
      <c r="G41" s="196"/>
      <c r="H41" s="196"/>
      <c r="I41" s="196"/>
      <c r="J41" s="193"/>
      <c r="K41" s="196"/>
      <c r="L41" s="196"/>
      <c r="M41" s="196"/>
      <c r="N41" s="196"/>
      <c r="O41" s="196"/>
      <c r="P41" s="196"/>
      <c r="Q41" s="196"/>
      <c r="R41" s="196"/>
      <c r="S41" s="196"/>
      <c r="T41" s="193"/>
      <c r="U41" s="240" t="s">
        <v>68</v>
      </c>
      <c r="V41" s="240"/>
      <c r="W41" s="240"/>
      <c r="X41" s="240"/>
      <c r="Y41" s="240"/>
      <c r="Z41" s="240"/>
      <c r="AA41" s="240"/>
      <c r="AB41" s="240"/>
      <c r="AC41" s="240"/>
      <c r="AD41" s="193"/>
      <c r="AE41" s="240" t="s">
        <v>68</v>
      </c>
      <c r="AF41" s="240"/>
      <c r="AG41" s="240"/>
      <c r="AH41" s="240"/>
      <c r="AI41" s="240"/>
      <c r="AJ41" s="240"/>
      <c r="AK41" s="240"/>
      <c r="AL41" s="240"/>
      <c r="AM41" s="240"/>
      <c r="AN41" s="193"/>
      <c r="AO41" s="166"/>
      <c r="AP41" s="166"/>
      <c r="AQ41" s="166"/>
      <c r="AR41" s="166"/>
      <c r="AS41" s="166"/>
      <c r="AT41" s="166"/>
      <c r="AU41" s="166"/>
      <c r="AV41" s="166"/>
      <c r="AW41" s="166"/>
      <c r="AX41" s="193"/>
      <c r="AY41" s="240" t="s">
        <v>68</v>
      </c>
      <c r="AZ41" s="240"/>
      <c r="BA41" s="240"/>
      <c r="BB41" s="240"/>
      <c r="BC41" s="240"/>
      <c r="BD41" s="240"/>
      <c r="BE41" s="240"/>
      <c r="BF41" s="240"/>
      <c r="BG41" s="240"/>
      <c r="BH41" s="193"/>
      <c r="BI41" s="166"/>
      <c r="BJ41" s="166"/>
      <c r="BK41" s="166"/>
      <c r="BL41" s="166"/>
      <c r="BM41" s="166"/>
      <c r="BN41" s="166"/>
      <c r="BO41" s="166"/>
      <c r="BP41" s="166"/>
      <c r="BQ41" s="166"/>
      <c r="BR41" s="193"/>
      <c r="BS41" s="26"/>
      <c r="BT41" s="26"/>
      <c r="BU41" s="26"/>
      <c r="BV41" s="26"/>
      <c r="BW41" s="26"/>
      <c r="BX41" s="26"/>
      <c r="BY41" s="26"/>
      <c r="BZ41" s="26"/>
      <c r="CA41" s="26"/>
      <c r="CB41" s="20"/>
      <c r="CC41" s="26"/>
      <c r="CD41" s="26"/>
      <c r="CE41" s="26"/>
      <c r="CF41" s="26"/>
      <c r="CG41" s="26"/>
      <c r="CH41" s="26"/>
      <c r="CI41" s="26"/>
      <c r="CJ41" s="26"/>
      <c r="CK41" s="26"/>
      <c r="CL41" s="20"/>
      <c r="CM41" s="239"/>
      <c r="CN41" s="239"/>
      <c r="CO41" s="239"/>
      <c r="CP41" s="239"/>
      <c r="CQ41" s="239"/>
      <c r="CR41" s="239"/>
      <c r="CS41" s="239"/>
      <c r="CT41" s="239"/>
      <c r="CU41" s="239"/>
      <c r="CV41" s="45"/>
      <c r="CW41" s="285" t="s">
        <v>411</v>
      </c>
      <c r="CX41" s="285"/>
      <c r="CY41" s="285"/>
      <c r="CZ41" s="285"/>
    </row>
    <row r="42" spans="1:111" ht="15" customHeight="1" x14ac:dyDescent="0.3">
      <c r="A42" s="196"/>
      <c r="B42" s="196"/>
      <c r="C42" s="196"/>
      <c r="D42" s="196"/>
      <c r="E42" s="196"/>
      <c r="F42" s="196"/>
      <c r="G42" s="196"/>
      <c r="H42" s="196"/>
      <c r="I42" s="196"/>
      <c r="J42" s="193"/>
      <c r="K42" s="196"/>
      <c r="L42" s="196"/>
      <c r="M42" s="196"/>
      <c r="N42" s="196"/>
      <c r="O42" s="196"/>
      <c r="P42" s="196"/>
      <c r="Q42" s="196"/>
      <c r="R42" s="196"/>
      <c r="S42" s="196"/>
      <c r="T42" s="193"/>
      <c r="U42" s="240"/>
      <c r="V42" s="240"/>
      <c r="W42" s="240"/>
      <c r="X42" s="240"/>
      <c r="Y42" s="240"/>
      <c r="Z42" s="240"/>
      <c r="AA42" s="240"/>
      <c r="AB42" s="240"/>
      <c r="AC42" s="240"/>
      <c r="AD42" s="193"/>
      <c r="AE42" s="240"/>
      <c r="AF42" s="240"/>
      <c r="AG42" s="240"/>
      <c r="AH42" s="240"/>
      <c r="AI42" s="240"/>
      <c r="AJ42" s="240"/>
      <c r="AK42" s="240"/>
      <c r="AL42" s="240"/>
      <c r="AM42" s="240"/>
      <c r="AN42" s="193"/>
      <c r="AO42" s="166"/>
      <c r="AP42" s="166"/>
      <c r="AQ42" s="166"/>
      <c r="AR42" s="166"/>
      <c r="AS42" s="166"/>
      <c r="AT42" s="166"/>
      <c r="AU42" s="166"/>
      <c r="AV42" s="166"/>
      <c r="AW42" s="166"/>
      <c r="AX42" s="193"/>
      <c r="AY42" s="240"/>
      <c r="AZ42" s="240"/>
      <c r="BA42" s="240"/>
      <c r="BB42" s="240"/>
      <c r="BC42" s="240"/>
      <c r="BD42" s="240"/>
      <c r="BE42" s="240"/>
      <c r="BF42" s="240"/>
      <c r="BG42" s="240"/>
      <c r="BH42" s="193"/>
      <c r="BI42" s="166"/>
      <c r="BJ42" s="166"/>
      <c r="BK42" s="166"/>
      <c r="BL42" s="166"/>
      <c r="BM42" s="166"/>
      <c r="BN42" s="166"/>
      <c r="BO42" s="166"/>
      <c r="BP42" s="166"/>
      <c r="BQ42" s="166"/>
      <c r="BR42" s="193"/>
      <c r="BS42" s="26"/>
      <c r="BT42" s="26"/>
      <c r="BU42" s="26"/>
      <c r="BV42" s="26"/>
      <c r="BW42" s="26"/>
      <c r="BX42" s="26"/>
      <c r="BY42" s="26"/>
      <c r="BZ42" s="26"/>
      <c r="CA42" s="26"/>
      <c r="CB42" s="20"/>
      <c r="CC42" s="26"/>
      <c r="CD42" s="26"/>
      <c r="CE42" s="26"/>
      <c r="CF42" s="26"/>
      <c r="CG42" s="26"/>
      <c r="CH42" s="26"/>
      <c r="CI42" s="26"/>
      <c r="CJ42" s="26"/>
      <c r="CK42" s="26"/>
      <c r="CL42" s="20"/>
      <c r="CM42" s="239"/>
      <c r="CN42" s="239"/>
      <c r="CO42" s="239"/>
      <c r="CP42" s="239"/>
      <c r="CQ42" s="239"/>
      <c r="CR42" s="239"/>
      <c r="CS42" s="239"/>
      <c r="CT42" s="239"/>
      <c r="CU42" s="239"/>
      <c r="CV42" s="45"/>
      <c r="CW42" s="285"/>
      <c r="CX42" s="285"/>
      <c r="CY42" s="285"/>
      <c r="CZ42" s="285"/>
    </row>
    <row r="43" spans="1:111" ht="15" customHeight="1" x14ac:dyDescent="0.3">
      <c r="A43" s="196"/>
      <c r="B43" s="196"/>
      <c r="C43" s="196"/>
      <c r="D43" s="196"/>
      <c r="E43" s="196"/>
      <c r="F43" s="196"/>
      <c r="G43" s="196"/>
      <c r="H43" s="196"/>
      <c r="I43" s="196"/>
      <c r="J43" s="193"/>
      <c r="K43" s="196"/>
      <c r="L43" s="196"/>
      <c r="M43" s="196"/>
      <c r="N43" s="196"/>
      <c r="O43" s="196"/>
      <c r="P43" s="196"/>
      <c r="Q43" s="196"/>
      <c r="R43" s="196"/>
      <c r="S43" s="196"/>
      <c r="T43" s="193"/>
      <c r="U43" s="196"/>
      <c r="V43" s="196"/>
      <c r="W43" s="196"/>
      <c r="X43" s="196"/>
      <c r="Y43" s="196"/>
      <c r="Z43" s="196"/>
      <c r="AA43" s="196"/>
      <c r="AB43" s="196"/>
      <c r="AC43" s="196"/>
      <c r="AD43" s="193"/>
      <c r="AE43" s="166"/>
      <c r="AF43" s="166"/>
      <c r="AG43" s="166"/>
      <c r="AH43" s="166"/>
      <c r="AI43" s="166"/>
      <c r="AJ43" s="166"/>
      <c r="AK43" s="166"/>
      <c r="AL43" s="166"/>
      <c r="AM43" s="166"/>
      <c r="AN43" s="193"/>
      <c r="AO43" s="166"/>
      <c r="AP43" s="166"/>
      <c r="AQ43" s="166"/>
      <c r="AR43" s="166"/>
      <c r="AS43" s="166"/>
      <c r="AT43" s="166"/>
      <c r="AU43" s="166"/>
      <c r="AV43" s="166"/>
      <c r="AW43" s="166"/>
      <c r="AX43" s="193"/>
      <c r="AY43" s="166"/>
      <c r="AZ43" s="166"/>
      <c r="BA43" s="166"/>
      <c r="BB43" s="166"/>
      <c r="BC43" s="166"/>
      <c r="BD43" s="166"/>
      <c r="BE43" s="166"/>
      <c r="BF43" s="166"/>
      <c r="BG43" s="166"/>
      <c r="BH43" s="193"/>
      <c r="BI43" s="166"/>
      <c r="BJ43" s="166"/>
      <c r="BK43" s="166"/>
      <c r="BL43" s="166"/>
      <c r="BM43" s="166"/>
      <c r="BN43" s="166"/>
      <c r="BO43" s="166"/>
      <c r="BP43" s="166"/>
      <c r="BQ43" s="166"/>
      <c r="BR43" s="19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45"/>
      <c r="CW43" s="199"/>
      <c r="CX43" s="199"/>
      <c r="CY43" s="199"/>
      <c r="CZ43" s="199"/>
    </row>
    <row r="44" spans="1:111" ht="15" customHeight="1" x14ac:dyDescent="0.3">
      <c r="A44" s="196"/>
      <c r="B44" s="196"/>
      <c r="C44" s="196"/>
      <c r="D44" s="196"/>
      <c r="E44" s="196"/>
      <c r="F44" s="196"/>
      <c r="G44" s="196"/>
      <c r="H44" s="196"/>
      <c r="I44" s="196"/>
      <c r="J44" s="193"/>
      <c r="K44" s="196"/>
      <c r="L44" s="196"/>
      <c r="M44" s="196"/>
      <c r="N44" s="196"/>
      <c r="O44" s="196"/>
      <c r="P44" s="196"/>
      <c r="Q44" s="196"/>
      <c r="R44" s="196"/>
      <c r="S44" s="196"/>
      <c r="T44" s="193"/>
      <c r="U44" s="196"/>
      <c r="V44" s="196"/>
      <c r="W44" s="196"/>
      <c r="X44" s="196"/>
      <c r="Y44" s="196"/>
      <c r="Z44" s="196"/>
      <c r="AA44" s="196"/>
      <c r="AB44" s="196"/>
      <c r="AC44" s="196"/>
      <c r="AD44" s="193"/>
      <c r="AE44" s="166"/>
      <c r="AF44" s="166"/>
      <c r="AG44" s="166"/>
      <c r="AH44" s="166"/>
      <c r="AI44" s="166"/>
      <c r="AJ44" s="166"/>
      <c r="AK44" s="166"/>
      <c r="AL44" s="166"/>
      <c r="AM44" s="166"/>
      <c r="AN44" s="193"/>
      <c r="AO44" s="166"/>
      <c r="AP44" s="166"/>
      <c r="AQ44" s="166"/>
      <c r="AR44" s="166"/>
      <c r="AS44" s="166"/>
      <c r="AT44" s="166"/>
      <c r="AU44" s="166"/>
      <c r="AV44" s="166"/>
      <c r="AW44" s="166"/>
      <c r="AX44" s="193"/>
      <c r="AY44" s="166"/>
      <c r="AZ44" s="166"/>
      <c r="BA44" s="166"/>
      <c r="BB44" s="166"/>
      <c r="BC44" s="166"/>
      <c r="BD44" s="166"/>
      <c r="BE44" s="166"/>
      <c r="BF44" s="166"/>
      <c r="BG44" s="166"/>
      <c r="BH44" s="193"/>
      <c r="BI44" s="166"/>
      <c r="BJ44" s="166"/>
      <c r="BK44" s="166"/>
      <c r="BL44" s="166"/>
      <c r="BM44" s="166"/>
      <c r="BN44" s="166"/>
      <c r="BO44" s="166"/>
      <c r="BP44" s="166"/>
      <c r="BQ44" s="166"/>
      <c r="BR44" s="19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45"/>
      <c r="CW44" s="200" t="s">
        <v>426</v>
      </c>
      <c r="CX44" s="12" t="s">
        <v>427</v>
      </c>
    </row>
    <row r="45" spans="1:111" ht="15" customHeight="1" x14ac:dyDescent="0.3">
      <c r="A45" s="196"/>
      <c r="B45" s="196"/>
      <c r="C45" s="196"/>
      <c r="D45" s="196"/>
      <c r="E45" s="196"/>
      <c r="F45" s="196"/>
      <c r="G45" s="196"/>
      <c r="H45" s="196"/>
      <c r="I45" s="196"/>
      <c r="J45" s="193"/>
      <c r="K45" s="196"/>
      <c r="L45" s="196"/>
      <c r="M45" s="196"/>
      <c r="N45" s="196"/>
      <c r="O45" s="196"/>
      <c r="P45" s="196"/>
      <c r="Q45" s="196"/>
      <c r="R45" s="196"/>
      <c r="S45" s="196"/>
      <c r="T45" s="193"/>
      <c r="U45" s="196"/>
      <c r="V45" s="196"/>
      <c r="W45" s="196"/>
      <c r="X45" s="196"/>
      <c r="Y45" s="196"/>
      <c r="Z45" s="196"/>
      <c r="AA45" s="196"/>
      <c r="AB45" s="196"/>
      <c r="AC45" s="196"/>
      <c r="AD45" s="193"/>
      <c r="AE45" s="166"/>
      <c r="AF45" s="166"/>
      <c r="AG45" s="166"/>
      <c r="AH45" s="166"/>
      <c r="AI45" s="166"/>
      <c r="AJ45" s="166"/>
      <c r="AK45" s="166"/>
      <c r="AL45" s="166"/>
      <c r="AM45" s="166"/>
      <c r="AN45" s="193"/>
      <c r="AO45" s="166"/>
      <c r="AP45" s="166"/>
      <c r="AQ45" s="166"/>
      <c r="AR45" s="166"/>
      <c r="AS45" s="166"/>
      <c r="AT45" s="166"/>
      <c r="AU45" s="166"/>
      <c r="AV45" s="166"/>
      <c r="AW45" s="166"/>
      <c r="AX45" s="193"/>
      <c r="AY45" s="166"/>
      <c r="AZ45" s="166"/>
      <c r="BA45" s="166"/>
      <c r="BB45" s="166"/>
      <c r="BC45" s="166"/>
      <c r="BD45" s="166"/>
      <c r="BE45" s="166"/>
      <c r="BF45" s="166"/>
      <c r="BG45" s="166"/>
      <c r="BH45" s="193"/>
      <c r="BI45" s="166"/>
      <c r="BJ45" s="166"/>
      <c r="BK45" s="166"/>
      <c r="BL45" s="166"/>
      <c r="BM45" s="166"/>
      <c r="BN45" s="166"/>
      <c r="BO45" s="166"/>
      <c r="BP45" s="166"/>
      <c r="BQ45" s="166"/>
      <c r="BR45" s="19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45"/>
      <c r="CW45" s="12" t="s">
        <v>428</v>
      </c>
    </row>
    <row r="46" spans="1:111" ht="15" customHeight="1" x14ac:dyDescent="0.3">
      <c r="A46" s="196"/>
      <c r="B46" s="196"/>
      <c r="C46" s="196"/>
      <c r="D46" s="196"/>
      <c r="E46" s="196"/>
      <c r="F46" s="196"/>
      <c r="G46" s="196"/>
      <c r="H46" s="196"/>
      <c r="I46" s="196"/>
      <c r="J46" s="193"/>
      <c r="K46" s="196"/>
      <c r="L46" s="196"/>
      <c r="M46" s="196"/>
      <c r="N46" s="196"/>
      <c r="O46" s="196"/>
      <c r="P46" s="196"/>
      <c r="Q46" s="196"/>
      <c r="R46" s="196"/>
      <c r="S46" s="196"/>
      <c r="T46" s="193"/>
      <c r="U46" s="196"/>
      <c r="V46" s="196"/>
      <c r="W46" s="196"/>
      <c r="X46" s="196"/>
      <c r="Y46" s="196"/>
      <c r="Z46" s="196"/>
      <c r="AA46" s="196"/>
      <c r="AB46" s="196"/>
      <c r="AC46" s="196"/>
      <c r="AD46" s="193"/>
      <c r="AE46" s="166"/>
      <c r="AF46" s="166"/>
      <c r="AG46" s="166"/>
      <c r="AH46" s="166"/>
      <c r="AI46" s="166"/>
      <c r="AJ46" s="166"/>
      <c r="AK46" s="166"/>
      <c r="AL46" s="166"/>
      <c r="AM46" s="166"/>
      <c r="AN46" s="193"/>
      <c r="AO46" s="166"/>
      <c r="AP46" s="166"/>
      <c r="AQ46" s="166"/>
      <c r="AR46" s="166"/>
      <c r="AS46" s="166"/>
      <c r="AT46" s="166"/>
      <c r="AU46" s="166"/>
      <c r="AV46" s="166"/>
      <c r="AW46" s="166"/>
      <c r="AX46" s="193"/>
      <c r="AY46" s="166"/>
      <c r="AZ46" s="166"/>
      <c r="BA46" s="166"/>
      <c r="BB46" s="166"/>
      <c r="BC46" s="166"/>
      <c r="BD46" s="166"/>
      <c r="BE46" s="166"/>
      <c r="BF46" s="166"/>
      <c r="BG46" s="166"/>
      <c r="BH46" s="193"/>
      <c r="BI46" s="166"/>
      <c r="BJ46" s="166"/>
      <c r="BK46" s="166"/>
      <c r="BL46" s="166"/>
      <c r="BM46" s="166"/>
      <c r="BN46" s="166"/>
      <c r="BO46" s="166"/>
      <c r="BP46" s="166"/>
      <c r="BQ46" s="166"/>
      <c r="BR46" s="19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45"/>
      <c r="CW46" s="12" t="s">
        <v>429</v>
      </c>
    </row>
    <row r="47" spans="1:111" ht="15" customHeight="1" x14ac:dyDescent="0.3">
      <c r="A47" s="196"/>
      <c r="B47" s="196"/>
      <c r="C47" s="196"/>
      <c r="D47" s="196"/>
      <c r="E47" s="196"/>
      <c r="F47" s="196"/>
      <c r="G47" s="196"/>
      <c r="H47" s="196"/>
      <c r="I47" s="196"/>
      <c r="J47" s="193"/>
      <c r="K47" s="196"/>
      <c r="L47" s="196"/>
      <c r="M47" s="196"/>
      <c r="N47" s="196"/>
      <c r="O47" s="196"/>
      <c r="P47" s="196"/>
      <c r="Q47" s="196"/>
      <c r="R47" s="196"/>
      <c r="S47" s="196"/>
      <c r="T47" s="193"/>
      <c r="U47" s="196"/>
      <c r="V47" s="196"/>
      <c r="W47" s="196"/>
      <c r="X47" s="196"/>
      <c r="Y47" s="196"/>
      <c r="Z47" s="196"/>
      <c r="AA47" s="196"/>
      <c r="AB47" s="196"/>
      <c r="AC47" s="196"/>
      <c r="AD47" s="193"/>
      <c r="AE47" s="166"/>
      <c r="AF47" s="166"/>
      <c r="AG47" s="166"/>
      <c r="AH47" s="166"/>
      <c r="AI47" s="166"/>
      <c r="AJ47" s="166"/>
      <c r="AK47" s="166"/>
      <c r="AL47" s="166"/>
      <c r="AM47" s="166"/>
      <c r="AN47" s="193"/>
      <c r="AO47" s="166"/>
      <c r="AP47" s="166"/>
      <c r="AQ47" s="166"/>
      <c r="AR47" s="166"/>
      <c r="AS47" s="166"/>
      <c r="AT47" s="166"/>
      <c r="AU47" s="166"/>
      <c r="AV47" s="166"/>
      <c r="AW47" s="166"/>
      <c r="AX47" s="193"/>
      <c r="AY47" s="166"/>
      <c r="AZ47" s="166"/>
      <c r="BA47" s="166"/>
      <c r="BB47" s="166"/>
      <c r="BC47" s="166"/>
      <c r="BD47" s="166"/>
      <c r="BE47" s="166"/>
      <c r="BF47" s="166"/>
      <c r="BG47" s="166"/>
      <c r="BH47" s="193"/>
      <c r="BI47" s="166"/>
      <c r="BJ47" s="166"/>
      <c r="BK47" s="166"/>
      <c r="BL47" s="166"/>
      <c r="BM47" s="166"/>
      <c r="BN47" s="166"/>
      <c r="BO47" s="166"/>
      <c r="BP47" s="166"/>
      <c r="BQ47" s="166"/>
      <c r="BR47" s="19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45"/>
      <c r="CW47" s="12" t="s">
        <v>430</v>
      </c>
    </row>
    <row r="48" spans="1:111" ht="15" customHeight="1" x14ac:dyDescent="0.3">
      <c r="A48" s="166"/>
      <c r="B48" s="166"/>
      <c r="C48" s="166"/>
      <c r="D48" s="166"/>
      <c r="E48" s="166"/>
      <c r="F48" s="166"/>
      <c r="G48" s="166"/>
      <c r="H48" s="166"/>
      <c r="I48" s="166"/>
      <c r="J48" s="165"/>
      <c r="K48" s="166"/>
      <c r="L48" s="166"/>
      <c r="M48" s="166"/>
      <c r="N48" s="166"/>
      <c r="O48" s="166"/>
      <c r="P48" s="166"/>
      <c r="Q48" s="166"/>
      <c r="R48" s="166"/>
      <c r="S48" s="166"/>
      <c r="T48" s="165"/>
      <c r="U48" s="166"/>
      <c r="V48" s="166"/>
      <c r="W48" s="166"/>
      <c r="X48" s="166"/>
      <c r="Y48" s="166"/>
      <c r="Z48" s="166"/>
      <c r="AA48" s="166"/>
      <c r="AB48" s="166"/>
      <c r="AC48" s="166"/>
      <c r="AD48" s="165"/>
      <c r="AE48" s="166"/>
      <c r="AF48" s="166"/>
      <c r="AG48" s="166"/>
      <c r="AH48" s="166"/>
      <c r="AI48" s="166"/>
      <c r="AJ48" s="166"/>
      <c r="AK48" s="166"/>
      <c r="AL48" s="166"/>
      <c r="AM48" s="166"/>
      <c r="AN48" s="165"/>
      <c r="AO48" s="166"/>
      <c r="AP48" s="166"/>
      <c r="AQ48" s="166"/>
      <c r="AR48" s="166"/>
      <c r="AS48" s="166"/>
      <c r="AT48" s="166"/>
      <c r="AU48" s="166"/>
      <c r="AV48" s="166"/>
      <c r="AW48" s="166"/>
      <c r="AX48" s="165"/>
      <c r="AY48" s="166"/>
      <c r="AZ48" s="166"/>
      <c r="BA48" s="166"/>
      <c r="BB48" s="166"/>
      <c r="BC48" s="166"/>
      <c r="BD48" s="166"/>
      <c r="BE48" s="166"/>
      <c r="BF48" s="166"/>
      <c r="BG48" s="166"/>
      <c r="BH48" s="165"/>
      <c r="BI48" s="166"/>
      <c r="BJ48" s="166"/>
      <c r="BK48" s="166"/>
      <c r="BL48" s="166"/>
      <c r="BM48" s="166"/>
      <c r="BN48" s="166"/>
      <c r="BO48" s="166"/>
      <c r="BP48" s="166"/>
      <c r="BQ48" s="166"/>
      <c r="BR48" s="165"/>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W48" s="12" t="s">
        <v>425</v>
      </c>
    </row>
    <row r="49" spans="1:102" ht="15" customHeight="1" x14ac:dyDescent="0.3">
      <c r="A49" s="166"/>
      <c r="B49" s="166"/>
      <c r="C49" s="166"/>
      <c r="D49" s="166"/>
      <c r="E49" s="166"/>
      <c r="F49" s="166"/>
      <c r="G49" s="166"/>
      <c r="H49" s="166"/>
      <c r="I49" s="166"/>
      <c r="J49" s="165"/>
      <c r="K49" s="166"/>
      <c r="L49" s="166"/>
      <c r="M49" s="166"/>
      <c r="N49" s="166"/>
      <c r="O49" s="166"/>
      <c r="P49" s="166"/>
      <c r="Q49" s="166"/>
      <c r="R49" s="166"/>
      <c r="S49" s="166"/>
      <c r="T49" s="165"/>
      <c r="U49" s="166"/>
      <c r="V49" s="166"/>
      <c r="W49" s="166"/>
      <c r="X49" s="166"/>
      <c r="Y49" s="166"/>
      <c r="Z49" s="166"/>
      <c r="AA49" s="166"/>
      <c r="AB49" s="166"/>
      <c r="AC49" s="166"/>
      <c r="AD49" s="165"/>
      <c r="AE49" s="166"/>
      <c r="AF49" s="166"/>
      <c r="AG49" s="166"/>
      <c r="AH49" s="166"/>
      <c r="AI49" s="166"/>
      <c r="AJ49" s="166"/>
      <c r="AK49" s="166"/>
      <c r="AL49" s="166"/>
      <c r="AM49" s="166"/>
      <c r="AN49" s="165"/>
      <c r="AO49" s="166"/>
      <c r="AP49" s="166"/>
      <c r="AQ49" s="166"/>
      <c r="AR49" s="166"/>
      <c r="AS49" s="166"/>
      <c r="AT49" s="166"/>
      <c r="AU49" s="166"/>
      <c r="AV49" s="166"/>
      <c r="AW49" s="166"/>
      <c r="AX49" s="165"/>
      <c r="AY49" s="166"/>
      <c r="AZ49" s="166"/>
      <c r="BA49" s="166"/>
      <c r="BB49" s="166"/>
      <c r="BC49" s="166"/>
      <c r="BD49" s="166"/>
      <c r="BE49" s="166"/>
      <c r="BF49" s="166"/>
      <c r="BG49" s="166"/>
      <c r="BH49" s="165"/>
      <c r="BI49" s="166"/>
      <c r="BJ49" s="166"/>
      <c r="BK49" s="166"/>
      <c r="BL49" s="166"/>
      <c r="BM49" s="166"/>
      <c r="BN49" s="166"/>
      <c r="BO49" s="166"/>
      <c r="BP49" s="166"/>
      <c r="BQ49" s="166"/>
      <c r="BR49" s="165"/>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row>
    <row r="50" spans="1:102" ht="15" customHeight="1" x14ac:dyDescent="0.3">
      <c r="A50" s="166"/>
      <c r="B50" s="166"/>
      <c r="C50" s="166"/>
      <c r="D50" s="166"/>
      <c r="E50" s="166"/>
      <c r="F50" s="166"/>
      <c r="G50" s="166"/>
      <c r="H50" s="166"/>
      <c r="I50" s="166"/>
      <c r="J50" s="201"/>
      <c r="K50" s="166"/>
      <c r="L50" s="166"/>
      <c r="M50" s="166"/>
      <c r="N50" s="166"/>
      <c r="O50" s="166"/>
      <c r="P50" s="166"/>
      <c r="Q50" s="166"/>
      <c r="R50" s="166"/>
      <c r="S50" s="166"/>
      <c r="T50" s="201"/>
      <c r="U50" s="166"/>
      <c r="V50" s="166"/>
      <c r="W50" s="166"/>
      <c r="X50" s="166"/>
      <c r="Y50" s="166"/>
      <c r="Z50" s="166"/>
      <c r="AA50" s="166"/>
      <c r="AB50" s="166"/>
      <c r="AC50" s="166"/>
      <c r="AD50" s="201"/>
      <c r="AE50" s="166"/>
      <c r="AF50" s="166"/>
      <c r="AG50" s="166"/>
      <c r="AH50" s="166"/>
      <c r="AI50" s="166"/>
      <c r="AJ50" s="166"/>
      <c r="AK50" s="166"/>
      <c r="AL50" s="166"/>
      <c r="AM50" s="166"/>
      <c r="AN50" s="201"/>
      <c r="AO50" s="166"/>
      <c r="AP50" s="166"/>
      <c r="AQ50" s="166"/>
      <c r="AR50" s="166"/>
      <c r="AS50" s="166"/>
      <c r="AT50" s="166"/>
      <c r="AU50" s="166"/>
      <c r="AV50" s="166"/>
      <c r="AW50" s="166"/>
      <c r="AX50" s="201"/>
      <c r="AY50" s="166"/>
      <c r="AZ50" s="166"/>
      <c r="BA50" s="166"/>
      <c r="BB50" s="166"/>
      <c r="BC50" s="166"/>
      <c r="BD50" s="166"/>
      <c r="BE50" s="166"/>
      <c r="BF50" s="166"/>
      <c r="BG50" s="166"/>
      <c r="BH50" s="201"/>
      <c r="BI50" s="166"/>
      <c r="BJ50" s="166"/>
      <c r="BK50" s="166"/>
      <c r="BL50" s="166"/>
      <c r="BM50" s="166"/>
      <c r="BN50" s="166"/>
      <c r="BO50" s="166"/>
      <c r="BP50" s="166"/>
      <c r="BQ50" s="166"/>
      <c r="BR50" s="201"/>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9"/>
      <c r="CW50" s="12" t="s">
        <v>114</v>
      </c>
    </row>
    <row r="51" spans="1:102" ht="15" customHeight="1" x14ac:dyDescent="0.3">
      <c r="A51" s="166"/>
      <c r="B51" s="166"/>
      <c r="C51" s="166"/>
      <c r="D51" s="166"/>
      <c r="E51" s="166"/>
      <c r="F51" s="166"/>
      <c r="G51" s="166"/>
      <c r="H51" s="166"/>
      <c r="I51" s="166"/>
      <c r="J51" s="201"/>
      <c r="K51" s="166"/>
      <c r="L51" s="166"/>
      <c r="M51" s="166"/>
      <c r="N51" s="166"/>
      <c r="O51" s="166"/>
      <c r="P51" s="166"/>
      <c r="Q51" s="166"/>
      <c r="R51" s="166"/>
      <c r="S51" s="166"/>
      <c r="T51" s="201"/>
      <c r="U51" s="166"/>
      <c r="V51" s="166"/>
      <c r="W51" s="166"/>
      <c r="X51" s="166"/>
      <c r="Y51" s="166"/>
      <c r="Z51" s="166"/>
      <c r="AA51" s="166"/>
      <c r="AB51" s="166"/>
      <c r="AC51" s="166"/>
      <c r="AD51" s="201"/>
      <c r="AE51" s="166"/>
      <c r="AF51" s="166"/>
      <c r="AG51" s="166"/>
      <c r="AH51" s="166"/>
      <c r="AI51" s="166"/>
      <c r="AJ51" s="166"/>
      <c r="AK51" s="166"/>
      <c r="AL51" s="166"/>
      <c r="AM51" s="166"/>
      <c r="AN51" s="201"/>
      <c r="AO51" s="166"/>
      <c r="AP51" s="166"/>
      <c r="AQ51" s="166"/>
      <c r="AR51" s="166"/>
      <c r="AS51" s="166"/>
      <c r="AT51" s="166"/>
      <c r="AU51" s="166"/>
      <c r="AV51" s="166"/>
      <c r="AW51" s="166"/>
      <c r="AX51" s="201"/>
      <c r="AY51" s="166"/>
      <c r="AZ51" s="166"/>
      <c r="BA51" s="166"/>
      <c r="BB51" s="166"/>
      <c r="BC51" s="166"/>
      <c r="BD51" s="166"/>
      <c r="BE51" s="166"/>
      <c r="BF51" s="166"/>
      <c r="BG51" s="166"/>
      <c r="BH51" s="201"/>
      <c r="BI51" s="166"/>
      <c r="BJ51" s="166"/>
      <c r="BK51" s="166"/>
      <c r="BL51" s="166"/>
      <c r="BM51" s="166"/>
      <c r="BN51" s="166"/>
      <c r="BO51" s="166"/>
      <c r="BP51" s="166"/>
      <c r="BQ51" s="166"/>
      <c r="BR51" s="201"/>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9"/>
      <c r="CW51" s="12" t="s">
        <v>99</v>
      </c>
    </row>
    <row r="52" spans="1:102" ht="15" customHeight="1" x14ac:dyDescent="0.3">
      <c r="A52" s="166"/>
      <c r="B52" s="166"/>
      <c r="C52" s="166"/>
      <c r="D52" s="166"/>
      <c r="E52" s="166"/>
      <c r="F52" s="166"/>
      <c r="G52" s="166"/>
      <c r="H52" s="166"/>
      <c r="I52" s="166"/>
      <c r="J52" s="201"/>
      <c r="K52" s="166"/>
      <c r="L52" s="166"/>
      <c r="M52" s="166"/>
      <c r="N52" s="166"/>
      <c r="O52" s="166"/>
      <c r="P52" s="166"/>
      <c r="Q52" s="166"/>
      <c r="R52" s="166"/>
      <c r="S52" s="166"/>
      <c r="T52" s="201"/>
      <c r="U52" s="166"/>
      <c r="V52" s="166"/>
      <c r="W52" s="166"/>
      <c r="X52" s="166"/>
      <c r="Y52" s="166"/>
      <c r="Z52" s="166"/>
      <c r="AA52" s="166"/>
      <c r="AB52" s="166"/>
      <c r="AC52" s="166"/>
      <c r="AD52" s="201"/>
      <c r="AE52" s="166"/>
      <c r="AF52" s="166"/>
      <c r="AG52" s="166"/>
      <c r="AH52" s="166"/>
      <c r="AI52" s="166"/>
      <c r="AJ52" s="166"/>
      <c r="AK52" s="166"/>
      <c r="AL52" s="166"/>
      <c r="AM52" s="166"/>
      <c r="AN52" s="201"/>
      <c r="AO52" s="166"/>
      <c r="AP52" s="166"/>
      <c r="AQ52" s="166"/>
      <c r="AR52" s="166"/>
      <c r="AS52" s="166"/>
      <c r="AT52" s="166"/>
      <c r="AU52" s="166"/>
      <c r="AV52" s="166"/>
      <c r="AW52" s="166"/>
      <c r="AX52" s="201"/>
      <c r="AY52" s="166"/>
      <c r="AZ52" s="166"/>
      <c r="BA52" s="166"/>
      <c r="BB52" s="166"/>
      <c r="BC52" s="166"/>
      <c r="BD52" s="166"/>
      <c r="BE52" s="166"/>
      <c r="BF52" s="166"/>
      <c r="BG52" s="166"/>
      <c r="BH52" s="201"/>
      <c r="BI52" s="166"/>
      <c r="BJ52" s="166"/>
      <c r="BK52" s="166"/>
      <c r="BL52" s="166"/>
      <c r="BM52" s="166"/>
      <c r="BN52" s="166"/>
      <c r="BO52" s="166"/>
      <c r="BP52" s="166"/>
      <c r="BQ52" s="166"/>
      <c r="BR52" s="201"/>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9"/>
    </row>
    <row r="53" spans="1:102" ht="15" customHeight="1" x14ac:dyDescent="0.3">
      <c r="A53" s="166"/>
      <c r="B53" s="166"/>
      <c r="C53" s="166"/>
      <c r="D53" s="166"/>
      <c r="E53" s="166"/>
      <c r="F53" s="166"/>
      <c r="G53" s="166"/>
      <c r="H53" s="166"/>
      <c r="I53" s="166"/>
      <c r="J53" s="165"/>
      <c r="K53" s="166"/>
      <c r="L53" s="166"/>
      <c r="M53" s="166"/>
      <c r="N53" s="166"/>
      <c r="O53" s="166"/>
      <c r="P53" s="166"/>
      <c r="Q53" s="166"/>
      <c r="R53" s="166"/>
      <c r="S53" s="166"/>
      <c r="T53" s="165"/>
      <c r="U53" s="166"/>
      <c r="V53" s="166"/>
      <c r="W53" s="166"/>
      <c r="X53" s="166"/>
      <c r="Y53" s="166"/>
      <c r="Z53" s="166"/>
      <c r="AA53" s="166"/>
      <c r="AB53" s="166"/>
      <c r="AC53" s="166"/>
      <c r="AD53" s="165"/>
      <c r="AE53" s="166"/>
      <c r="AF53" s="166"/>
      <c r="AG53" s="166"/>
      <c r="AH53" s="166"/>
      <c r="AI53" s="166"/>
      <c r="AJ53" s="166"/>
      <c r="AK53" s="166"/>
      <c r="AL53" s="166"/>
      <c r="AM53" s="166"/>
      <c r="AN53" s="165"/>
      <c r="AO53" s="166"/>
      <c r="AP53" s="166"/>
      <c r="AQ53" s="166"/>
      <c r="AR53" s="166"/>
      <c r="AS53" s="166"/>
      <c r="AT53" s="166"/>
      <c r="AU53" s="166"/>
      <c r="AV53" s="166"/>
      <c r="AW53" s="166"/>
      <c r="AX53" s="165"/>
      <c r="AY53" s="166"/>
      <c r="AZ53" s="166"/>
      <c r="BA53" s="166"/>
      <c r="BB53" s="166"/>
      <c r="BC53" s="166"/>
      <c r="BD53" s="166"/>
      <c r="BE53" s="166"/>
      <c r="BF53" s="166"/>
      <c r="BG53" s="166"/>
      <c r="BH53" s="165"/>
      <c r="BI53" s="166"/>
      <c r="BJ53" s="166"/>
      <c r="BK53" s="166"/>
      <c r="BL53" s="166"/>
      <c r="BM53" s="166"/>
      <c r="BN53" s="166"/>
      <c r="BO53" s="166"/>
      <c r="BP53" s="166"/>
      <c r="BQ53" s="166"/>
      <c r="BR53" s="165"/>
      <c r="BS53" s="27"/>
      <c r="BT53" s="27"/>
      <c r="BU53" s="27"/>
      <c r="BV53" s="27"/>
      <c r="BW53" s="27"/>
      <c r="BX53" s="27"/>
      <c r="BY53" s="27"/>
      <c r="BZ53" s="27"/>
      <c r="CA53" s="27"/>
      <c r="CB53" s="23"/>
      <c r="CC53" s="27"/>
      <c r="CD53" s="27"/>
      <c r="CE53" s="27"/>
      <c r="CF53" s="27"/>
      <c r="CG53" s="27"/>
      <c r="CH53" s="27"/>
      <c r="CI53" s="27"/>
      <c r="CJ53" s="27"/>
      <c r="CK53" s="27"/>
      <c r="CL53" s="23"/>
      <c r="CM53" s="27"/>
      <c r="CN53" s="27"/>
      <c r="CO53" s="27"/>
      <c r="CP53" s="27"/>
      <c r="CQ53" s="27"/>
      <c r="CR53" s="27"/>
      <c r="CS53" s="27"/>
      <c r="CT53" s="27"/>
      <c r="CU53" s="27"/>
      <c r="CW53" s="202" t="s">
        <v>431</v>
      </c>
      <c r="CX53" s="12" t="s">
        <v>432</v>
      </c>
    </row>
    <row r="54" spans="1:102" ht="15" customHeight="1" x14ac:dyDescent="0.3">
      <c r="A54" s="165"/>
      <c r="B54" s="165"/>
      <c r="C54" s="165"/>
      <c r="D54" s="165"/>
      <c r="E54" s="165"/>
      <c r="F54" s="165"/>
      <c r="G54" s="165"/>
      <c r="H54" s="165"/>
      <c r="I54" s="165"/>
      <c r="J54" s="165"/>
      <c r="K54" s="194"/>
      <c r="L54" s="203"/>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X54" s="93" t="s">
        <v>434</v>
      </c>
    </row>
    <row r="55" spans="1:102" ht="15" customHeight="1" x14ac:dyDescent="0.3">
      <c r="A55" s="237" t="s">
        <v>165</v>
      </c>
      <c r="B55" s="237"/>
      <c r="C55" s="237"/>
      <c r="D55" s="237"/>
      <c r="E55" s="237"/>
      <c r="F55" s="237"/>
      <c r="G55" s="237"/>
      <c r="H55" s="237"/>
      <c r="I55" s="237"/>
      <c r="J55" s="165"/>
      <c r="K55" s="237" t="s">
        <v>165</v>
      </c>
      <c r="L55" s="237"/>
      <c r="M55" s="237"/>
      <c r="N55" s="237"/>
      <c r="O55" s="237"/>
      <c r="P55" s="237"/>
      <c r="Q55" s="237"/>
      <c r="R55" s="237"/>
      <c r="S55" s="237"/>
      <c r="T55" s="165"/>
      <c r="U55" s="237" t="s">
        <v>165</v>
      </c>
      <c r="V55" s="237"/>
      <c r="W55" s="237"/>
      <c r="X55" s="237"/>
      <c r="Y55" s="237"/>
      <c r="Z55" s="237"/>
      <c r="AA55" s="237"/>
      <c r="AB55" s="237"/>
      <c r="AC55" s="237"/>
      <c r="AD55" s="165"/>
      <c r="AE55" s="237" t="s">
        <v>165</v>
      </c>
      <c r="AF55" s="237"/>
      <c r="AG55" s="237"/>
      <c r="AH55" s="237"/>
      <c r="AI55" s="237"/>
      <c r="AJ55" s="237"/>
      <c r="AK55" s="237"/>
      <c r="AL55" s="237"/>
      <c r="AM55" s="237"/>
      <c r="AN55" s="165"/>
      <c r="AO55" s="237" t="s">
        <v>165</v>
      </c>
      <c r="AP55" s="237"/>
      <c r="AQ55" s="237"/>
      <c r="AR55" s="237"/>
      <c r="AS55" s="237"/>
      <c r="AT55" s="237"/>
      <c r="AU55" s="237"/>
      <c r="AV55" s="237"/>
      <c r="AW55" s="237"/>
      <c r="AX55" s="165"/>
      <c r="AY55" s="237" t="s">
        <v>165</v>
      </c>
      <c r="AZ55" s="237"/>
      <c r="BA55" s="237"/>
      <c r="BB55" s="237"/>
      <c r="BC55" s="237"/>
      <c r="BD55" s="237"/>
      <c r="BE55" s="237"/>
      <c r="BF55" s="237"/>
      <c r="BG55" s="237"/>
      <c r="BH55" s="165"/>
      <c r="BI55" s="237" t="s">
        <v>165</v>
      </c>
      <c r="BJ55" s="237"/>
      <c r="BK55" s="237"/>
      <c r="BL55" s="237"/>
      <c r="BM55" s="237"/>
      <c r="BN55" s="237"/>
      <c r="BO55" s="237"/>
      <c r="BP55" s="237"/>
      <c r="BQ55" s="237"/>
      <c r="BR55" s="165"/>
      <c r="BS55" s="282" t="s">
        <v>451</v>
      </c>
      <c r="BT55" s="282"/>
      <c r="BU55" s="282"/>
      <c r="BV55" s="282"/>
      <c r="BW55" s="282"/>
      <c r="BX55" s="282"/>
      <c r="BY55" s="282"/>
      <c r="BZ55" s="282"/>
      <c r="CA55" s="282"/>
      <c r="CB55" s="23"/>
      <c r="CC55" s="282" t="s">
        <v>451</v>
      </c>
      <c r="CD55" s="282"/>
      <c r="CE55" s="282"/>
      <c r="CF55" s="282"/>
      <c r="CG55" s="282"/>
      <c r="CH55" s="282"/>
      <c r="CI55" s="282"/>
      <c r="CJ55" s="282"/>
      <c r="CK55" s="282"/>
      <c r="CL55" s="23"/>
      <c r="CM55" s="282" t="s">
        <v>451</v>
      </c>
      <c r="CN55" s="282"/>
      <c r="CO55" s="282"/>
      <c r="CP55" s="282"/>
      <c r="CQ55" s="282"/>
      <c r="CR55" s="282"/>
      <c r="CS55" s="282"/>
      <c r="CT55" s="282"/>
      <c r="CU55" s="282"/>
      <c r="CX55" s="93" t="s">
        <v>433</v>
      </c>
    </row>
    <row r="56" spans="1:102" ht="15" customHeight="1" x14ac:dyDescent="0.3">
      <c r="A56" s="238" t="str">
        <f>IF(COUNTIF(A59:I117,"BLANK"),"BLANK",IF(OR(SUMPRODUCT(--ISERROR(A59:I117))&gt;0,COUNTIF(A59:I117,"REJECT")),"REJECT",IF(COUNTIF(A59:I117,"CHECK"),"CHECK","EQ")))</f>
        <v>BLANK</v>
      </c>
      <c r="B56" s="238"/>
      <c r="C56" s="238" t="s">
        <v>21</v>
      </c>
      <c r="D56" s="238"/>
      <c r="E56" s="238"/>
      <c r="F56" s="238"/>
      <c r="G56" s="238"/>
      <c r="H56" s="238"/>
      <c r="I56" s="238"/>
      <c r="K56" s="238" t="str">
        <f>IF(COUNTIF(K62:S83,"BLANK"),"BLANK",IF(OR(SUMPRODUCT(--ISERROR(K62:S83))&gt;0,COUNTIF(K62:S83,"REJECT")),"REJECT",IF(COUNTIF(K62:S83,"CHECK"),"CHECK","EQ")))</f>
        <v>BLANK</v>
      </c>
      <c r="L56" s="238"/>
      <c r="M56" s="238" t="s">
        <v>28</v>
      </c>
      <c r="N56" s="238"/>
      <c r="O56" s="238"/>
      <c r="P56" s="238"/>
      <c r="Q56" s="238"/>
      <c r="R56" s="238"/>
      <c r="S56" s="238"/>
      <c r="U56" s="238" t="str">
        <f>IF(COUNTIF(U88:AC129,"BLANK"),"BLANK",IF(OR(SUMPRODUCT(--ISERROR(U88:AC129))&gt;0,COUNTIF(U88:AC129,"REJECT")),"REJECT",IF(COUNTIF(U88:AC129,"CHECK"),"CHECK","EQ")))</f>
        <v>EQ</v>
      </c>
      <c r="V56" s="238"/>
      <c r="W56" s="238" t="s">
        <v>25</v>
      </c>
      <c r="X56" s="238"/>
      <c r="Y56" s="238"/>
      <c r="Z56" s="238"/>
      <c r="AA56" s="238"/>
      <c r="AB56" s="238"/>
      <c r="AC56" s="238"/>
      <c r="AE56" s="238" t="str">
        <f>IF(COUNTIF(AE70:AM95,"BLANK"),"BLANK",IF(COUNTIF(AE70:AM95,"REJECT"),"REJECT",IF(COUNTIF(AE70:AM95,"CHECK"),"CHECK","EQ")))</f>
        <v>EQ</v>
      </c>
      <c r="AF56" s="238"/>
      <c r="AG56" s="238" t="s">
        <v>39</v>
      </c>
      <c r="AH56" s="238"/>
      <c r="AI56" s="238"/>
      <c r="AJ56" s="238"/>
      <c r="AK56" s="238"/>
      <c r="AL56" s="238"/>
      <c r="AM56" s="238"/>
      <c r="AO56" s="238" t="str">
        <f>IF(COUNTIF(AO71:AW126,"BLANK"),"BLANK",IF(OR(SUMPRODUCT(--ISERROR(AO71:AW126))&gt;0,COUNTIF(AO71:AW126,"REJECT")),"REJECT",IF(COUNTIF(AO71:AW126,"CHECK"),"CHECK","EQ")))</f>
        <v>EQ</v>
      </c>
      <c r="AP56" s="238"/>
      <c r="AQ56" s="238" t="s">
        <v>42</v>
      </c>
      <c r="AR56" s="238"/>
      <c r="AS56" s="238"/>
      <c r="AT56" s="238"/>
      <c r="AU56" s="238"/>
      <c r="AV56" s="238"/>
      <c r="AW56" s="238"/>
      <c r="AY56" s="238" t="str">
        <f>IF(COUNTIF(AY76:BG101,"BLANK"),"BLANK",IF(OR(SUMPRODUCT(--ISERROR(AY76:BG101))&gt;0,COUNTIF(AY76:BG101,"REJECT")),"REJECT",IF(COUNTIF(AY76:BG101,"CHECK"),"CHECK","EQ")))</f>
        <v>EQ</v>
      </c>
      <c r="AZ56" s="238"/>
      <c r="BA56" s="238" t="s">
        <v>52</v>
      </c>
      <c r="BB56" s="238"/>
      <c r="BC56" s="238"/>
      <c r="BD56" s="238"/>
      <c r="BE56" s="238"/>
      <c r="BF56" s="238"/>
      <c r="BG56" s="238"/>
      <c r="BI56" s="238" t="str">
        <f>IF(COUNTIF(BI74:BQ105,"BLANK"),"BLANK",IF(OR(SUMPRODUCT(--ISERROR(BI74:BQ105))&gt;0,COUNTIF(BI74:BQ105,"REJECT")),"REJECT",IF(COUNTIF(BI74:BQ105,"CHECK"),"CHECK","EQ")))</f>
        <v>BLANK</v>
      </c>
      <c r="BJ56" s="238"/>
      <c r="BK56" s="238" t="s">
        <v>62</v>
      </c>
      <c r="BL56" s="238"/>
      <c r="BM56" s="238"/>
      <c r="BN56" s="238"/>
      <c r="BO56" s="238"/>
      <c r="BP56" s="238"/>
      <c r="BQ56" s="238"/>
      <c r="BS56" s="283" t="str">
        <f>IF($G$8="IC - Internal Combustion","N/A",
IF(COUNTIF(BS67:CA84,"BLANK"),"BLANK",IF(COUNTIF(BS67:CA84,"REJECT"),"REJECT",IF(COUNTIF(BS67:CA84,"CHECK"),"CHECK","EQ"))))</f>
        <v>BLANK</v>
      </c>
      <c r="BT56" s="283"/>
      <c r="BU56" s="283" t="s">
        <v>452</v>
      </c>
      <c r="BV56" s="283"/>
      <c r="BW56" s="283"/>
      <c r="BX56" s="283"/>
      <c r="BY56" s="283"/>
      <c r="BZ56" s="283"/>
      <c r="CA56" s="283"/>
      <c r="CC56" s="283" t="str">
        <f>IF($G$8="IC - Internal Combustion","N/A",
IF(COUNTIF(CC67:CK84,"BLANK"),"BLANK",IF(COUNTIF(CC67:CK84,"REJECT"),"REJECT",IF(COUNTIF(CC67:CK84,"CHECK"),"CHECK","EQ"))))</f>
        <v>BLANK</v>
      </c>
      <c r="CD56" s="283"/>
      <c r="CE56" s="283" t="s">
        <v>453</v>
      </c>
      <c r="CF56" s="283"/>
      <c r="CG56" s="283"/>
      <c r="CH56" s="283"/>
      <c r="CI56" s="283"/>
      <c r="CJ56" s="283"/>
      <c r="CK56" s="283"/>
      <c r="CM56" s="283" t="str">
        <f>IF($G$8="IC - Internal Combustion","N/A",
IF(COUNTIF(CM80:CU113,"BLANK"),"BLANK",IF(COUNTIF(CM80:CU113,"REJECT"),"REJECT",IF(COUNTIF(CM80:CU113,"CHECK"),"CHECK","EQ"))))</f>
        <v>BLANK</v>
      </c>
      <c r="CN56" s="283"/>
      <c r="CO56" s="283" t="s">
        <v>454</v>
      </c>
      <c r="CP56" s="283"/>
      <c r="CQ56" s="283"/>
      <c r="CR56" s="283"/>
      <c r="CS56" s="283"/>
      <c r="CT56" s="283"/>
      <c r="CU56" s="283"/>
      <c r="CW56" s="202"/>
    </row>
    <row r="57" spans="1:102" ht="15" customHeight="1" x14ac:dyDescent="0.3">
      <c r="A57" s="238"/>
      <c r="B57" s="238"/>
      <c r="C57" s="238"/>
      <c r="D57" s="238"/>
      <c r="E57" s="238"/>
      <c r="F57" s="238"/>
      <c r="G57" s="238"/>
      <c r="H57" s="238"/>
      <c r="I57" s="238"/>
      <c r="K57" s="238"/>
      <c r="L57" s="238"/>
      <c r="M57" s="238"/>
      <c r="N57" s="238"/>
      <c r="O57" s="238"/>
      <c r="P57" s="238"/>
      <c r="Q57" s="238"/>
      <c r="R57" s="238"/>
      <c r="S57" s="238"/>
      <c r="U57" s="238"/>
      <c r="V57" s="238"/>
      <c r="W57" s="238"/>
      <c r="X57" s="238"/>
      <c r="Y57" s="238"/>
      <c r="Z57" s="238"/>
      <c r="AA57" s="238"/>
      <c r="AB57" s="238"/>
      <c r="AC57" s="238"/>
      <c r="AE57" s="238"/>
      <c r="AF57" s="238"/>
      <c r="AG57" s="238"/>
      <c r="AH57" s="238"/>
      <c r="AI57" s="238"/>
      <c r="AJ57" s="238"/>
      <c r="AK57" s="238"/>
      <c r="AL57" s="238"/>
      <c r="AM57" s="238"/>
      <c r="AO57" s="238"/>
      <c r="AP57" s="238"/>
      <c r="AQ57" s="238"/>
      <c r="AR57" s="238"/>
      <c r="AS57" s="238"/>
      <c r="AT57" s="238"/>
      <c r="AU57" s="238"/>
      <c r="AV57" s="238"/>
      <c r="AW57" s="238"/>
      <c r="AY57" s="238"/>
      <c r="AZ57" s="238"/>
      <c r="BA57" s="238"/>
      <c r="BB57" s="238"/>
      <c r="BC57" s="238"/>
      <c r="BD57" s="238"/>
      <c r="BE57" s="238"/>
      <c r="BF57" s="238"/>
      <c r="BG57" s="238"/>
      <c r="BI57" s="238"/>
      <c r="BJ57" s="238"/>
      <c r="BK57" s="238"/>
      <c r="BL57" s="238"/>
      <c r="BM57" s="238"/>
      <c r="BN57" s="238"/>
      <c r="BO57" s="238"/>
      <c r="BP57" s="238"/>
      <c r="BQ57" s="238"/>
      <c r="BS57" s="283"/>
      <c r="BT57" s="283"/>
      <c r="BU57" s="283"/>
      <c r="BV57" s="283"/>
      <c r="BW57" s="283"/>
      <c r="BX57" s="283"/>
      <c r="BY57" s="283"/>
      <c r="BZ57" s="283"/>
      <c r="CA57" s="283"/>
      <c r="CC57" s="283"/>
      <c r="CD57" s="283"/>
      <c r="CE57" s="283"/>
      <c r="CF57" s="283"/>
      <c r="CG57" s="283"/>
      <c r="CH57" s="283"/>
      <c r="CI57" s="283"/>
      <c r="CJ57" s="283"/>
      <c r="CK57" s="283"/>
      <c r="CM57" s="283"/>
      <c r="CN57" s="283"/>
      <c r="CO57" s="283"/>
      <c r="CP57" s="283"/>
      <c r="CQ57" s="283"/>
      <c r="CR57" s="283"/>
      <c r="CS57" s="283"/>
      <c r="CT57" s="283"/>
      <c r="CU57" s="283"/>
      <c r="CW57" s="12" t="s">
        <v>100</v>
      </c>
    </row>
    <row r="58" spans="1:102" ht="15" customHeight="1" x14ac:dyDescent="0.3">
      <c r="A58" s="204"/>
      <c r="B58" s="204"/>
      <c r="C58" s="204"/>
      <c r="D58" s="204"/>
      <c r="E58" s="204"/>
      <c r="F58" s="204"/>
      <c r="G58" s="204"/>
      <c r="H58" s="204"/>
      <c r="I58" s="204"/>
      <c r="K58" s="204"/>
      <c r="L58" s="204"/>
      <c r="M58" s="204"/>
      <c r="N58" s="204"/>
      <c r="O58" s="204"/>
      <c r="P58" s="204"/>
      <c r="Q58" s="204"/>
      <c r="R58" s="204"/>
      <c r="S58" s="204"/>
      <c r="U58" s="238" t="s">
        <v>26</v>
      </c>
      <c r="V58" s="238"/>
      <c r="W58" s="238"/>
      <c r="X58" s="238"/>
      <c r="Y58" s="238"/>
      <c r="Z58" s="238"/>
      <c r="AA58" s="238"/>
      <c r="AB58" s="238"/>
      <c r="AC58" s="238"/>
      <c r="AE58" s="204"/>
      <c r="AF58" s="204"/>
      <c r="AG58" s="204"/>
      <c r="AH58" s="204"/>
      <c r="AI58" s="204"/>
      <c r="AJ58" s="204"/>
      <c r="AK58" s="204"/>
      <c r="AL58" s="204"/>
      <c r="AM58" s="204"/>
      <c r="AO58" s="238" t="s">
        <v>41</v>
      </c>
      <c r="AP58" s="238"/>
      <c r="AQ58" s="238"/>
      <c r="AR58" s="238"/>
      <c r="AS58" s="238"/>
      <c r="AT58" s="238"/>
      <c r="AU58" s="238"/>
      <c r="AV58" s="238"/>
      <c r="AW58" s="238"/>
      <c r="AY58" s="238" t="s">
        <v>53</v>
      </c>
      <c r="AZ58" s="238"/>
      <c r="BA58" s="238"/>
      <c r="BB58" s="238"/>
      <c r="BC58" s="238"/>
      <c r="BD58" s="238"/>
      <c r="BE58" s="238"/>
      <c r="BF58" s="238"/>
      <c r="BG58" s="238"/>
      <c r="BI58" s="238" t="s">
        <v>58</v>
      </c>
      <c r="BJ58" s="238"/>
      <c r="BK58" s="238"/>
      <c r="BL58" s="238"/>
      <c r="BM58" s="238"/>
      <c r="BN58" s="238"/>
      <c r="BO58" s="238"/>
      <c r="BP58" s="238"/>
      <c r="BQ58" s="238"/>
      <c r="BS58" s="45"/>
      <c r="BT58" s="45"/>
      <c r="BU58" s="45"/>
      <c r="BV58" s="45"/>
      <c r="BW58" s="45"/>
      <c r="BX58" s="45"/>
      <c r="BY58" s="45"/>
      <c r="BZ58" s="45"/>
      <c r="CA58" s="45"/>
      <c r="CC58" s="45"/>
      <c r="CD58" s="45"/>
      <c r="CE58" s="45"/>
      <c r="CF58" s="45"/>
      <c r="CG58" s="45"/>
      <c r="CH58" s="45"/>
      <c r="CI58" s="45"/>
      <c r="CJ58" s="45"/>
      <c r="CK58" s="45"/>
      <c r="CM58" s="45"/>
      <c r="CN58" s="45"/>
      <c r="CO58" s="45"/>
      <c r="CP58" s="45"/>
      <c r="CQ58" s="45"/>
      <c r="CR58" s="45"/>
      <c r="CS58" s="45"/>
      <c r="CT58" s="45"/>
      <c r="CU58" s="45"/>
    </row>
    <row r="59" spans="1:102" ht="15" customHeight="1" thickBot="1" x14ac:dyDescent="0.35">
      <c r="A59" s="236" t="str">
        <f>IF(COUNTIF(I60:I61,"BLANK"),"BLANK",IF(OR(SUMPRODUCT(--ISERROR(I60:I61))&gt;0,COUNTIF(I60:I61,"REJECT")),"REJECT",IF(COUNTIF(I60:I61,"CHECK"),"CHECK","EQ")))</f>
        <v>BLANK</v>
      </c>
      <c r="B59" s="236"/>
      <c r="C59" s="236"/>
      <c r="D59" s="236"/>
      <c r="E59" s="236"/>
      <c r="F59" s="236"/>
      <c r="G59" s="236"/>
      <c r="H59" s="236"/>
      <c r="I59" s="236"/>
      <c r="K59" s="19" t="s">
        <v>380</v>
      </c>
      <c r="L59" s="12"/>
      <c r="U59" s="238"/>
      <c r="V59" s="238"/>
      <c r="W59" s="238"/>
      <c r="X59" s="238"/>
      <c r="Y59" s="238"/>
      <c r="Z59" s="238"/>
      <c r="AA59" s="238"/>
      <c r="AB59" s="238"/>
      <c r="AC59" s="238"/>
      <c r="AE59" s="19" t="s">
        <v>337</v>
      </c>
      <c r="AF59" s="19"/>
      <c r="AG59" s="19"/>
      <c r="AH59" s="19"/>
      <c r="AI59" s="19"/>
      <c r="AJ59" s="19"/>
      <c r="AK59" s="19"/>
      <c r="AL59" s="19"/>
      <c r="AM59" s="19"/>
      <c r="AO59" s="238"/>
      <c r="AP59" s="238"/>
      <c r="AQ59" s="238"/>
      <c r="AR59" s="238"/>
      <c r="AS59" s="238"/>
      <c r="AT59" s="238"/>
      <c r="AU59" s="238"/>
      <c r="AV59" s="238"/>
      <c r="AW59" s="238"/>
      <c r="AY59" s="238"/>
      <c r="AZ59" s="238"/>
      <c r="BA59" s="238"/>
      <c r="BB59" s="238"/>
      <c r="BC59" s="238"/>
      <c r="BD59" s="238"/>
      <c r="BE59" s="238"/>
      <c r="BF59" s="238"/>
      <c r="BG59" s="238"/>
      <c r="BI59" s="238"/>
      <c r="BJ59" s="238"/>
      <c r="BK59" s="238"/>
      <c r="BL59" s="238"/>
      <c r="BM59" s="238"/>
      <c r="BN59" s="238"/>
      <c r="BO59" s="238"/>
      <c r="BP59" s="238"/>
      <c r="BQ59" s="238"/>
      <c r="BS59" s="47" t="s">
        <v>546</v>
      </c>
      <c r="BT59" s="47" t="s">
        <v>547</v>
      </c>
      <c r="BU59" s="19" t="s">
        <v>548</v>
      </c>
      <c r="BV59" s="45"/>
      <c r="BW59" s="45"/>
      <c r="BX59" s="45"/>
      <c r="BZ59" s="45"/>
      <c r="CA59" s="45"/>
      <c r="CC59" s="47" t="s">
        <v>549</v>
      </c>
      <c r="CD59" s="47" t="s">
        <v>550</v>
      </c>
      <c r="CE59" s="19" t="s">
        <v>555</v>
      </c>
      <c r="CF59" s="45"/>
      <c r="CG59" s="45"/>
      <c r="CH59" s="45"/>
      <c r="CI59" s="45"/>
      <c r="CJ59" s="45"/>
      <c r="CK59" s="45"/>
      <c r="CM59" s="19" t="s">
        <v>472</v>
      </c>
      <c r="CN59" s="45"/>
      <c r="CO59" s="45"/>
      <c r="CP59" s="45"/>
      <c r="CQ59" s="45"/>
      <c r="CR59" s="45"/>
      <c r="CS59" s="45"/>
      <c r="CT59" s="45"/>
      <c r="CU59" s="45"/>
      <c r="CW59" s="205" t="s">
        <v>417</v>
      </c>
    </row>
    <row r="60" spans="1:102" ht="15" customHeight="1" thickBot="1" x14ac:dyDescent="0.35">
      <c r="A60" s="200" t="s">
        <v>302</v>
      </c>
      <c r="B60" s="250" t="s">
        <v>20</v>
      </c>
      <c r="C60" s="250"/>
      <c r="D60" s="250"/>
      <c r="E60" s="250"/>
      <c r="F60" s="251"/>
      <c r="G60" s="148" t="s">
        <v>160</v>
      </c>
      <c r="I60" s="163" t="str">
        <f>IF(G60="","BLANK","EQ")</f>
        <v>EQ</v>
      </c>
      <c r="K60" s="19" t="s">
        <v>381</v>
      </c>
      <c r="L60" s="12"/>
      <c r="U60" s="12" t="s">
        <v>33</v>
      </c>
      <c r="AE60" s="19" t="s">
        <v>338</v>
      </c>
      <c r="AF60" s="19"/>
      <c r="AG60" s="19"/>
      <c r="AH60" s="19"/>
      <c r="AI60" s="19"/>
      <c r="AJ60" s="19"/>
      <c r="AK60" s="19"/>
      <c r="AL60" s="19"/>
      <c r="AM60" s="19"/>
      <c r="AO60" s="19" t="s">
        <v>356</v>
      </c>
      <c r="AY60" s="19" t="s">
        <v>369</v>
      </c>
      <c r="BI60" s="19" t="s">
        <v>166</v>
      </c>
      <c r="BS60" s="47" t="s">
        <v>551</v>
      </c>
      <c r="BT60" s="19" t="s">
        <v>552</v>
      </c>
      <c r="BU60" s="45"/>
      <c r="BV60" s="45"/>
      <c r="BW60" s="45"/>
      <c r="BX60" s="45"/>
      <c r="BY60" s="45"/>
      <c r="BZ60" s="45"/>
      <c r="CA60" s="45"/>
      <c r="CC60" s="47" t="s">
        <v>553</v>
      </c>
      <c r="CD60" s="19" t="s">
        <v>554</v>
      </c>
      <c r="CE60" s="45"/>
      <c r="CF60" s="45"/>
      <c r="CG60" s="45"/>
      <c r="CH60" s="45"/>
      <c r="CI60" s="45"/>
      <c r="CJ60" s="45"/>
      <c r="CK60" s="45"/>
      <c r="CM60" s="19" t="s">
        <v>473</v>
      </c>
      <c r="CN60" s="45"/>
      <c r="CO60" s="45"/>
      <c r="CP60" s="45"/>
      <c r="CQ60" s="45"/>
      <c r="CR60" s="45"/>
      <c r="CS60" s="45"/>
      <c r="CT60" s="45"/>
      <c r="CU60" s="45"/>
      <c r="CW60" s="93"/>
    </row>
    <row r="61" spans="1:102" ht="15" customHeight="1" x14ac:dyDescent="0.3">
      <c r="B61" s="250" t="s">
        <v>169</v>
      </c>
      <c r="C61" s="250"/>
      <c r="D61" s="250"/>
      <c r="E61" s="250"/>
      <c r="F61" s="252"/>
      <c r="G61" s="57"/>
      <c r="H61" s="12" t="str">
        <f>IF($D$25="mm","mm","in")</f>
        <v>mm</v>
      </c>
      <c r="I61" s="163" t="str">
        <f>IF(G61="","BLANK",IF($D$25="mm",IF(AND(G60="Steel",G61&gt;=1.5),"EQ",IF(AND(G60="Aluminum",G61&gt;=4),"EQ","REJECT")),
IF(AND(G60="Steel",G61&gt;=0.06),"EQ",IF(AND(G60="Aluminum",G61&gt;=0.157),"EQ","REJECT"))))</f>
        <v>BLANK</v>
      </c>
      <c r="U61" s="269" t="s">
        <v>35</v>
      </c>
      <c r="V61" s="206" t="s">
        <v>385</v>
      </c>
      <c r="W61" s="207"/>
      <c r="X61" s="207"/>
      <c r="Y61" s="207"/>
      <c r="Z61" s="207"/>
      <c r="AA61" s="207"/>
      <c r="AB61" s="208"/>
      <c r="AC61" s="173"/>
      <c r="AE61" s="19" t="s">
        <v>339</v>
      </c>
      <c r="AF61" s="19"/>
      <c r="AG61" s="19"/>
      <c r="AH61" s="19"/>
      <c r="AI61" s="19"/>
      <c r="AJ61" s="19"/>
      <c r="AK61" s="19"/>
      <c r="AL61" s="19"/>
      <c r="AM61" s="19"/>
      <c r="AN61" s="1"/>
      <c r="AO61" s="19" t="s">
        <v>357</v>
      </c>
      <c r="AY61" s="19" t="s">
        <v>66</v>
      </c>
      <c r="BI61" s="19" t="s">
        <v>378</v>
      </c>
      <c r="BS61" s="45"/>
      <c r="BT61" s="45"/>
      <c r="BU61" s="45"/>
      <c r="BV61" s="45"/>
      <c r="BW61" s="45"/>
      <c r="BX61" s="45"/>
      <c r="BY61" s="45"/>
      <c r="BZ61" s="45"/>
      <c r="CA61" s="45"/>
      <c r="CC61" s="45"/>
      <c r="CD61" s="45"/>
      <c r="CE61" s="45"/>
      <c r="CF61" s="45"/>
      <c r="CG61" s="45"/>
      <c r="CH61" s="45"/>
      <c r="CI61" s="45"/>
      <c r="CJ61" s="45"/>
      <c r="CK61" s="45"/>
      <c r="CM61" s="19" t="s">
        <v>459</v>
      </c>
      <c r="CN61" s="45"/>
      <c r="CO61" s="45"/>
      <c r="CP61" s="45"/>
      <c r="CQ61" s="45"/>
      <c r="CR61" s="45"/>
      <c r="CS61" s="45"/>
      <c r="CT61" s="45"/>
      <c r="CU61" s="45"/>
      <c r="CW61" s="205" t="s">
        <v>420</v>
      </c>
    </row>
    <row r="62" spans="1:102" ht="15" customHeight="1" x14ac:dyDescent="0.3">
      <c r="K62" s="236" t="str">
        <f>IF(COUNTIF(S63:S70,"BLANK"),"BLANK",IF(OR(SUMPRODUCT(--ISERROR(S63:S70))&gt;0,COUNTIF(S63:S70,"REJECT")),"REJECT",IF(COUNTIF(S63:S70,"CHECK"),"CHECK","EQ")))</f>
        <v>EQ</v>
      </c>
      <c r="L62" s="236"/>
      <c r="M62" s="236"/>
      <c r="N62" s="236"/>
      <c r="O62" s="236"/>
      <c r="P62" s="236"/>
      <c r="Q62" s="236"/>
      <c r="R62" s="236"/>
      <c r="S62" s="236"/>
      <c r="U62" s="269"/>
      <c r="V62" s="209" t="s">
        <v>386</v>
      </c>
      <c r="W62" s="210"/>
      <c r="X62" s="210"/>
      <c r="Y62" s="210"/>
      <c r="Z62" s="210"/>
      <c r="AA62" s="210"/>
      <c r="AB62" s="211"/>
      <c r="AC62" s="173"/>
      <c r="AE62" s="19" t="s">
        <v>340</v>
      </c>
      <c r="AF62" s="19"/>
      <c r="AG62" s="19"/>
      <c r="AH62" s="19"/>
      <c r="AI62" s="19"/>
      <c r="AJ62" s="19"/>
      <c r="AK62" s="19"/>
      <c r="AL62" s="19"/>
      <c r="AM62" s="19"/>
      <c r="AN62" s="1"/>
      <c r="AO62" s="19" t="s">
        <v>358</v>
      </c>
      <c r="AY62" s="19" t="s">
        <v>54</v>
      </c>
      <c r="BI62" s="59" t="s">
        <v>379</v>
      </c>
      <c r="BS62" s="19" t="s">
        <v>470</v>
      </c>
      <c r="BT62" s="45"/>
      <c r="BU62" s="45"/>
      <c r="BV62" s="45"/>
      <c r="BW62" s="45"/>
      <c r="BX62" s="45"/>
      <c r="BY62" s="45"/>
      <c r="BZ62" s="45"/>
      <c r="CA62" s="45"/>
      <c r="CC62" s="19" t="s">
        <v>471</v>
      </c>
      <c r="CD62" s="45"/>
      <c r="CE62" s="45"/>
      <c r="CF62" s="45"/>
      <c r="CG62" s="45"/>
      <c r="CH62" s="45"/>
      <c r="CI62" s="45"/>
      <c r="CJ62" s="45"/>
      <c r="CK62" s="45"/>
      <c r="CM62" s="19" t="s">
        <v>461</v>
      </c>
      <c r="CN62" s="45"/>
      <c r="CO62" s="45"/>
      <c r="CP62" s="45"/>
      <c r="CQ62" s="45"/>
      <c r="CR62" s="45"/>
      <c r="CS62" s="45"/>
      <c r="CT62" s="45"/>
      <c r="CU62" s="45"/>
      <c r="CW62" s="93" t="s">
        <v>441</v>
      </c>
    </row>
    <row r="63" spans="1:102" ht="15" customHeight="1" thickBot="1" x14ac:dyDescent="0.35">
      <c r="A63" s="236" t="str">
        <f>IF(COUNTIF(I64:I67,"BLANK"),"BLANK",IF(OR(SUMPRODUCT(--ISERROR(I64:I67))&gt;0,COUNTIF(I64:I67,"REJECT")),"REJECT",IF(COUNTIF(I64:I67,"CHECK"),"CHECK","EQ")))</f>
        <v>BLANK</v>
      </c>
      <c r="B63" s="236"/>
      <c r="C63" s="236"/>
      <c r="D63" s="236"/>
      <c r="E63" s="236"/>
      <c r="F63" s="236"/>
      <c r="G63" s="236"/>
      <c r="H63" s="236"/>
      <c r="I63" s="236"/>
      <c r="K63" s="200" t="s">
        <v>313</v>
      </c>
      <c r="L63" s="191" t="s">
        <v>28</v>
      </c>
      <c r="M63" s="163"/>
      <c r="N63" s="163"/>
      <c r="O63" s="163"/>
      <c r="P63" s="200" t="s">
        <v>304</v>
      </c>
      <c r="Q63" s="259" t="s">
        <v>305</v>
      </c>
      <c r="R63" s="259"/>
      <c r="S63" s="163" t="s">
        <v>89</v>
      </c>
      <c r="U63" s="269" t="s">
        <v>36</v>
      </c>
      <c r="V63" s="206" t="s">
        <v>388</v>
      </c>
      <c r="W63" s="207"/>
      <c r="X63" s="207"/>
      <c r="Y63" s="207"/>
      <c r="Z63" s="207"/>
      <c r="AA63" s="207"/>
      <c r="AB63" s="208"/>
      <c r="AC63" s="173"/>
      <c r="AE63" s="19" t="s">
        <v>488</v>
      </c>
      <c r="AF63" s="19"/>
      <c r="AG63" s="19"/>
      <c r="AH63" s="19"/>
      <c r="AI63" s="19"/>
      <c r="AJ63" s="19"/>
      <c r="AK63" s="19"/>
      <c r="AL63" s="19"/>
      <c r="AM63" s="19"/>
      <c r="AN63" s="1"/>
      <c r="AO63" s="19"/>
      <c r="AY63" s="19"/>
      <c r="BI63" s="12" t="s">
        <v>401</v>
      </c>
      <c r="BS63" s="19" t="s">
        <v>455</v>
      </c>
      <c r="BT63" s="45"/>
      <c r="BU63" s="45"/>
      <c r="BV63" s="45"/>
      <c r="BW63" s="45"/>
      <c r="BX63" s="45"/>
      <c r="BY63" s="45"/>
      <c r="BZ63" s="45"/>
      <c r="CA63" s="45"/>
      <c r="CC63" s="19" t="s">
        <v>456</v>
      </c>
      <c r="CD63" s="45"/>
      <c r="CE63" s="45"/>
      <c r="CF63" s="45"/>
      <c r="CG63" s="45"/>
      <c r="CH63" s="45"/>
      <c r="CI63" s="45"/>
      <c r="CJ63" s="45"/>
      <c r="CK63" s="45"/>
      <c r="CM63" s="19" t="s">
        <v>462</v>
      </c>
      <c r="CN63" s="45"/>
      <c r="CO63" s="45"/>
      <c r="CP63" s="45"/>
      <c r="CQ63" s="45"/>
      <c r="CR63" s="45"/>
      <c r="CS63" s="45"/>
      <c r="CT63" s="45"/>
      <c r="CU63" s="45"/>
      <c r="CW63" s="93" t="s">
        <v>421</v>
      </c>
    </row>
    <row r="64" spans="1:102" ht="15" customHeight="1" thickBot="1" x14ac:dyDescent="0.35">
      <c r="A64" s="200" t="s">
        <v>303</v>
      </c>
      <c r="B64" s="250" t="s">
        <v>22</v>
      </c>
      <c r="C64" s="250"/>
      <c r="D64" s="250"/>
      <c r="E64" s="250"/>
      <c r="F64" s="251"/>
      <c r="G64" s="148" t="s">
        <v>565</v>
      </c>
      <c r="I64" s="163" t="str">
        <f>IF(G64="","BLANK",IF(AND(G64="Welded",NOT(G60="Steel")),"REJECT","EQ"))</f>
        <v>EQ</v>
      </c>
      <c r="K64" s="200" t="s">
        <v>492</v>
      </c>
      <c r="L64" s="12" t="str">
        <f>IF($D$25="mm",
"Example: 25mm x 2.5mm round",
"Example: 1.0in x 0.095in round")</f>
        <v>Example: 25mm x 2.5mm round</v>
      </c>
      <c r="M64" s="212"/>
      <c r="N64" s="212"/>
      <c r="O64" s="212"/>
      <c r="P64" s="163" t="s">
        <v>335</v>
      </c>
      <c r="Q64" s="148" t="s">
        <v>3</v>
      </c>
      <c r="S64" s="163" t="str">
        <f>IF(Q64="","BLANK","EQ")</f>
        <v>EQ</v>
      </c>
      <c r="U64" s="269"/>
      <c r="V64" s="209" t="s">
        <v>386</v>
      </c>
      <c r="W64" s="210"/>
      <c r="X64" s="210"/>
      <c r="Y64" s="210"/>
      <c r="Z64" s="210"/>
      <c r="AA64" s="210"/>
      <c r="AB64" s="211"/>
      <c r="AC64" s="173"/>
      <c r="AE64" s="19"/>
      <c r="AF64" s="19"/>
      <c r="AG64" s="19"/>
      <c r="AH64" s="19"/>
      <c r="AI64" s="19"/>
      <c r="AJ64" s="19"/>
      <c r="AK64" s="19"/>
      <c r="AL64" s="19"/>
      <c r="AM64" s="19"/>
      <c r="AN64" s="1"/>
      <c r="AO64" s="19" t="s">
        <v>359</v>
      </c>
      <c r="AY64" s="19" t="s">
        <v>370</v>
      </c>
      <c r="BI64" s="12" t="s">
        <v>403</v>
      </c>
      <c r="BS64" s="19" t="s">
        <v>457</v>
      </c>
      <c r="BT64" s="45"/>
      <c r="BU64" s="45"/>
      <c r="BV64" s="45"/>
      <c r="BW64" s="45"/>
      <c r="BX64" s="45"/>
      <c r="BY64" s="45"/>
      <c r="BZ64" s="45"/>
      <c r="CA64" s="45"/>
      <c r="CC64" s="19" t="s">
        <v>458</v>
      </c>
      <c r="CD64" s="45"/>
      <c r="CE64" s="45"/>
      <c r="CF64" s="45"/>
      <c r="CG64" s="45"/>
      <c r="CH64" s="45"/>
      <c r="CI64" s="45"/>
      <c r="CJ64" s="45"/>
      <c r="CK64" s="45"/>
      <c r="CN64" s="45"/>
      <c r="CO64" s="45"/>
      <c r="CP64" s="45"/>
      <c r="CQ64" s="45"/>
      <c r="CR64" s="45"/>
      <c r="CS64" s="45"/>
      <c r="CT64" s="45"/>
      <c r="CU64" s="45"/>
      <c r="CW64" s="93"/>
    </row>
    <row r="65" spans="1:111" ht="15" customHeight="1" x14ac:dyDescent="0.3">
      <c r="A65" s="200"/>
      <c r="B65" s="236" t="str">
        <f>IF(G64="Welded","AI plate must at least reach the centerline of Front Bulkhead tubes.","AI plate must match entire Front Bulkhead perimeter.")</f>
        <v>AI plate must at least reach the centerline of Front Bulkhead tubes.</v>
      </c>
      <c r="C65" s="236"/>
      <c r="D65" s="236"/>
      <c r="E65" s="236"/>
      <c r="F65" s="236"/>
      <c r="G65" s="236"/>
      <c r="H65" s="236"/>
      <c r="I65" s="163" t="s">
        <v>89</v>
      </c>
      <c r="K65" s="200" t="s">
        <v>489</v>
      </c>
      <c r="L65" s="12"/>
      <c r="M65" s="212"/>
      <c r="N65" s="212"/>
      <c r="O65" s="212" t="s">
        <v>23</v>
      </c>
      <c r="P65" s="213">
        <f>IF($D$25="mm",2,0.079)</f>
        <v>2</v>
      </c>
      <c r="Q65" s="50">
        <v>2</v>
      </c>
      <c r="R65" s="12" t="str">
        <f>IF($D$25="mm","mm","in")</f>
        <v>mm</v>
      </c>
      <c r="S65" s="163" t="str">
        <f>IF(Q65="","BLANK",IF(Q65&lt;P65,"REJECT","EQ"))</f>
        <v>EQ</v>
      </c>
      <c r="T65" s="1"/>
      <c r="U65" s="269" t="s">
        <v>37</v>
      </c>
      <c r="V65" s="206" t="s">
        <v>388</v>
      </c>
      <c r="W65" s="207"/>
      <c r="X65" s="207"/>
      <c r="Y65" s="207"/>
      <c r="Z65" s="207"/>
      <c r="AA65" s="207"/>
      <c r="AB65" s="208"/>
      <c r="AC65" s="173"/>
      <c r="AE65" s="46" t="s">
        <v>404</v>
      </c>
      <c r="AF65" s="19" t="s">
        <v>405</v>
      </c>
      <c r="AG65" s="19"/>
      <c r="AH65" s="19"/>
      <c r="AI65" s="19"/>
      <c r="AJ65" s="19"/>
      <c r="AK65" s="19"/>
      <c r="AL65" s="19"/>
      <c r="AM65" s="19"/>
      <c r="AN65" s="1"/>
      <c r="AO65" s="19" t="s">
        <v>360</v>
      </c>
      <c r="AY65" s="46" t="s">
        <v>371</v>
      </c>
      <c r="AZ65" s="191"/>
      <c r="BA65" s="191"/>
      <c r="BB65" s="191"/>
      <c r="BC65" s="191"/>
      <c r="BD65" s="191"/>
      <c r="BE65" s="191"/>
      <c r="BF65" s="191"/>
      <c r="BG65" s="191"/>
      <c r="BI65" s="59"/>
      <c r="BS65" s="19" t="s">
        <v>460</v>
      </c>
      <c r="BT65" s="45"/>
      <c r="BU65" s="45"/>
      <c r="BV65" s="45"/>
      <c r="BW65" s="45"/>
      <c r="BX65" s="45"/>
      <c r="BY65" s="45"/>
      <c r="BZ65" s="45"/>
      <c r="CA65" s="45"/>
      <c r="CC65" s="19" t="s">
        <v>460</v>
      </c>
      <c r="CD65" s="45"/>
      <c r="CE65" s="45"/>
      <c r="CF65" s="45"/>
      <c r="CG65" s="45"/>
      <c r="CH65" s="45"/>
      <c r="CI65" s="45"/>
      <c r="CJ65" s="45"/>
      <c r="CK65" s="45"/>
      <c r="CL65" s="52"/>
      <c r="CM65" s="19" t="s">
        <v>474</v>
      </c>
      <c r="CN65" s="45"/>
      <c r="CO65" s="45"/>
      <c r="CP65" s="45"/>
      <c r="CQ65" s="45"/>
      <c r="CR65" s="45"/>
      <c r="CS65" s="45"/>
      <c r="CT65" s="45"/>
      <c r="CU65" s="45"/>
      <c r="CW65" s="205" t="s">
        <v>422</v>
      </c>
    </row>
    <row r="66" spans="1:111" ht="15" customHeight="1" x14ac:dyDescent="0.3">
      <c r="B66" s="250" t="str">
        <f>IF(G64="Welded","At least half the perimeter must be welded:",IF($D$25="mm","Number of 8mm critical fasteners (8 required):","Number of 5/16in critical fasteners (8 required):"))</f>
        <v>At least half the perimeter must be welded:</v>
      </c>
      <c r="C66" s="250"/>
      <c r="D66" s="250"/>
      <c r="E66" s="250"/>
      <c r="F66" s="252"/>
      <c r="G66" s="50"/>
      <c r="H66" s="12" t="str">
        <f>IF(G64="Welded","%","")</f>
        <v>%</v>
      </c>
      <c r="I66" s="163" t="str">
        <f>IF(G66="","BLANK",IF(AND(G$64="Welded",G66&gt;=50),"EQ",IF(AND(G$64="Bolted",G66&gt;=8),"EQ","REJECT")))</f>
        <v>BLANK</v>
      </c>
      <c r="J66" s="1"/>
      <c r="K66" s="12"/>
      <c r="L66" s="12"/>
      <c r="M66" s="212"/>
      <c r="N66" s="212"/>
      <c r="O66" s="212" t="str">
        <f>IF(Q64="Round","Outer Diameter (OD):","Square side:")</f>
        <v>Outer Diameter (OD):</v>
      </c>
      <c r="P66" s="213">
        <f>IF($D$25="mm",25,0.984)</f>
        <v>25</v>
      </c>
      <c r="Q66" s="50">
        <v>30</v>
      </c>
      <c r="R66" s="12" t="str">
        <f>IF($D$25="mm","mm","in")</f>
        <v>mm</v>
      </c>
      <c r="S66" s="163" t="str">
        <f t="shared" ref="S66:S70" si="0">IF(Q66="","BLANK",IF(Q66&lt;P66,"REJECT","EQ"))</f>
        <v>EQ</v>
      </c>
      <c r="T66" s="1"/>
      <c r="U66" s="269"/>
      <c r="V66" s="214" t="s">
        <v>387</v>
      </c>
      <c r="W66" s="173"/>
      <c r="X66" s="173"/>
      <c r="Y66" s="173"/>
      <c r="Z66" s="173"/>
      <c r="AA66" s="173"/>
      <c r="AB66" s="215"/>
      <c r="AC66" s="173"/>
      <c r="AE66" s="12" t="s">
        <v>406</v>
      </c>
      <c r="AF66" s="19"/>
      <c r="AG66" s="19"/>
      <c r="AH66" s="19"/>
      <c r="AI66" s="19"/>
      <c r="AJ66" s="19"/>
      <c r="AK66" s="19"/>
      <c r="AL66" s="19"/>
      <c r="AM66" s="19"/>
      <c r="AN66" s="1"/>
      <c r="AO66" s="19" t="s">
        <v>361</v>
      </c>
      <c r="AY66" s="19" t="s">
        <v>372</v>
      </c>
      <c r="AZ66" s="191"/>
      <c r="BA66" s="191"/>
      <c r="BB66" s="191"/>
      <c r="BC66" s="191"/>
      <c r="BD66" s="191"/>
      <c r="BE66" s="191"/>
      <c r="BF66" s="191"/>
      <c r="BG66" s="191"/>
      <c r="BI66" s="47" t="s">
        <v>395</v>
      </c>
      <c r="BJ66" s="12" t="s">
        <v>479</v>
      </c>
      <c r="BT66" s="45"/>
      <c r="BU66" s="45"/>
      <c r="BV66" s="45"/>
      <c r="BW66" s="45"/>
      <c r="BX66" s="45"/>
      <c r="BY66" s="45"/>
      <c r="BZ66" s="45"/>
      <c r="CA66" s="45"/>
      <c r="CC66" s="286"/>
      <c r="CD66" s="286"/>
      <c r="CE66" s="286"/>
      <c r="CF66" s="286"/>
      <c r="CG66" s="286"/>
      <c r="CH66" s="286"/>
      <c r="CI66" s="286"/>
      <c r="CJ66" s="286"/>
      <c r="CK66" s="286"/>
      <c r="CL66" s="52"/>
      <c r="CM66" s="19" t="s">
        <v>456</v>
      </c>
      <c r="CN66" s="45"/>
      <c r="CO66" s="45"/>
      <c r="CP66" s="45"/>
      <c r="CQ66" s="45"/>
      <c r="CR66" s="45"/>
      <c r="CS66" s="45"/>
      <c r="CT66" s="45"/>
      <c r="CU66" s="45"/>
      <c r="CW66" s="93" t="s">
        <v>435</v>
      </c>
    </row>
    <row r="67" spans="1:111" ht="15" customHeight="1" x14ac:dyDescent="0.3">
      <c r="B67" s="250" t="str">
        <f>IF(G64="Welded","Shortest weld &gt;= 25mm (1in):","Minimum distance between bolt centers:")</f>
        <v>Shortest weld &gt;= 25mm (1in):</v>
      </c>
      <c r="C67" s="250"/>
      <c r="D67" s="250"/>
      <c r="E67" s="250"/>
      <c r="F67" s="252"/>
      <c r="G67" s="50"/>
      <c r="H67" s="12" t="str">
        <f>IF($D$25="mm","mm","in")</f>
        <v>mm</v>
      </c>
      <c r="I67" s="163" t="str">
        <f>IF(G67="","BLANK",IF(AND(G$64="Welded",OR(AND($D$25="mm",G67&gt;=25),AND($D$25="Inch",G67&gt;=1))),"EQ",IF(AND(G$64="Bolted",OR(AND($D$25="mm",G67&gt;=50),AND($D$25="Inch",G67&gt;=2))),"EQ","REJECT")))</f>
        <v>BLANK</v>
      </c>
      <c r="K67" s="12"/>
      <c r="L67" s="12"/>
      <c r="M67" s="212"/>
      <c r="N67" s="212"/>
      <c r="O67" s="212" t="s">
        <v>23</v>
      </c>
      <c r="P67" s="216">
        <v>2</v>
      </c>
      <c r="Q67" s="163">
        <f>IF(Q65="","",IF($D$25="mm",Q65,ROUND(Q65*25.4,1)))</f>
        <v>2</v>
      </c>
      <c r="R67" s="12" t="s">
        <v>202</v>
      </c>
      <c r="S67" s="163" t="str">
        <f t="shared" si="0"/>
        <v>EQ</v>
      </c>
      <c r="U67" s="269"/>
      <c r="V67" s="209" t="s">
        <v>389</v>
      </c>
      <c r="W67" s="210"/>
      <c r="X67" s="210"/>
      <c r="Y67" s="210"/>
      <c r="Z67" s="210"/>
      <c r="AA67" s="210"/>
      <c r="AB67" s="211"/>
      <c r="AC67" s="173"/>
      <c r="AE67" s="19"/>
      <c r="AF67" s="19"/>
      <c r="AG67" s="19"/>
      <c r="AH67" s="19"/>
      <c r="AI67" s="19"/>
      <c r="AJ67" s="19"/>
      <c r="AK67" s="19"/>
      <c r="AL67" s="19"/>
      <c r="AM67" s="19"/>
      <c r="AO67" s="19" t="s">
        <v>362</v>
      </c>
      <c r="AY67" s="46" t="s">
        <v>373</v>
      </c>
      <c r="AZ67" s="191"/>
      <c r="BA67" s="191"/>
      <c r="BB67" s="191"/>
      <c r="BC67" s="191"/>
      <c r="BD67" s="191"/>
      <c r="BE67" s="191"/>
      <c r="BF67" s="191"/>
      <c r="BG67" s="191"/>
      <c r="BI67" s="47" t="s">
        <v>480</v>
      </c>
      <c r="BJ67" s="12" t="s">
        <v>481</v>
      </c>
      <c r="BS67" s="236" t="str">
        <f>IF(COUNTIF(CA68:CA75,"BLANK"),"BLANK",IF(OR(SUMPRODUCT(--ISERROR(CA68:CA75))&gt;0,COUNTIF(CA68:CA75,"REJECT")),"REJECT",IF(COUNTIF(CA68:CA75,"CHECK"),"CHECK","EQ")))</f>
        <v>BLANK</v>
      </c>
      <c r="BT67" s="236"/>
      <c r="BU67" s="236"/>
      <c r="BV67" s="236"/>
      <c r="BW67" s="236"/>
      <c r="BX67" s="236"/>
      <c r="BY67" s="236"/>
      <c r="BZ67" s="236"/>
      <c r="CA67" s="236"/>
      <c r="CC67" s="236" t="str">
        <f>IF(COUNTIF(CK68:CK75,"BLANK"),"BLANK",IF(OR(SUMPRODUCT(--ISERROR(CK68:CK75))&gt;0,COUNTIF(CK68:CK75,"REJECT")),"REJECT",IF(COUNTIF(CK68:CK75,"CHECK"),"CHECK","EQ")))</f>
        <v>BLANK</v>
      </c>
      <c r="CD67" s="236"/>
      <c r="CE67" s="236"/>
      <c r="CF67" s="236"/>
      <c r="CG67" s="236"/>
      <c r="CH67" s="236"/>
      <c r="CI67" s="236"/>
      <c r="CJ67" s="236"/>
      <c r="CK67" s="236"/>
      <c r="CM67" s="19" t="s">
        <v>458</v>
      </c>
      <c r="CN67" s="45"/>
      <c r="CO67" s="45"/>
      <c r="CP67" s="45"/>
      <c r="CQ67" s="45"/>
      <c r="CR67" s="45"/>
      <c r="CS67" s="45"/>
      <c r="CT67" s="45"/>
      <c r="CU67" s="45"/>
      <c r="CW67" s="12" t="s">
        <v>442</v>
      </c>
    </row>
    <row r="68" spans="1:111" ht="15" customHeight="1" thickBot="1" x14ac:dyDescent="0.35">
      <c r="K68" s="12"/>
      <c r="L68" s="12"/>
      <c r="M68" s="212"/>
      <c r="N68" s="212"/>
      <c r="O68" s="212" t="str">
        <f>IF(Q64="Round","Outer Diameter (OD):","Square side:")</f>
        <v>Outer Diameter (OD):</v>
      </c>
      <c r="P68" s="216">
        <v>25</v>
      </c>
      <c r="Q68" s="163">
        <f>IF(Q66="","",IF($D$25="mm",Q66,ROUND(Q66*25.4,1)))</f>
        <v>30</v>
      </c>
      <c r="R68" s="12" t="s">
        <v>202</v>
      </c>
      <c r="S68" s="163" t="str">
        <f t="shared" si="0"/>
        <v>EQ</v>
      </c>
      <c r="U68" s="19" t="s">
        <v>325</v>
      </c>
      <c r="V68" s="19"/>
      <c r="W68" s="19"/>
      <c r="X68" s="19"/>
      <c r="Y68" s="19"/>
      <c r="Z68" s="19"/>
      <c r="AA68" s="19"/>
      <c r="AB68" s="19"/>
      <c r="AC68" s="19"/>
      <c r="AD68" s="19"/>
      <c r="AE68" s="55"/>
      <c r="AF68" s="55"/>
      <c r="AG68" s="55"/>
      <c r="AH68" s="55"/>
      <c r="AI68" s="25" t="s">
        <v>344</v>
      </c>
      <c r="AJ68" s="55"/>
      <c r="AK68" s="55"/>
      <c r="AL68" s="55"/>
      <c r="AM68" s="55"/>
      <c r="AO68" s="19"/>
      <c r="AY68" s="19" t="s">
        <v>374</v>
      </c>
      <c r="AZ68" s="191"/>
      <c r="BA68" s="191"/>
      <c r="BB68" s="191"/>
      <c r="BC68" s="191"/>
      <c r="BD68" s="191"/>
      <c r="BE68" s="191"/>
      <c r="BF68" s="191"/>
      <c r="BG68" s="191"/>
      <c r="BI68" s="47" t="s">
        <v>539</v>
      </c>
      <c r="BJ68" s="12" t="s">
        <v>482</v>
      </c>
      <c r="BK68" s="173"/>
      <c r="BL68" s="173"/>
      <c r="BM68" s="173"/>
      <c r="BN68" s="173"/>
      <c r="BO68" s="173"/>
      <c r="BP68" s="173"/>
      <c r="BQ68" s="173"/>
      <c r="BS68" s="200" t="s">
        <v>363</v>
      </c>
      <c r="BT68" s="46" t="s">
        <v>544</v>
      </c>
      <c r="BU68" s="163"/>
      <c r="BV68" s="163"/>
      <c r="BW68" s="163"/>
      <c r="BX68" s="200" t="s">
        <v>304</v>
      </c>
      <c r="BY68" s="259" t="s">
        <v>305</v>
      </c>
      <c r="BZ68" s="259"/>
      <c r="CA68" s="163" t="s">
        <v>89</v>
      </c>
      <c r="CC68" s="200" t="s">
        <v>368</v>
      </c>
      <c r="CD68" s="46" t="s">
        <v>545</v>
      </c>
      <c r="CE68" s="163"/>
      <c r="CF68" s="163"/>
      <c r="CG68" s="163"/>
      <c r="CH68" s="200" t="s">
        <v>304</v>
      </c>
      <c r="CI68" s="259" t="s">
        <v>305</v>
      </c>
      <c r="CJ68" s="259"/>
      <c r="CK68" s="163" t="s">
        <v>89</v>
      </c>
      <c r="CM68" s="19" t="s">
        <v>460</v>
      </c>
      <c r="CN68" s="45"/>
      <c r="CO68" s="45"/>
      <c r="CP68" s="45"/>
      <c r="CQ68" s="45"/>
      <c r="CR68" s="45"/>
      <c r="CS68" s="45"/>
      <c r="CT68" s="45"/>
      <c r="CU68" s="45"/>
      <c r="CW68" s="93" t="s">
        <v>424</v>
      </c>
    </row>
    <row r="69" spans="1:111" ht="15" customHeight="1" thickBot="1" x14ac:dyDescent="0.35">
      <c r="A69" s="236" t="str">
        <f>IF(COUNTIF(I70:I87,"BLANK"),"BLANK",IF(OR(SUMPRODUCT(--ISERROR(I70:I87))&gt;0,COUNTIF(I70:I87,"REJECT")),"REJECT",IF(COUNTIF(I70:I87,"CHECK"),"CHECK","EQ")))</f>
        <v>EQ</v>
      </c>
      <c r="B69" s="236"/>
      <c r="C69" s="236"/>
      <c r="D69" s="236"/>
      <c r="E69" s="236"/>
      <c r="F69" s="236"/>
      <c r="G69" s="236"/>
      <c r="H69" s="236"/>
      <c r="I69" s="236"/>
      <c r="K69" s="12"/>
      <c r="L69" s="212"/>
      <c r="M69" s="212"/>
      <c r="N69" s="212"/>
      <c r="O69" s="49" t="s">
        <v>310</v>
      </c>
      <c r="P69" s="163">
        <v>173</v>
      </c>
      <c r="Q69" s="163">
        <f>IF(OR(Q65="",Q66=""),"",
IF(Q64="Round",
ROUND(PI()*((Q68/2)^2-((Q68-2*Q67)/2)^2),0),
ROUND(Q68^2-(Q68-2*Q67)^2,0)))</f>
        <v>176</v>
      </c>
      <c r="R69" s="12" t="s">
        <v>307</v>
      </c>
      <c r="S69" s="163" t="str">
        <f t="shared" si="0"/>
        <v>EQ</v>
      </c>
      <c r="U69" s="19" t="s">
        <v>326</v>
      </c>
      <c r="V69" s="19"/>
      <c r="W69" s="19"/>
      <c r="X69" s="19"/>
      <c r="Y69" s="19"/>
      <c r="Z69" s="19"/>
      <c r="AA69" s="19"/>
      <c r="AB69" s="19"/>
      <c r="AC69" s="19"/>
      <c r="AD69" s="19"/>
      <c r="AE69" s="55"/>
      <c r="AF69" s="55"/>
      <c r="AG69" s="55"/>
      <c r="AH69" s="55"/>
      <c r="AI69" s="25" t="s">
        <v>345</v>
      </c>
      <c r="AJ69" s="55"/>
      <c r="AK69" s="55"/>
      <c r="AL69" s="55"/>
      <c r="AM69" s="55"/>
      <c r="AO69" s="12" t="s">
        <v>407</v>
      </c>
      <c r="AY69" s="19" t="s">
        <v>375</v>
      </c>
      <c r="AZ69" s="173"/>
      <c r="BA69" s="173"/>
      <c r="BB69" s="173"/>
      <c r="BC69" s="173"/>
      <c r="BD69" s="173"/>
      <c r="BE69" s="173"/>
      <c r="BF69" s="173"/>
      <c r="BG69" s="173"/>
      <c r="BI69" s="47"/>
      <c r="BJ69" s="12" t="s">
        <v>540</v>
      </c>
      <c r="BK69" s="173"/>
      <c r="BL69" s="173"/>
      <c r="BM69" s="173"/>
      <c r="BN69" s="173"/>
      <c r="BO69" s="173"/>
      <c r="BP69" s="173"/>
      <c r="BQ69" s="173"/>
      <c r="BS69" s="200" t="s">
        <v>492</v>
      </c>
      <c r="BT69" s="12" t="str">
        <f>IF($D$25="mm",
"Example: 25.4mm x 1.6mm round",
"Example: 1.0in x 0.065in round")</f>
        <v>Example: 25.4mm x 1.6mm round</v>
      </c>
      <c r="BU69" s="212"/>
      <c r="BV69" s="212"/>
      <c r="BW69" s="212"/>
      <c r="BX69" s="163" t="s">
        <v>333</v>
      </c>
      <c r="BY69" s="148" t="s">
        <v>3</v>
      </c>
      <c r="BZ69" s="12"/>
      <c r="CA69" s="163" t="str">
        <f>IF($G$8="IC - Internal Combustion","N/A",
IF(BY69="","BLANK","EQ"))</f>
        <v>EQ</v>
      </c>
      <c r="CC69" s="200" t="s">
        <v>492</v>
      </c>
      <c r="CD69" s="12" t="str">
        <f>IF($D$25="mm",
"Example: 25.4mm x 1.2mm round",
"Example: 1.0in x 0.047in round")</f>
        <v>Example: 25.4mm x 1.2mm round</v>
      </c>
      <c r="CE69" s="212"/>
      <c r="CF69" s="212"/>
      <c r="CG69" s="212"/>
      <c r="CH69" s="163" t="s">
        <v>334</v>
      </c>
      <c r="CI69" s="148" t="s">
        <v>3</v>
      </c>
      <c r="CJ69" s="12"/>
      <c r="CK69" s="163" t="str">
        <f>IF($G$8="IC - Internal Combustion","N/A",
IF(CI69="","BLANK","EQ"))</f>
        <v>EQ</v>
      </c>
      <c r="CM69" s="19" t="s">
        <v>463</v>
      </c>
      <c r="CN69" s="45"/>
      <c r="CO69" s="45"/>
      <c r="CP69" s="45"/>
      <c r="CQ69" s="45"/>
      <c r="CR69" s="45"/>
      <c r="CS69" s="45"/>
      <c r="CT69" s="45"/>
      <c r="CU69" s="45"/>
      <c r="CW69" s="93"/>
    </row>
    <row r="70" spans="1:111" ht="15" customHeight="1" thickBot="1" x14ac:dyDescent="0.35">
      <c r="A70" s="200" t="s">
        <v>306</v>
      </c>
      <c r="B70" s="191" t="s">
        <v>309</v>
      </c>
      <c r="C70" s="163"/>
      <c r="D70" s="163"/>
      <c r="E70" s="163"/>
      <c r="F70" s="200" t="s">
        <v>304</v>
      </c>
      <c r="G70" s="259" t="s">
        <v>305</v>
      </c>
      <c r="H70" s="259"/>
      <c r="I70" s="163" t="s">
        <v>89</v>
      </c>
      <c r="K70" s="12"/>
      <c r="L70" s="212"/>
      <c r="M70" s="212"/>
      <c r="N70" s="212"/>
      <c r="O70" s="49" t="s">
        <v>311</v>
      </c>
      <c r="P70" s="163">
        <v>11320</v>
      </c>
      <c r="Q70" s="163">
        <f>IF(OR(Q65="",Q66=""),"",
IF(Q64="Round",
ROUND((PI()/4)*((Q68/2)^4-((Q68-2*Q67)/2)^4),0),
ROUND((Q68^4-(Q68-2*Q67)^4)/12,0)))</f>
        <v>17329</v>
      </c>
      <c r="R70" s="12" t="s">
        <v>308</v>
      </c>
      <c r="S70" s="163" t="str">
        <f t="shared" si="0"/>
        <v>EQ</v>
      </c>
      <c r="U70" s="19" t="s">
        <v>336</v>
      </c>
      <c r="V70" s="19"/>
      <c r="W70" s="19"/>
      <c r="X70" s="19"/>
      <c r="Y70" s="19"/>
      <c r="Z70" s="19"/>
      <c r="AA70" s="19"/>
      <c r="AB70" s="19"/>
      <c r="AC70" s="19"/>
      <c r="AD70" s="19"/>
      <c r="AE70" s="272" t="str">
        <f>IF(COUNTIF(AM71:AM74,"BLANK"),"BLANK",IF(OR(SUMPRODUCT(--ISERROR(AM71:AM74))&gt;0,COUNTIF(AM71:AM74,"REJECT")),"REJECT",IF(COUNTIF(AM71:AM74,"CHECK"),"CHECK","EQ")))</f>
        <v>EQ</v>
      </c>
      <c r="AF70" s="272"/>
      <c r="AG70" s="272"/>
      <c r="AH70" s="272"/>
      <c r="AI70" s="272"/>
      <c r="AJ70" s="272"/>
      <c r="AK70" s="272"/>
      <c r="AL70" s="272"/>
      <c r="AM70" s="272"/>
      <c r="AY70" s="19" t="s">
        <v>490</v>
      </c>
      <c r="AZ70" s="173"/>
      <c r="BA70" s="173"/>
      <c r="BB70" s="173"/>
      <c r="BC70" s="173"/>
      <c r="BD70" s="173"/>
      <c r="BE70" s="173"/>
      <c r="BF70" s="173"/>
      <c r="BG70" s="173"/>
      <c r="BI70" s="47"/>
      <c r="BJ70" s="12" t="s">
        <v>541</v>
      </c>
      <c r="BK70" s="173"/>
      <c r="BL70" s="173"/>
      <c r="BM70" s="173"/>
      <c r="BN70" s="173"/>
      <c r="BO70" s="173"/>
      <c r="BP70" s="173"/>
      <c r="BQ70" s="173"/>
      <c r="BS70" s="200" t="s">
        <v>489</v>
      </c>
      <c r="BT70" s="12"/>
      <c r="BU70" s="212"/>
      <c r="BV70" s="212"/>
      <c r="BW70" s="212" t="s">
        <v>23</v>
      </c>
      <c r="BX70" s="213">
        <f>IF($D$25="mm",1.2,0.047)</f>
        <v>1.2</v>
      </c>
      <c r="BY70" s="50"/>
      <c r="BZ70" s="12" t="str">
        <f>IF($D$25="mm","mm","in")</f>
        <v>mm</v>
      </c>
      <c r="CA70" s="163" t="str">
        <f t="shared" ref="CA70:CA75" si="1">IF($G$8="IC - Internal Combustion","N/A",
IF(BY70="","BLANK",IF(BY70&lt;BX70,"REJECT","EQ")))</f>
        <v>BLANK</v>
      </c>
      <c r="CC70" s="200" t="s">
        <v>489</v>
      </c>
      <c r="CD70" s="12"/>
      <c r="CE70" s="212"/>
      <c r="CF70" s="212"/>
      <c r="CG70" s="212" t="s">
        <v>23</v>
      </c>
      <c r="CH70" s="213">
        <f>IF($D$25="mm",1.2,0.047)</f>
        <v>1.2</v>
      </c>
      <c r="CI70" s="50"/>
      <c r="CJ70" s="12" t="str">
        <f>IF($D$25="mm","mm","in")</f>
        <v>mm</v>
      </c>
      <c r="CK70" s="163" t="str">
        <f t="shared" ref="CK70:CK75" si="2">IF($G$8="IC - Internal Combustion","N/A",
IF(CI70="","BLANK",IF(CI70&lt;CH70,"REJECT","EQ")))</f>
        <v>BLANK</v>
      </c>
      <c r="CM70" s="19" t="s">
        <v>476</v>
      </c>
      <c r="CN70" s="45"/>
      <c r="CO70" s="45"/>
      <c r="CP70" s="45"/>
      <c r="CQ70" s="45"/>
      <c r="CR70" s="45"/>
      <c r="CS70" s="45"/>
      <c r="CT70" s="45"/>
      <c r="CU70" s="45"/>
      <c r="CW70" s="235" t="s">
        <v>436</v>
      </c>
      <c r="CX70" s="235"/>
      <c r="CY70" s="235"/>
      <c r="CZ70" s="217"/>
      <c r="DA70" s="217"/>
    </row>
    <row r="71" spans="1:111" ht="15" customHeight="1" thickBot="1" x14ac:dyDescent="0.35">
      <c r="A71" s="200" t="s">
        <v>492</v>
      </c>
      <c r="B71" s="12" t="str">
        <f>IF($D$25="mm",
"Example: 25.4mm x 1.6mm round",
"Example: 1.0in x 0.065in round")</f>
        <v>Example: 25.4mm x 1.6mm round</v>
      </c>
      <c r="C71" s="212"/>
      <c r="D71" s="212"/>
      <c r="E71" s="212"/>
      <c r="F71" s="163" t="s">
        <v>333</v>
      </c>
      <c r="G71" s="148" t="s">
        <v>3</v>
      </c>
      <c r="I71" s="163" t="str">
        <f>IF(G71="","BLANK","EQ")</f>
        <v>EQ</v>
      </c>
      <c r="K71" s="12"/>
      <c r="L71" s="12"/>
      <c r="U71" s="19" t="s">
        <v>488</v>
      </c>
      <c r="V71" s="19"/>
      <c r="W71" s="19"/>
      <c r="X71" s="19"/>
      <c r="Y71" s="19"/>
      <c r="Z71" s="19"/>
      <c r="AA71" s="19"/>
      <c r="AB71" s="19"/>
      <c r="AC71" s="19"/>
      <c r="AD71" s="19"/>
      <c r="AE71" s="25"/>
      <c r="AF71" s="25"/>
      <c r="AG71" s="25"/>
      <c r="AH71" s="25"/>
      <c r="AI71" s="25"/>
      <c r="AJ71" s="49" t="s">
        <v>346</v>
      </c>
      <c r="AK71" s="243" t="s">
        <v>347</v>
      </c>
      <c r="AL71" s="277"/>
      <c r="AM71" s="25" t="str">
        <f>IF(AJ45="Composite","N/A",IF(AK71="","BLANK","EQ"))</f>
        <v>EQ</v>
      </c>
      <c r="AO71" s="236" t="str">
        <f>IF(COUNTIF(AW72:AW79,"BLANK"),"BLANK",IF(OR(SUMPRODUCT(--ISERROR(AW72:AW79))&gt;0,COUNTIF(AW72:AW79,"REJECT")),"REJECT",IF(COUNTIF(AW72:AW79,"CHECK"),"CHECK","EQ")))</f>
        <v>EQ</v>
      </c>
      <c r="AP71" s="236"/>
      <c r="AQ71" s="236"/>
      <c r="AR71" s="236"/>
      <c r="AS71" s="236"/>
      <c r="AT71" s="236"/>
      <c r="AU71" s="236"/>
      <c r="AV71" s="236"/>
      <c r="AW71" s="236"/>
      <c r="AY71" s="19" t="s">
        <v>376</v>
      </c>
      <c r="BI71" s="47" t="s">
        <v>483</v>
      </c>
      <c r="BJ71" s="12" t="s">
        <v>485</v>
      </c>
      <c r="BK71" s="173"/>
      <c r="BL71" s="173"/>
      <c r="BM71" s="173"/>
      <c r="BN71" s="173"/>
      <c r="BO71" s="173"/>
      <c r="BP71" s="173"/>
      <c r="BQ71" s="173"/>
      <c r="BS71" s="12"/>
      <c r="BT71" s="12"/>
      <c r="BU71" s="212"/>
      <c r="BV71" s="212"/>
      <c r="BW71" s="212" t="str">
        <f>IF(BY69="Round","Outer Diameter (OD):","Square side:")</f>
        <v>Outer Diameter (OD):</v>
      </c>
      <c r="BX71" s="213">
        <f>IF($D$25="mm",25,0.984)</f>
        <v>25</v>
      </c>
      <c r="BY71" s="50"/>
      <c r="BZ71" s="12" t="str">
        <f>IF($D$25="mm","mm","in")</f>
        <v>mm</v>
      </c>
      <c r="CA71" s="163" t="str">
        <f t="shared" si="1"/>
        <v>BLANK</v>
      </c>
      <c r="CC71" s="12"/>
      <c r="CD71" s="12"/>
      <c r="CE71" s="212"/>
      <c r="CF71" s="212"/>
      <c r="CG71" s="212" t="str">
        <f>IF(CI69="Round","Outer Diameter (OD):","Square side:")</f>
        <v>Outer Diameter (OD):</v>
      </c>
      <c r="CH71" s="213">
        <f>IF($D$25="mm",25,0.984)</f>
        <v>25</v>
      </c>
      <c r="CI71" s="50"/>
      <c r="CJ71" s="12" t="str">
        <f>IF($D$25="mm","mm","in")</f>
        <v>mm</v>
      </c>
      <c r="CK71" s="163" t="str">
        <f t="shared" si="2"/>
        <v>BLANK</v>
      </c>
      <c r="CN71" s="45"/>
      <c r="CO71" s="45"/>
      <c r="CP71" s="45"/>
      <c r="CQ71" s="45"/>
      <c r="CR71" s="45"/>
      <c r="CS71" s="45"/>
      <c r="CT71" s="45"/>
      <c r="CU71" s="45"/>
      <c r="CW71" s="235"/>
      <c r="CX71" s="235"/>
      <c r="CY71" s="235"/>
      <c r="CZ71" s="217"/>
      <c r="DA71" s="217"/>
      <c r="DB71" s="173"/>
      <c r="DC71" s="173"/>
      <c r="DD71" s="173"/>
      <c r="DE71" s="173"/>
      <c r="DF71" s="173"/>
      <c r="DG71" s="173"/>
    </row>
    <row r="72" spans="1:111" ht="15" customHeight="1" x14ac:dyDescent="0.3">
      <c r="A72" s="200" t="s">
        <v>489</v>
      </c>
      <c r="C72" s="212"/>
      <c r="D72" s="212"/>
      <c r="E72" s="212" t="s">
        <v>23</v>
      </c>
      <c r="F72" s="213">
        <f>IF($D$25="mm",1.2,0.047)</f>
        <v>1.2</v>
      </c>
      <c r="G72" s="50">
        <v>1.5</v>
      </c>
      <c r="H72" s="12" t="str">
        <f>IF($D$25="mm","mm","in")</f>
        <v>mm</v>
      </c>
      <c r="I72" s="163" t="str">
        <f>IF(G72="","BLANK",IF(G72&lt;F72,"REJECT","EQ"))</f>
        <v>EQ</v>
      </c>
      <c r="K72" s="236" t="str">
        <f>IF(COUNTIF(S73,"BLANK"),"BLANK",IF(OR(SUMPRODUCT(--ISERROR(S73))&gt;0,COUNTIF(S73,"REJECT")),"REJECT",IF(COUNTIF(S73,"CHECK"),"CHECK","EQ")))</f>
        <v>BLANK</v>
      </c>
      <c r="L72" s="236"/>
      <c r="M72" s="236"/>
      <c r="N72" s="236"/>
      <c r="O72" s="236"/>
      <c r="P72" s="236"/>
      <c r="Q72" s="236"/>
      <c r="R72" s="236"/>
      <c r="S72" s="236"/>
      <c r="U72" s="19"/>
      <c r="V72" s="19"/>
      <c r="W72" s="19"/>
      <c r="X72" s="19"/>
      <c r="Y72" s="19"/>
      <c r="Z72" s="19"/>
      <c r="AA72" s="19"/>
      <c r="AB72" s="19"/>
      <c r="AC72" s="19"/>
      <c r="AD72" s="19"/>
      <c r="AE72" s="49"/>
      <c r="AF72" s="49"/>
      <c r="AG72" s="49"/>
      <c r="AH72" s="49"/>
      <c r="AI72" s="49"/>
      <c r="AJ72" s="49" t="str">
        <f>IF(AJ46="Composite","",
IF(AK71="2020 SIS Height",IF($D$25="mm","F.6.4.4.b - Lowest UpperSIS point above lowest LowerSIS point &gt;=240mm:","F.6.4.4.b - Lowest UpperSIS point above lowest LowerSIS point &gt;=9.45in:"),
IF($D$25="mm","2019 T.2.26.4 - Lowest point of Upper SIS tube at ride height &gt;=300mm:","2019 T.2.26.4 - Lowest point of Upper SIS tube at ride height &gt;=11.8in:")))</f>
        <v>F.6.4.4.b - Lowest UpperSIS point above lowest LowerSIS point &gt;=240mm:</v>
      </c>
      <c r="AK72" s="57">
        <v>264</v>
      </c>
      <c r="AL72" s="19" t="str">
        <f>IF($D$25="mm","mm","in")</f>
        <v>mm</v>
      </c>
      <c r="AM72" s="25" t="str">
        <f>IF(AJ46="Composite","N/A",IF(AK72="","BLANK",IF(AK71="2020 SIS Height",
IF(OR(AND($D$25="mm",AK72&gt;=240,AK72&lt;=320),
AND($D$25="Inch",AK72&gt;=9.45,AK72&lt;=12.6)),"EQ","REJECT"),
IF(OR(AND($D$25="mm",AK72&gt;=300,AK72&lt;=350),
AND($D$25="Inch",AK72&gt;=11.8,AK72&lt;=13.8)),"EQ","REJECT"))))</f>
        <v>EQ</v>
      </c>
      <c r="AO72" s="200" t="s">
        <v>366</v>
      </c>
      <c r="AP72" s="191" t="s">
        <v>42</v>
      </c>
      <c r="AQ72" s="163"/>
      <c r="AR72" s="163"/>
      <c r="AS72" s="163"/>
      <c r="AT72" s="200" t="s">
        <v>304</v>
      </c>
      <c r="AU72" s="259" t="s">
        <v>305</v>
      </c>
      <c r="AV72" s="259"/>
      <c r="AW72" s="163" t="s">
        <v>89</v>
      </c>
      <c r="AY72" s="19"/>
      <c r="AZ72" s="173"/>
      <c r="BA72" s="173"/>
      <c r="BB72" s="173"/>
      <c r="BC72" s="173"/>
      <c r="BD72" s="173"/>
      <c r="BE72" s="173"/>
      <c r="BF72" s="173"/>
      <c r="BG72" s="173"/>
      <c r="BH72" s="173"/>
      <c r="BI72" s="47" t="s">
        <v>484</v>
      </c>
      <c r="BJ72" s="12" t="s">
        <v>486</v>
      </c>
      <c r="BK72" s="173"/>
      <c r="BL72" s="173"/>
      <c r="BM72" s="173"/>
      <c r="BN72" s="173"/>
      <c r="BO72" s="173"/>
      <c r="BP72" s="173"/>
      <c r="BQ72" s="173"/>
      <c r="BS72" s="12"/>
      <c r="BT72" s="12"/>
      <c r="BU72" s="212"/>
      <c r="BV72" s="212"/>
      <c r="BW72" s="212" t="s">
        <v>23</v>
      </c>
      <c r="BX72" s="216">
        <v>1.2</v>
      </c>
      <c r="BY72" s="163" t="str">
        <f>IF(BY70="","",IF($D$25="mm",BY70,ROUND(BY70*25.4,1)))</f>
        <v/>
      </c>
      <c r="BZ72" s="12" t="s">
        <v>202</v>
      </c>
      <c r="CA72" s="163" t="str">
        <f t="shared" si="1"/>
        <v>BLANK</v>
      </c>
      <c r="CC72" s="12"/>
      <c r="CD72" s="12"/>
      <c r="CE72" s="212"/>
      <c r="CF72" s="212"/>
      <c r="CG72" s="212" t="s">
        <v>23</v>
      </c>
      <c r="CH72" s="216">
        <v>1.2</v>
      </c>
      <c r="CI72" s="163" t="str">
        <f>IF(CI70="","",IF($D$25="mm",CI70,ROUND(CI70*25.4,1)))</f>
        <v/>
      </c>
      <c r="CJ72" s="12" t="s">
        <v>202</v>
      </c>
      <c r="CK72" s="163" t="str">
        <f t="shared" si="2"/>
        <v>BLANK</v>
      </c>
      <c r="CM72" s="19" t="s">
        <v>464</v>
      </c>
      <c r="CW72" s="217"/>
    </row>
    <row r="73" spans="1:111" ht="15" customHeight="1" x14ac:dyDescent="0.3">
      <c r="C73" s="212"/>
      <c r="D73" s="212"/>
      <c r="E73" s="212" t="str">
        <f>IF(G71="Round","Outer Diameter (OD):","Square side:")</f>
        <v>Outer Diameter (OD):</v>
      </c>
      <c r="F73" s="213">
        <f>IF($D$25="mm",25,0.984)</f>
        <v>25</v>
      </c>
      <c r="G73" s="50">
        <v>28</v>
      </c>
      <c r="H73" s="12" t="str">
        <f>IF($D$25="mm","mm","in")</f>
        <v>mm</v>
      </c>
      <c r="I73" s="163" t="str">
        <f t="shared" ref="I73:I77" si="3">IF(G73="","BLANK",IF(G73&lt;F73,"REJECT","EQ"))</f>
        <v>EQ</v>
      </c>
      <c r="J73" s="1"/>
      <c r="K73" s="200" t="s">
        <v>314</v>
      </c>
      <c r="L73" s="250" t="s">
        <v>32</v>
      </c>
      <c r="M73" s="250"/>
      <c r="N73" s="250"/>
      <c r="O73" s="250"/>
      <c r="P73" s="252"/>
      <c r="Q73" s="50"/>
      <c r="R73" s="12" t="str">
        <f>IF($D$25="mm","mm","in")</f>
        <v>mm</v>
      </c>
      <c r="S73" s="163" t="str">
        <f>IF(Q73="","BLANK","EQ")</f>
        <v>BLANK</v>
      </c>
      <c r="U73" s="19" t="s">
        <v>408</v>
      </c>
      <c r="V73" s="19"/>
      <c r="W73" s="19"/>
      <c r="X73" s="19"/>
      <c r="Y73" s="19"/>
      <c r="Z73" s="19"/>
      <c r="AA73" s="19"/>
      <c r="AB73" s="19"/>
      <c r="AC73" s="19"/>
      <c r="AD73" s="19"/>
      <c r="AE73" s="49"/>
      <c r="AF73" s="49"/>
      <c r="AG73" s="49"/>
      <c r="AH73" s="49"/>
      <c r="AI73" s="49"/>
      <c r="AJ73" s="49" t="str">
        <f>IF(AJ46="Composite","",
IF(AK71="2020 SIS Height",IF($D$25="mm","F.6.4.4.b - Highest UpperSIS point above lowest LowerSIS point &lt;=320mm:","F.6.4.4.b - Highest UpperSIS point above lowest LowerSIS point &lt;=12.6in:"),
IF($D$25="mm","2019 T.2.26.4 - Highest point of Upper SIS tube at ride height &lt;=350mm:","2019 T.2.26.4 - Highest point of Upper SIS tube at ride height &lt;=13.8in:")))</f>
        <v>F.6.4.4.b - Highest UpperSIS point above lowest LowerSIS point &lt;=320mm:</v>
      </c>
      <c r="AK73" s="57">
        <v>310</v>
      </c>
      <c r="AL73" s="19" t="str">
        <f>IF($D$25="mm","mm","in")</f>
        <v>mm</v>
      </c>
      <c r="AM73" s="25" t="str">
        <f>IF(AJ46="Composite","N/A",IF(AK73="","BLANK",IF(AK71="2020 SIS Height",
IF(OR(AND($D$25="mm",AK73&gt;=240,AK73&lt;=320),
AND($D$25="Inch",AK73&gt;=9.45,AK73&lt;=12.6)),"EQ","REJECT"),
IF(OR(AND($D$25="mm",AK73&gt;=300,AK73&lt;=350),
AND($D$25="Inch",AK73&gt;=11.8,AK73&lt;=13.8)),"EQ","REJECT"))))</f>
        <v>EQ</v>
      </c>
      <c r="AO73" s="200" t="s">
        <v>492</v>
      </c>
      <c r="AP73" s="12" t="str">
        <f>IF($D$25="mm",
"Example: 25mm x 2.5mm round",
"Example: 1.0in x 0.095in round")</f>
        <v>Example: 25mm x 2.5mm round</v>
      </c>
      <c r="AQ73" s="212"/>
      <c r="AR73" s="212"/>
      <c r="AS73" s="212"/>
      <c r="AT73" s="163" t="s">
        <v>335</v>
      </c>
      <c r="AU73" s="163" t="s">
        <v>3</v>
      </c>
      <c r="AW73" s="163" t="str">
        <f>IF(AU73="","BLANK","EQ")</f>
        <v>EQ</v>
      </c>
      <c r="AY73" s="19" t="s">
        <v>377</v>
      </c>
      <c r="BS73" s="12"/>
      <c r="BT73" s="12"/>
      <c r="BU73" s="212"/>
      <c r="BV73" s="212"/>
      <c r="BW73" s="212" t="str">
        <f>IF(BY69="Round","Outer Diameter (OD):","Square side:")</f>
        <v>Outer Diameter (OD):</v>
      </c>
      <c r="BX73" s="216">
        <v>25</v>
      </c>
      <c r="BY73" s="163" t="str">
        <f>IF(BY71="","",IF($D$25="mm",BY71,ROUND(BY71*25.4,1)))</f>
        <v/>
      </c>
      <c r="BZ73" s="12" t="s">
        <v>202</v>
      </c>
      <c r="CA73" s="163" t="str">
        <f t="shared" si="1"/>
        <v>BLANK</v>
      </c>
      <c r="CC73" s="12"/>
      <c r="CD73" s="12"/>
      <c r="CE73" s="212"/>
      <c r="CF73" s="212"/>
      <c r="CG73" s="212" t="str">
        <f>IF(CI69="Round","Outer Diameter (OD):","Square side:")</f>
        <v>Outer Diameter (OD):</v>
      </c>
      <c r="CH73" s="216">
        <v>25</v>
      </c>
      <c r="CI73" s="163" t="str">
        <f>IF(CI71="","",IF($D$25="mm",CI71,ROUND(CI71*25.4,1)))</f>
        <v/>
      </c>
      <c r="CJ73" s="12" t="s">
        <v>202</v>
      </c>
      <c r="CK73" s="163" t="str">
        <f t="shared" si="2"/>
        <v>BLANK</v>
      </c>
      <c r="CM73" s="19" t="s">
        <v>465</v>
      </c>
      <c r="CN73" s="41"/>
      <c r="CO73" s="41"/>
      <c r="CP73" s="41"/>
      <c r="CQ73" s="41"/>
      <c r="CR73" s="41"/>
      <c r="CS73" s="41"/>
      <c r="CT73" s="41"/>
      <c r="CU73" s="41"/>
      <c r="CW73" s="12" t="s">
        <v>443</v>
      </c>
    </row>
    <row r="74" spans="1:111" ht="15" customHeight="1" x14ac:dyDescent="0.3">
      <c r="C74" s="212"/>
      <c r="D74" s="212"/>
      <c r="E74" s="212" t="s">
        <v>23</v>
      </c>
      <c r="F74" s="216">
        <v>1.2</v>
      </c>
      <c r="G74" s="163">
        <f>IF(G72="","",IF($D$25="mm",G72,ROUND(G72*25.4,1)))</f>
        <v>1.5</v>
      </c>
      <c r="H74" s="12" t="s">
        <v>202</v>
      </c>
      <c r="I74" s="163" t="str">
        <f t="shared" si="3"/>
        <v>EQ</v>
      </c>
      <c r="J74" s="1"/>
      <c r="K74" s="12"/>
      <c r="L74" s="12"/>
      <c r="U74" s="12" t="s">
        <v>409</v>
      </c>
      <c r="V74" s="19"/>
      <c r="W74" s="19"/>
      <c r="X74" s="19"/>
      <c r="Y74" s="19"/>
      <c r="Z74" s="19"/>
      <c r="AA74" s="19"/>
      <c r="AB74" s="19"/>
      <c r="AC74" s="19"/>
      <c r="AD74" s="19"/>
      <c r="AE74" s="49"/>
      <c r="AF74" s="49"/>
      <c r="AG74" s="49"/>
      <c r="AH74" s="49"/>
      <c r="AI74" s="49"/>
      <c r="AJ74" s="49" t="s">
        <v>348</v>
      </c>
      <c r="AK74" s="25">
        <f>AK73-AK72</f>
        <v>46</v>
      </c>
      <c r="AL74" s="19" t="str">
        <f>IF($D$25="mm","mm","in")</f>
        <v>mm</v>
      </c>
      <c r="AM74" s="25" t="str">
        <f>IF(AJ46="Composite","N/A",
IF(OR(AK72="",AK73=""),"BLANK",
IF(AK74&lt;AK51,"REJECT","EQ")))</f>
        <v>EQ</v>
      </c>
      <c r="AO74" s="200" t="s">
        <v>489</v>
      </c>
      <c r="AQ74" s="212"/>
      <c r="AR74" s="212"/>
      <c r="AS74" s="212" t="s">
        <v>23</v>
      </c>
      <c r="AT74" s="213">
        <f>IF($D$25="mm",2,0.079)</f>
        <v>2</v>
      </c>
      <c r="AU74" s="50">
        <v>2</v>
      </c>
      <c r="AV74" s="12" t="str">
        <f>IF($D$25="mm","mm","in")</f>
        <v>mm</v>
      </c>
      <c r="AW74" s="163" t="str">
        <f>IF(AU74="","BLANK",IF(AU74&lt;AT74,"REJECT","EQ"))</f>
        <v>EQ</v>
      </c>
      <c r="BI74" s="236" t="str">
        <f>IF(COUNTIF(BQ75,"BLANK"),"BLANK",IF(OR(SUMPRODUCT(--ISERROR(BQ75))&gt;0,COUNTIF(BQ75,"REJECT")),"REJECT",IF(COUNTIF(BQ75,"CHECK"),"CHECK","EQ")))</f>
        <v>BLANK</v>
      </c>
      <c r="BJ74" s="236"/>
      <c r="BK74" s="236"/>
      <c r="BL74" s="236"/>
      <c r="BM74" s="236"/>
      <c r="BN74" s="236"/>
      <c r="BO74" s="236"/>
      <c r="BP74" s="236"/>
      <c r="BQ74" s="236"/>
      <c r="BS74" s="12"/>
      <c r="BT74" s="212"/>
      <c r="BU74" s="212"/>
      <c r="BV74" s="212"/>
      <c r="BW74" s="49" t="s">
        <v>310</v>
      </c>
      <c r="BX74" s="163">
        <v>114</v>
      </c>
      <c r="BY74" s="163" t="str">
        <f>IF(OR(BY70="",BY71=""),"",
IF(BY69="Round",
ROUND(PI()*((BY73/2)^2-((BY73-2*BY72)/2)^2),0),
ROUND(BY73^2-(BY73-2*BY72)^2,0)))</f>
        <v/>
      </c>
      <c r="BZ74" s="12" t="s">
        <v>307</v>
      </c>
      <c r="CA74" s="163" t="str">
        <f t="shared" si="1"/>
        <v>BLANK</v>
      </c>
      <c r="CC74" s="12"/>
      <c r="CD74" s="212"/>
      <c r="CE74" s="212"/>
      <c r="CF74" s="212"/>
      <c r="CG74" s="49" t="s">
        <v>310</v>
      </c>
      <c r="CH74" s="163">
        <v>91</v>
      </c>
      <c r="CI74" s="163" t="str">
        <f>IF(OR(CI70="",CI71=""),"",
IF(CI69="Round",
ROUND(PI()*((CI73/2)^2-((CI73-2*CI72)/2)^2),0),
ROUND(CI73^2-(CI73-2*CI72)^2,0)))</f>
        <v/>
      </c>
      <c r="CJ74" s="12" t="s">
        <v>307</v>
      </c>
      <c r="CK74" s="163" t="str">
        <f t="shared" si="2"/>
        <v>BLANK</v>
      </c>
      <c r="CM74" s="19" t="s">
        <v>466</v>
      </c>
      <c r="CN74" s="41"/>
      <c r="CO74" s="41"/>
      <c r="CP74" s="41"/>
      <c r="CQ74" s="41"/>
      <c r="CR74" s="41"/>
      <c r="CS74" s="41"/>
      <c r="CT74" s="41"/>
      <c r="CU74" s="41"/>
      <c r="CW74" s="12" t="s">
        <v>444</v>
      </c>
    </row>
    <row r="75" spans="1:111" ht="15" customHeight="1" x14ac:dyDescent="0.3">
      <c r="C75" s="212"/>
      <c r="D75" s="212"/>
      <c r="E75" s="212" t="str">
        <f>IF(G71="Round","Outer Diameter (OD):","Square side:")</f>
        <v>Outer Diameter (OD):</v>
      </c>
      <c r="F75" s="216">
        <v>25</v>
      </c>
      <c r="G75" s="163">
        <f>IF(G73="","",IF($D$25="mm",G73,ROUND(G73*25.4,1)))</f>
        <v>28</v>
      </c>
      <c r="H75" s="12" t="s">
        <v>202</v>
      </c>
      <c r="I75" s="163" t="str">
        <f t="shared" si="3"/>
        <v>EQ</v>
      </c>
      <c r="K75" s="236" t="str">
        <f>IF(COUNTIF(S76,"BLANK"),"BLANK",IF(OR(SUMPRODUCT(--ISERROR(S76))&gt;0,COUNTIF(S76,"REJECT")),"REJECT",IF(COUNTIF(S76,"CHECK"),"CHECK","EQ")))</f>
        <v>BLANK</v>
      </c>
      <c r="L75" s="236"/>
      <c r="M75" s="236"/>
      <c r="N75" s="236"/>
      <c r="O75" s="236"/>
      <c r="P75" s="236"/>
      <c r="Q75" s="236"/>
      <c r="R75" s="236"/>
      <c r="S75" s="236"/>
      <c r="U75" s="19" t="s">
        <v>400</v>
      </c>
      <c r="V75" s="19"/>
      <c r="W75" s="19"/>
      <c r="X75" s="19"/>
      <c r="Y75" s="19"/>
      <c r="Z75" s="19"/>
      <c r="AA75" s="19"/>
      <c r="AB75" s="19"/>
      <c r="AC75" s="19"/>
      <c r="AD75" s="19"/>
      <c r="AQ75" s="212"/>
      <c r="AR75" s="212"/>
      <c r="AS75" s="212" t="str">
        <f>IF(AU73="Round","Outer Diameter (OD):","Square side:")</f>
        <v>Outer Diameter (OD):</v>
      </c>
      <c r="AT75" s="213">
        <f>IF($D$25="mm",25,0.984)</f>
        <v>25</v>
      </c>
      <c r="AU75" s="50">
        <v>30</v>
      </c>
      <c r="AV75" s="12" t="str">
        <f>IF($D$25="mm","mm","in")</f>
        <v>mm</v>
      </c>
      <c r="AW75" s="163" t="str">
        <f t="shared" ref="AW75:AW79" si="4">IF(AU75="","BLANK",IF(AU75&lt;AT75,"REJECT","EQ"))</f>
        <v>EQ</v>
      </c>
      <c r="AY75" s="200"/>
      <c r="AZ75" s="259" t="str">
        <f>AP113</f>
        <v>Main Hoop requires braces that run rearward.</v>
      </c>
      <c r="BA75" s="259"/>
      <c r="BB75" s="259"/>
      <c r="BC75" s="259"/>
      <c r="BD75" s="259"/>
      <c r="BE75" s="259"/>
      <c r="BF75" s="259"/>
      <c r="BI75" s="200" t="s">
        <v>398</v>
      </c>
      <c r="BJ75" s="250" t="s">
        <v>59</v>
      </c>
      <c r="BK75" s="250"/>
      <c r="BL75" s="250"/>
      <c r="BM75" s="250"/>
      <c r="BN75" s="252"/>
      <c r="BO75" s="50"/>
      <c r="BP75" s="12" t="str">
        <f>IF($D$25="mm","mm","in")</f>
        <v>mm</v>
      </c>
      <c r="BQ75" s="163" t="str">
        <f>IF(BO75="","BLANK",IF(OR(AND($D$25="mm",ABS(BO75)&gt;=50),AND($D$25="Inch",ABS(BO75)&gt;=2)),"EQ","REJECT"))</f>
        <v>BLANK</v>
      </c>
      <c r="BS75" s="12"/>
      <c r="BT75" s="212"/>
      <c r="BU75" s="212"/>
      <c r="BV75" s="212"/>
      <c r="BW75" s="49" t="s">
        <v>311</v>
      </c>
      <c r="BX75" s="163">
        <v>8509</v>
      </c>
      <c r="BY75" s="163" t="str">
        <f>IF(OR(BY70="",BY71=""),"",
IF(BY69="Round",
ROUND((PI()/4)*((BY73/2)^4-((BY73-2*BY72)/2)^4),0),
ROUND((BY73^4-(BY73-2*BY72)^4)/12,0)))</f>
        <v/>
      </c>
      <c r="BZ75" s="12" t="s">
        <v>308</v>
      </c>
      <c r="CA75" s="163" t="str">
        <f t="shared" si="1"/>
        <v>BLANK</v>
      </c>
      <c r="CC75" s="12"/>
      <c r="CD75" s="212"/>
      <c r="CE75" s="212"/>
      <c r="CF75" s="212"/>
      <c r="CG75" s="49" t="s">
        <v>311</v>
      </c>
      <c r="CH75" s="163">
        <v>6695</v>
      </c>
      <c r="CI75" s="163" t="str">
        <f>IF(OR(CI70="",CI71=""),"",
IF(CI69="Round",
ROUND((PI()/4)*((CI73/2)^4-((CI73-2*CI72)/2)^4),0),
ROUND((CI73^4-(CI73-2*CI72)^4)/12,0)))</f>
        <v/>
      </c>
      <c r="CJ75" s="12" t="s">
        <v>308</v>
      </c>
      <c r="CK75" s="163" t="str">
        <f t="shared" si="2"/>
        <v>BLANK</v>
      </c>
      <c r="CM75" s="19" t="s">
        <v>467</v>
      </c>
      <c r="CN75" s="41"/>
      <c r="CO75" s="41"/>
      <c r="CP75" s="41"/>
      <c r="CQ75" s="41"/>
      <c r="CR75" s="41"/>
      <c r="CS75" s="41"/>
      <c r="CT75" s="41"/>
      <c r="CU75" s="41"/>
      <c r="CW75" s="12" t="s">
        <v>445</v>
      </c>
    </row>
    <row r="76" spans="1:111" ht="15" customHeight="1" thickBot="1" x14ac:dyDescent="0.35">
      <c r="B76" s="212"/>
      <c r="C76" s="212"/>
      <c r="D76" s="212"/>
      <c r="E76" s="49" t="s">
        <v>310</v>
      </c>
      <c r="F76" s="163">
        <v>114</v>
      </c>
      <c r="G76" s="163">
        <f>IF(OR(G72="",G73=""),"",
IF(G71="Round",
ROUND(PI()*((G75/2)^2-((G75-2*G74)/2)^2),0),
ROUND(G75^2-(G75-2*G74)^2,0)))</f>
        <v>125</v>
      </c>
      <c r="H76" s="12" t="s">
        <v>307</v>
      </c>
      <c r="I76" s="163" t="str">
        <f t="shared" si="3"/>
        <v>EQ</v>
      </c>
      <c r="K76" s="200" t="s">
        <v>315</v>
      </c>
      <c r="L76" s="250" t="s">
        <v>31</v>
      </c>
      <c r="M76" s="250"/>
      <c r="N76" s="250"/>
      <c r="O76" s="250"/>
      <c r="P76" s="252"/>
      <c r="Q76" s="50"/>
      <c r="R76" s="12" t="str">
        <f>IF($D$25="mm","mm","in")</f>
        <v>mm</v>
      </c>
      <c r="S76" s="163" t="str">
        <f>IF(Q76="","BLANK",IF(OR(AND($D$25="mm",Q76&lt;=250),AND($D$25="Inch",Q76&lt;=9.8)),"EQ","REJECT"))</f>
        <v>BLANK</v>
      </c>
      <c r="U76" s="19" t="s">
        <v>27</v>
      </c>
      <c r="V76" s="19"/>
      <c r="W76" s="19"/>
      <c r="X76" s="19"/>
      <c r="Y76" s="19"/>
      <c r="Z76" s="19"/>
      <c r="AA76" s="19"/>
      <c r="AB76" s="19"/>
      <c r="AC76" s="19"/>
      <c r="AD76" s="19"/>
      <c r="AE76" s="236" t="str">
        <f>IF(COUNTIF(AM77:AM85,"BLANK"),"BLANK",IF(OR(SUMPRODUCT(--ISERROR(AM77:AM85))&gt;0,COUNTIF(AM77:AM85,"REJECT")),"REJECT",IF(COUNTIF(AM77:AM85,"CHECK"),"CHECK","EQ")))</f>
        <v>EQ</v>
      </c>
      <c r="AF76" s="236"/>
      <c r="AG76" s="236"/>
      <c r="AH76" s="236"/>
      <c r="AI76" s="236"/>
      <c r="AJ76" s="236"/>
      <c r="AK76" s="236"/>
      <c r="AL76" s="236"/>
      <c r="AM76" s="236"/>
      <c r="AQ76" s="212"/>
      <c r="AR76" s="212"/>
      <c r="AS76" s="212" t="s">
        <v>23</v>
      </c>
      <c r="AT76" s="216">
        <v>2</v>
      </c>
      <c r="AU76" s="163">
        <f>IF(AU74="","",IF($D$25="mm",AU74,ROUND(AU74*25.4,1)))</f>
        <v>2</v>
      </c>
      <c r="AV76" s="12" t="s">
        <v>202</v>
      </c>
      <c r="AW76" s="163" t="str">
        <f t="shared" si="4"/>
        <v>EQ</v>
      </c>
      <c r="AY76" s="236" t="str">
        <f>IF(COUNTIF(BG77:BG78,"BLANK"),"BLANK",IF(OR(SUMPRODUCT(--ISERROR(BG77:BG78))&gt;0,COUNTIF(BG77:BG78,"REJECT")),"REJECT",IF(COUNTIF(BG77:BG78,"CHECK"),"CHECK","EQ")))</f>
        <v>EQ</v>
      </c>
      <c r="AZ76" s="236"/>
      <c r="BA76" s="236"/>
      <c r="BB76" s="236"/>
      <c r="BC76" s="236"/>
      <c r="BD76" s="236"/>
      <c r="BE76" s="236"/>
      <c r="BF76" s="236"/>
      <c r="BG76" s="236"/>
      <c r="BS76" s="49"/>
      <c r="BT76" s="289"/>
      <c r="BU76" s="289"/>
      <c r="BV76" s="289"/>
      <c r="BW76" s="289"/>
      <c r="BX76" s="58"/>
      <c r="BY76" s="58"/>
      <c r="CA76" s="25"/>
      <c r="CC76" s="49"/>
      <c r="CD76" s="289"/>
      <c r="CE76" s="289"/>
      <c r="CF76" s="289"/>
      <c r="CG76" s="289"/>
      <c r="CH76" s="58"/>
      <c r="CI76" s="58"/>
      <c r="CK76" s="25"/>
      <c r="CM76" s="19" t="s">
        <v>597</v>
      </c>
      <c r="CW76" s="12" t="s">
        <v>446</v>
      </c>
    </row>
    <row r="77" spans="1:111" ht="15" customHeight="1" thickBot="1" x14ac:dyDescent="0.35">
      <c r="B77" s="212"/>
      <c r="C77" s="212"/>
      <c r="D77" s="212"/>
      <c r="E77" s="49" t="s">
        <v>311</v>
      </c>
      <c r="F77" s="163">
        <v>8509</v>
      </c>
      <c r="G77" s="163">
        <f>IF(OR(G72="",G73=""),"",
IF(G71="Round",
ROUND((PI()/4)*((G75/2)^4-((G75-2*G74)/2)^4),0),
ROUND((G75^4-(G75-2*G74)^4)/12,0)))</f>
        <v>10997</v>
      </c>
      <c r="H77" s="12" t="s">
        <v>308</v>
      </c>
      <c r="I77" s="163" t="str">
        <f t="shared" si="3"/>
        <v>EQ</v>
      </c>
      <c r="K77" s="12"/>
      <c r="L77" s="12"/>
      <c r="U77" s="12" t="s">
        <v>402</v>
      </c>
      <c r="V77" s="19"/>
      <c r="W77" s="19"/>
      <c r="X77" s="19"/>
      <c r="Y77" s="19"/>
      <c r="Z77" s="19"/>
      <c r="AA77" s="19"/>
      <c r="AB77" s="19"/>
      <c r="AC77" s="19"/>
      <c r="AD77" s="19"/>
      <c r="AE77" s="200" t="s">
        <v>349</v>
      </c>
      <c r="AF77" s="191" t="s">
        <v>350</v>
      </c>
      <c r="AG77" s="212"/>
      <c r="AH77" s="212"/>
      <c r="AI77" s="212"/>
      <c r="AJ77" s="218"/>
      <c r="AK77" s="243" t="s">
        <v>40</v>
      </c>
      <c r="AL77" s="244"/>
      <c r="AM77" s="163" t="str">
        <f>IF(AK77="","BLANK","EQ")</f>
        <v>EQ</v>
      </c>
      <c r="AQ77" s="212"/>
      <c r="AR77" s="212"/>
      <c r="AS77" s="212" t="str">
        <f>IF(AU73="Round","Outer Diameter (OD):","Square side:")</f>
        <v>Outer Diameter (OD):</v>
      </c>
      <c r="AT77" s="216">
        <v>25</v>
      </c>
      <c r="AU77" s="163">
        <f>IF(AU75="","",IF($D$25="mm",AU75,ROUND(AU75*25.4,1)))</f>
        <v>30</v>
      </c>
      <c r="AV77" s="12" t="s">
        <v>202</v>
      </c>
      <c r="AW77" s="163" t="str">
        <f t="shared" si="4"/>
        <v>EQ</v>
      </c>
      <c r="AY77" s="47" t="s">
        <v>382</v>
      </c>
      <c r="AZ77" s="250" t="s">
        <v>55</v>
      </c>
      <c r="BA77" s="250"/>
      <c r="BB77" s="250"/>
      <c r="BC77" s="250"/>
      <c r="BD77" s="250"/>
      <c r="BE77" s="148" t="s">
        <v>45</v>
      </c>
      <c r="BG77" s="163" t="str">
        <f>IF(BE77="","BLANK",IF(AU112=0,"EQ",IF(AU111=BE77,"EQ","REJECT")))</f>
        <v>EQ</v>
      </c>
      <c r="BI77" s="236" t="str">
        <f>IF(COUNTIF(BQ78:BQ79,"BLANK"),"BLANK",IF(OR(SUMPRODUCT(--ISERROR(BQ78:BQ79))&gt;0,COUNTIF(BQ78:BQ79,"REJECT")),"REJECT",IF(COUNTIF(BQ78:BQ79,"CHECK"),"CHECK","EQ")))</f>
        <v>BLANK</v>
      </c>
      <c r="BJ77" s="236"/>
      <c r="BK77" s="236"/>
      <c r="BL77" s="236"/>
      <c r="BM77" s="236"/>
      <c r="BN77" s="236"/>
      <c r="BO77" s="236"/>
      <c r="BP77" s="236"/>
      <c r="BQ77" s="236"/>
      <c r="BS77" s="60"/>
      <c r="BT77" s="289"/>
      <c r="BU77" s="289"/>
      <c r="BV77" s="289"/>
      <c r="BW77" s="289"/>
      <c r="BX77" s="58"/>
      <c r="BY77" s="58"/>
      <c r="CA77" s="25"/>
      <c r="CB77" s="52"/>
      <c r="CC77" s="60"/>
      <c r="CD77" s="289"/>
      <c r="CE77" s="289"/>
      <c r="CF77" s="289"/>
      <c r="CG77" s="289"/>
      <c r="CH77" s="58"/>
      <c r="CI77" s="58"/>
      <c r="CK77" s="25"/>
      <c r="CW77" s="12" t="s">
        <v>447</v>
      </c>
    </row>
    <row r="78" spans="1:111" ht="15" customHeight="1" thickBot="1" x14ac:dyDescent="0.35">
      <c r="A78" s="47" t="s">
        <v>562</v>
      </c>
      <c r="B78" s="25"/>
      <c r="C78" s="25"/>
      <c r="D78" s="25"/>
      <c r="E78" s="25"/>
      <c r="F78" s="49" t="s">
        <v>561</v>
      </c>
      <c r="G78" s="243" t="s">
        <v>563</v>
      </c>
      <c r="H78" s="277"/>
      <c r="I78" s="163" t="str">
        <f>IF(G78="","BLANK","EQ")</f>
        <v>EQ</v>
      </c>
      <c r="K78" s="236" t="str">
        <f>IF(COUNTIF(S79,"BLANK"),"BLANK",IF(OR(SUMPRODUCT(--ISERROR(S79))&gt;0,COUNTIF(S79,"REJECT")),"REJECT",IF(COUNTIF(S79,"CHECK"),"CHECK","EQ")))</f>
        <v>EQ</v>
      </c>
      <c r="L78" s="236"/>
      <c r="M78" s="236"/>
      <c r="N78" s="236"/>
      <c r="O78" s="236"/>
      <c r="P78" s="236"/>
      <c r="Q78" s="236"/>
      <c r="R78" s="236"/>
      <c r="S78" s="236"/>
      <c r="U78" s="12" t="s">
        <v>410</v>
      </c>
      <c r="V78" s="19"/>
      <c r="W78" s="19"/>
      <c r="X78" s="19"/>
      <c r="Y78" s="19"/>
      <c r="Z78" s="19"/>
      <c r="AA78" s="19"/>
      <c r="AB78" s="19"/>
      <c r="AC78" s="19"/>
      <c r="AD78" s="19"/>
      <c r="AE78" s="200"/>
      <c r="AG78" s="163"/>
      <c r="AH78" s="163"/>
      <c r="AI78" s="163"/>
      <c r="AJ78" s="200" t="s">
        <v>304</v>
      </c>
      <c r="AK78" s="259" t="s">
        <v>305</v>
      </c>
      <c r="AL78" s="259"/>
      <c r="AM78" s="163" t="s">
        <v>89</v>
      </c>
      <c r="AP78" s="212"/>
      <c r="AQ78" s="212"/>
      <c r="AR78" s="212"/>
      <c r="AS78" s="49" t="s">
        <v>310</v>
      </c>
      <c r="AT78" s="163">
        <v>173</v>
      </c>
      <c r="AU78" s="163">
        <f>IF(OR(AU74="",AU75=""),"",
IF(AU73="Round",
ROUND(PI()*((AU77/2)^2-((AU77-2*AU76)/2)^2),0),
ROUND(AU77^2-(AU77-2*AU76)^2,0)))</f>
        <v>176</v>
      </c>
      <c r="AV78" s="12" t="s">
        <v>307</v>
      </c>
      <c r="AW78" s="163" t="str">
        <f t="shared" si="4"/>
        <v>EQ</v>
      </c>
      <c r="AY78" s="47" t="s">
        <v>383</v>
      </c>
      <c r="AZ78" s="250" t="s">
        <v>56</v>
      </c>
      <c r="BA78" s="250"/>
      <c r="BB78" s="250"/>
      <c r="BC78" s="250"/>
      <c r="BD78" s="250"/>
      <c r="BE78" s="57">
        <v>42</v>
      </c>
      <c r="BF78" s="12" t="s">
        <v>29</v>
      </c>
      <c r="BG78" s="163" t="str">
        <f>IF(BE78="","BLANK",IF(AND(ABS(BE78)&gt;=30,ABS(BE78)&lt;90),"EQ","REJECT"))</f>
        <v>EQ</v>
      </c>
      <c r="BI78" s="200" t="s">
        <v>396</v>
      </c>
      <c r="BJ78" s="250" t="s">
        <v>60</v>
      </c>
      <c r="BK78" s="250"/>
      <c r="BL78" s="250"/>
      <c r="BM78" s="250"/>
      <c r="BN78" s="250"/>
      <c r="BO78" s="148" t="s">
        <v>45</v>
      </c>
      <c r="BQ78" s="163" t="str">
        <f>IF(BO78="","BLANK","EQ")</f>
        <v>EQ</v>
      </c>
      <c r="BS78" s="47"/>
      <c r="BT78" s="289"/>
      <c r="BU78" s="289"/>
      <c r="BV78" s="289"/>
      <c r="BW78" s="289"/>
      <c r="BX78" s="58"/>
      <c r="BY78" s="58"/>
      <c r="CA78" s="25"/>
      <c r="CD78" s="289"/>
      <c r="CE78" s="289"/>
      <c r="CF78" s="289"/>
      <c r="CG78" s="289"/>
      <c r="CH78" s="58"/>
      <c r="CI78" s="58"/>
      <c r="CK78" s="25"/>
      <c r="CM78" s="19" t="s">
        <v>468</v>
      </c>
      <c r="CW78" s="12" t="s">
        <v>95</v>
      </c>
    </row>
    <row r="79" spans="1:111" ht="15" customHeight="1" thickBot="1" x14ac:dyDescent="0.35">
      <c r="A79" s="47"/>
      <c r="B79" s="25"/>
      <c r="C79" s="25"/>
      <c r="D79" s="25"/>
      <c r="E79" s="25"/>
      <c r="F79" s="49" t="s">
        <v>564</v>
      </c>
      <c r="G79" s="57"/>
      <c r="H79" s="19" t="str">
        <f>IF($D$25="mm","mm","in")</f>
        <v>mm</v>
      </c>
      <c r="I79" s="163" t="str">
        <f>IF(OR(NOT(G64="Bolted"),G78="Centerline Inserts"),"N/A",
IF(G79="","BLANK","EQ"))</f>
        <v>N/A</v>
      </c>
      <c r="K79" s="200" t="s">
        <v>316</v>
      </c>
      <c r="L79" s="250" t="s">
        <v>57</v>
      </c>
      <c r="M79" s="250"/>
      <c r="N79" s="250"/>
      <c r="O79" s="250"/>
      <c r="P79" s="252"/>
      <c r="Q79" s="50">
        <v>8</v>
      </c>
      <c r="R79" s="12" t="s">
        <v>29</v>
      </c>
      <c r="S79" s="163" t="str">
        <f>IF(Q79="","BLANK",IF(ABS(Q79)&lt;=20,"EQ","REJECT"))</f>
        <v>EQ</v>
      </c>
      <c r="U79" s="19"/>
      <c r="V79" s="46"/>
      <c r="W79" s="19"/>
      <c r="X79" s="19"/>
      <c r="Y79" s="19"/>
      <c r="Z79" s="19"/>
      <c r="AA79" s="19"/>
      <c r="AB79" s="19"/>
      <c r="AC79" s="19"/>
      <c r="AD79" s="19"/>
      <c r="AE79" s="200" t="s">
        <v>492</v>
      </c>
      <c r="AF79" s="12" t="str">
        <f>IF(AK77="Straight",
IF($D$25="mm",
"Example: 25.4mm x 1.6mm round",
"Example: 1.0in x 0.065in round"),
IF($D$25="mm",
"Example: 35mm x 1.2mm round",
"Example: 1.375in x 0.047in round"))</f>
        <v>Example: 25.4mm x 1.6mm round</v>
      </c>
      <c r="AG79" s="212"/>
      <c r="AH79" s="212"/>
      <c r="AI79" s="212"/>
      <c r="AJ79" s="163" t="str">
        <f>IF(AK77="Straight","Size B", "Size D")</f>
        <v>Size B</v>
      </c>
      <c r="AK79" s="148" t="s">
        <v>3</v>
      </c>
      <c r="AM79" s="163" t="str">
        <f>IF(AK79="","BLANK","EQ")</f>
        <v>EQ</v>
      </c>
      <c r="AP79" s="212"/>
      <c r="AQ79" s="212"/>
      <c r="AR79" s="212"/>
      <c r="AS79" s="49" t="s">
        <v>311</v>
      </c>
      <c r="AT79" s="163">
        <v>11320</v>
      </c>
      <c r="AU79" s="163">
        <f>IF(OR(AU74="",AU75=""),"",
IF(AU73="Round",
ROUND((PI()/4)*((AU77/2)^4-((AU77-2*AU76)/2)^4),0),
ROUND((AU77^4-(AU77-2*AU76)^4)/12,0)))</f>
        <v>17329</v>
      </c>
      <c r="AV79" s="12" t="s">
        <v>308</v>
      </c>
      <c r="AW79" s="163" t="str">
        <f t="shared" si="4"/>
        <v>EQ</v>
      </c>
      <c r="BI79" s="200" t="s">
        <v>396</v>
      </c>
      <c r="BJ79" s="250" t="str">
        <f>IF(BO78="Rearward","Helmet &gt;=50mm (2in) below Hoop/Brace plane:","Helmet &gt;=0 ahead of Main Hoop rear surface:")</f>
        <v>Helmet &gt;=50mm (2in) below Hoop/Brace plane:</v>
      </c>
      <c r="BK79" s="250"/>
      <c r="BL79" s="250"/>
      <c r="BM79" s="250"/>
      <c r="BN79" s="250"/>
      <c r="BO79" s="50"/>
      <c r="BP79" s="12" t="str">
        <f>IF($D$25="mm","mm","in")</f>
        <v>mm</v>
      </c>
      <c r="BQ79" s="163" t="str">
        <f>IF(BO79="","BLANK",IF(OR(AND(BO78="Forward",BO79&gt;=0),AND($D$25="mm",BO79&gt;=50),AND($D$25="Inch",BO79&gt;=2)),"EQ","REJECT"))</f>
        <v>BLANK</v>
      </c>
      <c r="BS79" s="72"/>
      <c r="BT79" s="289"/>
      <c r="BU79" s="289"/>
      <c r="BV79" s="289"/>
      <c r="BW79" s="289"/>
      <c r="BX79" s="58"/>
      <c r="BY79" s="58"/>
      <c r="CA79" s="25"/>
      <c r="CC79" s="72"/>
      <c r="CD79" s="289"/>
      <c r="CE79" s="289"/>
      <c r="CF79" s="289"/>
      <c r="CG79" s="289"/>
      <c r="CH79" s="58"/>
      <c r="CI79" s="58"/>
      <c r="CK79" s="25"/>
      <c r="CW79" s="12" t="s">
        <v>96</v>
      </c>
    </row>
    <row r="80" spans="1:111" ht="15" customHeight="1" thickBot="1" x14ac:dyDescent="0.35">
      <c r="A80" s="19"/>
      <c r="B80" s="19"/>
      <c r="C80" s="19"/>
      <c r="D80" s="19"/>
      <c r="E80" s="19"/>
      <c r="F80" s="49" t="s">
        <v>556</v>
      </c>
      <c r="G80" s="50"/>
      <c r="H80" s="19" t="str">
        <f>IF($D$25="mm","mm","in")</f>
        <v>mm</v>
      </c>
      <c r="I80" s="25" t="str">
        <f>IF(OR(NOT(G64="Bolted"),G78="Centerline Inserts"),"N/A",
IF(G80="","BLANK","EQ"))</f>
        <v>N/A</v>
      </c>
      <c r="K80" s="12"/>
      <c r="L80" s="12"/>
      <c r="U80" s="19" t="s">
        <v>327</v>
      </c>
      <c r="V80" s="19"/>
      <c r="W80" s="19"/>
      <c r="X80" s="19"/>
      <c r="Y80" s="19"/>
      <c r="Z80" s="19"/>
      <c r="AA80" s="19"/>
      <c r="AB80" s="19"/>
      <c r="AC80" s="19"/>
      <c r="AD80" s="19"/>
      <c r="AE80" s="200" t="s">
        <v>489</v>
      </c>
      <c r="AG80" s="212"/>
      <c r="AH80" s="212"/>
      <c r="AI80" s="212" t="s">
        <v>23</v>
      </c>
      <c r="AJ80" s="213">
        <f>IF($D$25="mm",1.2,0.047)</f>
        <v>1.2</v>
      </c>
      <c r="AK80" s="50">
        <v>1.5</v>
      </c>
      <c r="AL80" s="12" t="str">
        <f>IF($D$25="mm","mm","in")</f>
        <v>mm</v>
      </c>
      <c r="AM80" s="163" t="str">
        <f>IF(AK80="","BLANK",IF(AK80&lt;AJ80,"REJECT","EQ"))</f>
        <v>EQ</v>
      </c>
      <c r="AY80" s="236" t="str">
        <f>IF(COUNTIF(BG81,"BLANK"),"BLANK",IF(OR(SUMPRODUCT(--ISERROR(BG81))&gt;0,COUNTIF(BG81,"REJECT")),"REJECT",IF(COUNTIF(BG81,"CHECK"),"CHECK","EQ")))</f>
        <v>EQ</v>
      </c>
      <c r="AZ80" s="236"/>
      <c r="BA80" s="236"/>
      <c r="BB80" s="236"/>
      <c r="BC80" s="236"/>
      <c r="BD80" s="236"/>
      <c r="BE80" s="236"/>
      <c r="BF80" s="236"/>
      <c r="BG80" s="236"/>
      <c r="BS80" s="287"/>
      <c r="BT80" s="287"/>
      <c r="BU80" s="288"/>
      <c r="BV80" s="288"/>
      <c r="BW80" s="288"/>
      <c r="BX80" s="67"/>
      <c r="BY80" s="67"/>
      <c r="BZ80" s="68"/>
      <c r="CA80" s="55"/>
      <c r="CC80" s="287"/>
      <c r="CD80" s="287"/>
      <c r="CE80" s="288"/>
      <c r="CF80" s="288"/>
      <c r="CG80" s="288"/>
      <c r="CH80" s="67"/>
      <c r="CI80" s="67"/>
      <c r="CJ80" s="68"/>
      <c r="CK80" s="55"/>
      <c r="CM80" s="236" t="str">
        <f>IF(COUNTIF(CU82:CU89,"BLANK"),"BLANK",IF(OR(SUMPRODUCT(--ISERROR(CU82:CU89))&gt;0,COUNTIF(CU82:CU89,"REJECT")),"REJECT",IF(COUNTIF(CU82:CU89,"CHECK"),"CHECK","EQ")))</f>
        <v>BLANK</v>
      </c>
      <c r="CN80" s="236"/>
      <c r="CO80" s="236"/>
      <c r="CP80" s="236"/>
      <c r="CQ80" s="236"/>
      <c r="CR80" s="236"/>
      <c r="CS80" s="236"/>
      <c r="CT80" s="236"/>
      <c r="CU80" s="236"/>
      <c r="CW80" s="219"/>
    </row>
    <row r="81" spans="1:111" ht="15" customHeight="1" thickBot="1" x14ac:dyDescent="0.35">
      <c r="A81" s="47" t="s">
        <v>534</v>
      </c>
      <c r="B81" s="19"/>
      <c r="C81" s="19"/>
      <c r="D81" s="19"/>
      <c r="E81" s="19"/>
      <c r="F81" s="49" t="s">
        <v>557</v>
      </c>
      <c r="G81" s="50"/>
      <c r="H81" s="19" t="str">
        <f>IF($D$25="mm","mm","in")</f>
        <v>mm</v>
      </c>
      <c r="I81" s="25" t="str">
        <f>IF(I80="N/A","N/A",IF(G81="","BLANK","EQ"))</f>
        <v>N/A</v>
      </c>
      <c r="K81" s="236" t="str">
        <f>IF(COUNTIF(S82,"BLANK"),"BLANK",IF(OR(SUMPRODUCT(--ISERROR(S82))&gt;0,COUNTIF(S82,"REJECT")),"REJECT",IF(COUNTIF(S82,"CHECK"),"CHECK","EQ")))</f>
        <v>EQ</v>
      </c>
      <c r="L81" s="236"/>
      <c r="M81" s="236"/>
      <c r="N81" s="236"/>
      <c r="O81" s="236"/>
      <c r="P81" s="236"/>
      <c r="Q81" s="236"/>
      <c r="R81" s="236"/>
      <c r="S81" s="236"/>
      <c r="U81" s="19" t="s">
        <v>67</v>
      </c>
      <c r="V81" s="19"/>
      <c r="W81" s="19"/>
      <c r="X81" s="19"/>
      <c r="Y81" s="19"/>
      <c r="Z81" s="19"/>
      <c r="AA81" s="19"/>
      <c r="AB81" s="19"/>
      <c r="AC81" s="19"/>
      <c r="AG81" s="212"/>
      <c r="AH81" s="212"/>
      <c r="AI81" s="212" t="str">
        <f>IF(AK79="Round","Outer Diameter (OD):","Square side:")</f>
        <v>Outer Diameter (OD):</v>
      </c>
      <c r="AJ81" s="213">
        <f>IF(AK77="Straight",IF($D$25="mm",25,0.984),IF($D$25="mm",35,1.375))</f>
        <v>25</v>
      </c>
      <c r="AK81" s="50">
        <v>28</v>
      </c>
      <c r="AL81" s="12" t="str">
        <f>IF($D$25="mm","mm","in")</f>
        <v>mm</v>
      </c>
      <c r="AM81" s="163" t="str">
        <f t="shared" ref="AM81:AM85" si="5">IF(AK81="","BLANK",IF(AK81&lt;AJ81,"REJECT","EQ"))</f>
        <v>EQ</v>
      </c>
      <c r="AO81" s="236" t="str">
        <f>IF(COUNTIF(AW82:AW90,"BLANK"),"BLANK",IF(OR(SUMPRODUCT(--ISERROR(AW82:AW90))&gt;0,COUNTIF(AW82:AW90,"REJECT")),"REJECT",IF(COUNTIF(AW82:AW90,"CHECK"),"CHECK","EQ")))</f>
        <v>EQ</v>
      </c>
      <c r="AP81" s="236"/>
      <c r="AQ81" s="236"/>
      <c r="AR81" s="236"/>
      <c r="AS81" s="236"/>
      <c r="AT81" s="236"/>
      <c r="AU81" s="236"/>
      <c r="AV81" s="236"/>
      <c r="AW81" s="236"/>
      <c r="AY81" s="47" t="s">
        <v>384</v>
      </c>
      <c r="AZ81" s="250" t="str">
        <f>IF($D$25="mm","Top of MH of MHB tube, 160mm vertical limit:","Top of MH to top of MHB tube, 6.3in vertical limit:")</f>
        <v>Top of MH of MHB tube, 160mm vertical limit:</v>
      </c>
      <c r="BA81" s="250"/>
      <c r="BB81" s="250"/>
      <c r="BC81" s="250"/>
      <c r="BD81" s="252"/>
      <c r="BE81" s="50">
        <v>147</v>
      </c>
      <c r="BF81" s="12" t="str">
        <f>IF($D$25="mm","mm","in")</f>
        <v>mm</v>
      </c>
      <c r="BG81" s="163" t="str">
        <f>IF(BE81="","BLANK",IF(OR(AND($D$25="mm",ABS(BE81)&lt;=160),AND($D$25="Inch",ABS(BE81)&lt;=6.3)),"EQ","REJECT"))</f>
        <v>EQ</v>
      </c>
      <c r="BI81" s="236" t="str">
        <f>IF(COUNTIF(BQ82,"BLANK"),"BLANK",IF(OR(SUMPRODUCT(--ISERROR(BQ82))&gt;0,COUNTIF(BQ82,"REJECT")),"REJECT",IF(COUNTIF(BQ82,"CHECK"),"CHECK","EQ")))</f>
        <v>BLANK</v>
      </c>
      <c r="BJ81" s="236"/>
      <c r="BK81" s="236"/>
      <c r="BL81" s="236"/>
      <c r="BM81" s="236"/>
      <c r="BN81" s="236"/>
      <c r="BO81" s="236"/>
      <c r="BP81" s="236"/>
      <c r="BQ81" s="236"/>
      <c r="BS81" s="72"/>
      <c r="BT81" s="288"/>
      <c r="BU81" s="288"/>
      <c r="BV81" s="288"/>
      <c r="BW81" s="288"/>
      <c r="BX81" s="67"/>
      <c r="BY81" s="67"/>
      <c r="BZ81" s="68"/>
      <c r="CA81" s="55"/>
      <c r="CC81" s="72"/>
      <c r="CD81" s="288"/>
      <c r="CE81" s="288"/>
      <c r="CF81" s="288"/>
      <c r="CG81" s="288"/>
      <c r="CH81" s="67"/>
      <c r="CI81" s="67"/>
      <c r="CJ81" s="68"/>
      <c r="CK81" s="55"/>
      <c r="CM81" s="47" t="str">
        <f>IF(CT81="No","F.11.2.1","F.11.2.3")</f>
        <v>F.11.2.3</v>
      </c>
      <c r="CN81" s="25"/>
      <c r="CO81" s="25"/>
      <c r="CP81" s="25"/>
      <c r="CQ81" s="25"/>
      <c r="CR81" s="25"/>
      <c r="CS81" s="49" t="s">
        <v>475</v>
      </c>
      <c r="CT81" s="148" t="s">
        <v>543</v>
      </c>
      <c r="CU81" s="25" t="str">
        <f>IF($G$8="IC - Internal Combustion","N/A",
IF(CT81="","BLANK","EQ"))</f>
        <v>EQ</v>
      </c>
      <c r="CW81" s="12" t="s">
        <v>98</v>
      </c>
    </row>
    <row r="82" spans="1:111" ht="15" customHeight="1" thickBot="1" x14ac:dyDescent="0.35">
      <c r="A82" s="58">
        <f>IF($D$25="mm",300*10^6,43.5*10^3)</f>
        <v>300000000</v>
      </c>
      <c r="B82" s="25"/>
      <c r="C82" s="25"/>
      <c r="D82" s="25"/>
      <c r="E82" s="25"/>
      <c r="F82" s="49" t="str">
        <f>IF($D$25="mm","15kN Bending  M*y / I &lt;= UTS:","3371lbs Bending  M*y / I &lt;= UTS:")</f>
        <v>15kN Bending  M*y / I &lt;= UTS:</v>
      </c>
      <c r="G82" s="58" t="str">
        <f>IF(OR(G80="",G81="",),"",IF($D$25="mm",15000,3371)*G79*0.5*G81*IF($D$25="mm",1/10^6,1)/(G80*G81^3*IF($D$25="mm",1/10^12,1)))</f>
        <v/>
      </c>
      <c r="H82" s="103" t="str">
        <f>IF(G82="","",G82/A82)</f>
        <v/>
      </c>
      <c r="I82" s="25" t="str">
        <f>IF(I80="N/A","N/A",IF(H82="","EQ",IF(H82&lt;=1,"EQ","REJECT")))</f>
        <v>N/A</v>
      </c>
      <c r="K82" s="200" t="s">
        <v>317</v>
      </c>
      <c r="L82" s="250" t="s">
        <v>38</v>
      </c>
      <c r="M82" s="250"/>
      <c r="N82" s="250"/>
      <c r="O82" s="250"/>
      <c r="P82" s="252"/>
      <c r="Q82" s="50">
        <v>8</v>
      </c>
      <c r="R82" s="12" t="s">
        <v>29</v>
      </c>
      <c r="S82" s="163" t="str">
        <f>IF(Q82="","BLANK",IF(Q82&lt;=20,"EQ","REJECT"))</f>
        <v>EQ</v>
      </c>
      <c r="U82" s="19" t="s">
        <v>328</v>
      </c>
      <c r="V82" s="19"/>
      <c r="W82" s="19"/>
      <c r="X82" s="19"/>
      <c r="Y82" s="19"/>
      <c r="Z82" s="19"/>
      <c r="AA82" s="19"/>
      <c r="AB82" s="19"/>
      <c r="AC82" s="19"/>
      <c r="AG82" s="212"/>
      <c r="AH82" s="212"/>
      <c r="AI82" s="212" t="s">
        <v>23</v>
      </c>
      <c r="AJ82" s="216">
        <v>1.2</v>
      </c>
      <c r="AK82" s="163">
        <f>IF(AK80="","",IF($D$25="mm",AK80,ROUND(AK80*25.4,1)))</f>
        <v>1.5</v>
      </c>
      <c r="AL82" s="12" t="s">
        <v>202</v>
      </c>
      <c r="AM82" s="163" t="str">
        <f t="shared" si="5"/>
        <v>EQ</v>
      </c>
      <c r="AO82" s="200" t="s">
        <v>354</v>
      </c>
      <c r="AP82" s="191" t="s">
        <v>365</v>
      </c>
      <c r="AT82" s="158"/>
      <c r="AU82" s="243" t="s">
        <v>40</v>
      </c>
      <c r="AV82" s="244"/>
      <c r="AW82" s="163" t="str">
        <f>IF(AU82="","BLANK",IF(AND(AU82="Bent",AU90="Square"),"REJECT","EQ"))</f>
        <v>EQ</v>
      </c>
      <c r="BI82" s="200" t="s">
        <v>397</v>
      </c>
      <c r="BJ82" s="250" t="s">
        <v>61</v>
      </c>
      <c r="BK82" s="250"/>
      <c r="BL82" s="250"/>
      <c r="BM82" s="250"/>
      <c r="BN82" s="252"/>
      <c r="BO82" s="50"/>
      <c r="BP82" s="12" t="str">
        <f>IF($D$25="mm","mm","in")</f>
        <v>mm</v>
      </c>
      <c r="BQ82" s="163" t="str">
        <f>IF(BO82="","BLANK",IF(BO82&gt;=0,"EQ","REJECT"))</f>
        <v>BLANK</v>
      </c>
      <c r="BS82" s="72"/>
      <c r="BT82" s="288"/>
      <c r="BU82" s="288"/>
      <c r="BV82" s="288"/>
      <c r="BW82" s="288"/>
      <c r="BX82" s="67"/>
      <c r="BY82" s="67"/>
      <c r="BZ82" s="68"/>
      <c r="CA82" s="55"/>
      <c r="CC82" s="72"/>
      <c r="CD82" s="288"/>
      <c r="CE82" s="288"/>
      <c r="CF82" s="288"/>
      <c r="CG82" s="288"/>
      <c r="CH82" s="67"/>
      <c r="CI82" s="67"/>
      <c r="CJ82" s="68"/>
      <c r="CK82" s="55"/>
      <c r="CM82" s="200"/>
      <c r="CN82" s="191" t="str">
        <f>IF(CR83="Size B",
"Accumulator Rear Impact Protection",
"Tractive Rear Impact Protection")</f>
        <v>Tractive Rear Impact Protection</v>
      </c>
      <c r="CO82" s="163"/>
      <c r="CP82" s="163"/>
      <c r="CQ82" s="163"/>
      <c r="CR82" s="200" t="s">
        <v>304</v>
      </c>
      <c r="CS82" s="259" t="s">
        <v>305</v>
      </c>
      <c r="CT82" s="259"/>
      <c r="CU82" s="163" t="str">
        <f>IF($G$8="IC - Internal Combustion","N/A",
"EQ")</f>
        <v>EQ</v>
      </c>
      <c r="CW82" s="12" t="s">
        <v>97</v>
      </c>
    </row>
    <row r="83" spans="1:111" ht="15" customHeight="1" thickBot="1" x14ac:dyDescent="0.35">
      <c r="A83" s="220">
        <f>0.577*A82</f>
        <v>173100000</v>
      </c>
      <c r="B83" s="19"/>
      <c r="C83" s="19"/>
      <c r="D83" s="19"/>
      <c r="E83" s="19"/>
      <c r="F83" s="49" t="s">
        <v>558</v>
      </c>
      <c r="G83" s="58" t="str">
        <f>IF(OR(G80="",G81=""),"",3*IF($D$25="mm",15000,3379)/(2*G80*G81*IF($D$25="mm",1/10^6,1)))</f>
        <v/>
      </c>
      <c r="H83" s="103" t="str">
        <f>IF(G83="","",G83/A83)</f>
        <v/>
      </c>
      <c r="I83" s="25" t="str">
        <f>IF(I80="N/A","N/A",IF(H83="","EQ",IF(H83&lt;=1,"EQ","REJECT")))</f>
        <v>N/A</v>
      </c>
      <c r="K83" s="12"/>
      <c r="L83" s="259" t="str">
        <f>IF(Q82&lt;=10,"Rearward Front Hoop Brace is not required.","Rearward Front Hoop Brace Required by Front Hoop.")</f>
        <v>Rearward Front Hoop Brace is not required.</v>
      </c>
      <c r="M83" s="259"/>
      <c r="N83" s="259"/>
      <c r="O83" s="259"/>
      <c r="P83" s="259"/>
      <c r="Q83" s="259"/>
      <c r="R83" s="259"/>
      <c r="S83" s="163"/>
      <c r="U83" s="19" t="s">
        <v>329</v>
      </c>
      <c r="V83" s="19"/>
      <c r="W83" s="19"/>
      <c r="X83" s="19"/>
      <c r="Y83" s="19"/>
      <c r="Z83" s="19"/>
      <c r="AA83" s="19"/>
      <c r="AB83" s="19"/>
      <c r="AC83" s="19"/>
      <c r="AG83" s="212"/>
      <c r="AH83" s="212"/>
      <c r="AI83" s="212" t="str">
        <f>IF(AK79="Round","Outer Diameter (OD):","Square side:")</f>
        <v>Outer Diameter (OD):</v>
      </c>
      <c r="AJ83" s="216">
        <f>IF(AK77="Straight",25,35)</f>
        <v>25</v>
      </c>
      <c r="AK83" s="216">
        <f>IF(AK81="","",IF($D$25="mm",AK81,ROUNDUP(AK81*25.4,1)))</f>
        <v>28</v>
      </c>
      <c r="AL83" s="12" t="s">
        <v>202</v>
      </c>
      <c r="AM83" s="163" t="str">
        <f t="shared" si="5"/>
        <v>EQ</v>
      </c>
      <c r="AO83" s="200"/>
      <c r="AQ83" s="163"/>
      <c r="AR83" s="163"/>
      <c r="AS83" s="163"/>
      <c r="AT83" s="200" t="s">
        <v>304</v>
      </c>
      <c r="AU83" s="259" t="s">
        <v>305</v>
      </c>
      <c r="AV83" s="259"/>
      <c r="AW83" s="163" t="s">
        <v>89</v>
      </c>
      <c r="AY83" s="236" t="str">
        <f>IF(COUNTIF(BG84:BG91,"BLANK"),"BLANK",IF(OR(SUMPRODUCT(--ISERROR(BG84:BG91))&gt;0,COUNTIF(BG84:BG91,"REJECT")),"REJECT",IF(COUNTIF(BG84:BG91,"CHECK"),"CHECK","EQ")))</f>
        <v>EQ</v>
      </c>
      <c r="AZ83" s="236"/>
      <c r="BA83" s="236"/>
      <c r="BB83" s="236"/>
      <c r="BC83" s="236"/>
      <c r="BD83" s="236"/>
      <c r="BE83" s="236"/>
      <c r="BF83" s="236"/>
      <c r="BG83" s="236"/>
      <c r="BS83" s="47"/>
      <c r="BT83" s="289"/>
      <c r="BU83" s="289"/>
      <c r="BV83" s="289"/>
      <c r="BW83" s="289"/>
      <c r="BX83" s="12"/>
      <c r="BY83" s="67"/>
      <c r="BZ83" s="68"/>
      <c r="CA83" s="55"/>
      <c r="CD83" s="289"/>
      <c r="CE83" s="289"/>
      <c r="CF83" s="289"/>
      <c r="CG83" s="289"/>
      <c r="CH83" s="67"/>
      <c r="CI83" s="67"/>
      <c r="CJ83" s="68"/>
      <c r="CK83" s="55"/>
      <c r="CM83" s="200" t="s">
        <v>492</v>
      </c>
      <c r="CN83" s="12" t="str">
        <f>IF(CR83="Size B",
IF($D$25="mm",
"Example: 25.4mm x 1.6mm round",
"Example: 1.0in x 0.065in round"),
IF($D$25="mm",
"Example: 25.4mm x 1.2mm round",
"Example: 1.0in x 0.047in round"))</f>
        <v>Example: 25.4mm x 1.2mm round</v>
      </c>
      <c r="CO83" s="212"/>
      <c r="CP83" s="212"/>
      <c r="CQ83" s="212"/>
      <c r="CR83" s="25" t="str">
        <f>IF(CT81="No","Size B","Size C")</f>
        <v>Size C</v>
      </c>
      <c r="CS83" s="148" t="s">
        <v>3</v>
      </c>
      <c r="CT83" s="12"/>
      <c r="CU83" s="163" t="str">
        <f>IF($G$8="IC - Internal Combustion","N/A",
IF(CS83="","BLANK","EQ"))</f>
        <v>EQ</v>
      </c>
      <c r="CV83" s="49"/>
    </row>
    <row r="84" spans="1:111" ht="15" customHeight="1" thickBot="1" x14ac:dyDescent="0.35">
      <c r="A84" s="19"/>
      <c r="B84" s="19"/>
      <c r="C84" s="19"/>
      <c r="D84" s="19"/>
      <c r="E84" s="19"/>
      <c r="F84" s="49" t="s">
        <v>559</v>
      </c>
      <c r="G84" s="50"/>
      <c r="H84" s="19" t="str">
        <f>IF($D$25="mm","mm","in")</f>
        <v>mm</v>
      </c>
      <c r="I84" s="25" t="str">
        <f>IF(OR(NOT(G64="Bolted"),G78="Centerline Inserts"),"N/A",
IF(G84="","BLANK","EQ"))</f>
        <v>N/A</v>
      </c>
      <c r="K84" s="12"/>
      <c r="L84" s="12"/>
      <c r="U84" s="19" t="s">
        <v>330</v>
      </c>
      <c r="V84" s="19"/>
      <c r="W84" s="19"/>
      <c r="X84" s="19"/>
      <c r="Y84" s="19"/>
      <c r="Z84" s="19"/>
      <c r="AA84" s="19"/>
      <c r="AB84" s="19"/>
      <c r="AC84" s="19"/>
      <c r="AF84" s="212"/>
      <c r="AG84" s="212"/>
      <c r="AH84" s="212"/>
      <c r="AI84" s="49" t="s">
        <v>310</v>
      </c>
      <c r="AJ84" s="163">
        <f>IF(AK77="Straight",114,126)</f>
        <v>114</v>
      </c>
      <c r="AK84" s="163">
        <f>IF(OR(AK80="",AK81=""),"",
IF(AK79="Round",
ROUND(PI()*((AK83/2)^2-((AK83-2*AK82)/2)^2),0),
ROUND(AK83^2-(AK83-2*AK82)^2,0)))</f>
        <v>125</v>
      </c>
      <c r="AL84" s="12" t="s">
        <v>307</v>
      </c>
      <c r="AM84" s="163" t="str">
        <f t="shared" si="5"/>
        <v>EQ</v>
      </c>
      <c r="AO84" s="200" t="s">
        <v>492</v>
      </c>
      <c r="AP84" s="12" t="str">
        <f>IF($D$25="mm",
"Example: 25mm x 2.5mm round",
"Example: 1.0in x 0.095in round")</f>
        <v>Example: 25mm x 2.5mm round</v>
      </c>
      <c r="AQ84" s="212"/>
      <c r="AR84" s="212"/>
      <c r="AS84" s="212"/>
      <c r="AT84" s="163" t="s">
        <v>335</v>
      </c>
      <c r="AU84" s="148" t="s">
        <v>3</v>
      </c>
      <c r="AW84" s="163" t="str">
        <f>IF(AU84="","BLANK",IF(AND(NOT(AU82="Straight"),AU84="Square"),"REJECT","EQ"))</f>
        <v>EQ</v>
      </c>
      <c r="AY84" s="200" t="s">
        <v>363</v>
      </c>
      <c r="AZ84" s="191" t="s">
        <v>364</v>
      </c>
      <c r="BA84" s="163"/>
      <c r="BB84" s="163"/>
      <c r="BC84" s="163"/>
      <c r="BD84" s="200" t="s">
        <v>304</v>
      </c>
      <c r="BE84" s="259" t="s">
        <v>305</v>
      </c>
      <c r="BF84" s="259"/>
      <c r="BG84" s="163" t="s">
        <v>89</v>
      </c>
      <c r="BI84" s="291" t="s">
        <v>115</v>
      </c>
      <c r="BJ84" s="291"/>
      <c r="BK84" s="291"/>
      <c r="BL84" s="291"/>
      <c r="BM84" s="291"/>
      <c r="BN84" s="291"/>
      <c r="BO84" s="291"/>
      <c r="BP84" s="291"/>
      <c r="BQ84" s="291"/>
      <c r="BS84" s="47"/>
      <c r="BT84" s="289"/>
      <c r="BU84" s="289"/>
      <c r="BV84" s="289"/>
      <c r="BW84" s="289"/>
      <c r="BX84" s="67"/>
      <c r="BY84" s="67"/>
      <c r="BZ84" s="68"/>
      <c r="CA84" s="55"/>
      <c r="CD84" s="289"/>
      <c r="CE84" s="289"/>
      <c r="CF84" s="289"/>
      <c r="CG84" s="289"/>
      <c r="CH84" s="67"/>
      <c r="CI84" s="67"/>
      <c r="CJ84" s="68"/>
      <c r="CK84" s="55"/>
      <c r="CM84" s="200" t="s">
        <v>489</v>
      </c>
      <c r="CN84" s="12"/>
      <c r="CO84" s="212"/>
      <c r="CP84" s="212"/>
      <c r="CQ84" s="212" t="s">
        <v>23</v>
      </c>
      <c r="CR84" s="213">
        <f>IF($D$25="mm",1.2,0.047)</f>
        <v>1.2</v>
      </c>
      <c r="CS84" s="50"/>
      <c r="CT84" s="12" t="str">
        <f>IF($D$25="mm","mm","in")</f>
        <v>mm</v>
      </c>
      <c r="CU84" s="163" t="str">
        <f t="shared" ref="CU84:CU89" si="6">IF($G$8="IC - Internal Combustion","N/A",
IF(CS84="","BLANK",IF(CS84&lt;CR84,"REJECT","EQ")))</f>
        <v>BLANK</v>
      </c>
      <c r="CV84" s="52"/>
      <c r="CW84" s="235" t="s">
        <v>438</v>
      </c>
      <c r="CX84" s="235"/>
      <c r="CY84" s="235"/>
      <c r="CZ84" s="235"/>
      <c r="DA84" s="235"/>
      <c r="DB84" s="235"/>
      <c r="DC84" s="235"/>
      <c r="DD84" s="217"/>
      <c r="DE84" s="217"/>
      <c r="DF84" s="217"/>
      <c r="DG84" s="217"/>
    </row>
    <row r="85" spans="1:111" ht="15" customHeight="1" thickBot="1" x14ac:dyDescent="0.35">
      <c r="A85" s="47" t="s">
        <v>534</v>
      </c>
      <c r="B85" s="19"/>
      <c r="C85" s="19"/>
      <c r="D85" s="19"/>
      <c r="E85" s="19"/>
      <c r="F85" s="49" t="s">
        <v>560</v>
      </c>
      <c r="G85" s="50"/>
      <c r="H85" s="19" t="str">
        <f>IF($D$25="mm","mm","in")</f>
        <v>mm</v>
      </c>
      <c r="I85" s="25" t="str">
        <f>IF(I84="N/A","N/A",IF(G85="","BLANK","EQ"))</f>
        <v>N/A</v>
      </c>
      <c r="K85" s="12"/>
      <c r="L85" s="12"/>
      <c r="U85" s="19" t="s">
        <v>491</v>
      </c>
      <c r="V85" s="19"/>
      <c r="W85" s="19"/>
      <c r="X85" s="19"/>
      <c r="Y85" s="19"/>
      <c r="Z85" s="19"/>
      <c r="AA85" s="19"/>
      <c r="AB85" s="19"/>
      <c r="AC85" s="19"/>
      <c r="AF85" s="212"/>
      <c r="AG85" s="212"/>
      <c r="AH85" s="212"/>
      <c r="AI85" s="49" t="s">
        <v>311</v>
      </c>
      <c r="AJ85" s="163">
        <f>IF(AK77="Straight",8509,18015)</f>
        <v>8509</v>
      </c>
      <c r="AK85" s="163">
        <f>IF(OR(AK80="",AK81=""),"",
IF(AK79="Round",
ROUND((PI()/4)*((AK83/2)^4-((AK83-2*AK82)/2)^4),0),
ROUND((AK83^4-(AK83-2*AK82)^4)/12,0)))</f>
        <v>10997</v>
      </c>
      <c r="AL85" s="12" t="s">
        <v>308</v>
      </c>
      <c r="AM85" s="163" t="str">
        <f t="shared" si="5"/>
        <v>EQ</v>
      </c>
      <c r="AO85" s="200" t="s">
        <v>489</v>
      </c>
      <c r="AQ85" s="212"/>
      <c r="AR85" s="212"/>
      <c r="AS85" s="212" t="s">
        <v>23</v>
      </c>
      <c r="AT85" s="213">
        <f>IF($D$25="mm",2,0.079)</f>
        <v>2</v>
      </c>
      <c r="AU85" s="50">
        <v>2</v>
      </c>
      <c r="AV85" s="12" t="str">
        <f>IF($D$25="mm","mm","in")</f>
        <v>mm</v>
      </c>
      <c r="AW85" s="163" t="str">
        <f>IF(AU85="","BLANK",IF(AU85&lt;AT85,"REJECT","EQ"))</f>
        <v>EQ</v>
      </c>
      <c r="AY85" s="200" t="s">
        <v>492</v>
      </c>
      <c r="AZ85" s="12" t="str">
        <f>IF($D$25="mm",
"Example: 25.4mm x 1.6mm round",
"Example: 1.0in x 0.065in round")</f>
        <v>Example: 25.4mm x 1.6mm round</v>
      </c>
      <c r="BA85" s="212"/>
      <c r="BB85" s="212"/>
      <c r="BC85" s="212"/>
      <c r="BD85" s="163" t="s">
        <v>333</v>
      </c>
      <c r="BE85" s="148" t="s">
        <v>3</v>
      </c>
      <c r="BG85" s="163" t="str">
        <f>IF(BE85="","BLANK","EQ")</f>
        <v>EQ</v>
      </c>
      <c r="BI85" s="291"/>
      <c r="BJ85" s="291"/>
      <c r="BK85" s="291"/>
      <c r="BL85" s="291"/>
      <c r="BM85" s="291"/>
      <c r="BN85" s="291"/>
      <c r="BO85" s="291"/>
      <c r="BP85" s="291"/>
      <c r="BQ85" s="291"/>
      <c r="BS85" s="47"/>
      <c r="BT85" s="49"/>
      <c r="BU85" s="49"/>
      <c r="BV85" s="49"/>
      <c r="BW85" s="49"/>
      <c r="BX85" s="67"/>
      <c r="BY85" s="67"/>
      <c r="BZ85" s="68"/>
      <c r="CA85" s="55"/>
      <c r="CC85" s="286"/>
      <c r="CD85" s="286"/>
      <c r="CE85" s="286"/>
      <c r="CF85" s="286"/>
      <c r="CG85" s="286"/>
      <c r="CH85" s="286"/>
      <c r="CI85" s="286"/>
      <c r="CJ85" s="286"/>
      <c r="CK85" s="286"/>
      <c r="CM85" s="12"/>
      <c r="CN85" s="12"/>
      <c r="CO85" s="212"/>
      <c r="CP85" s="212"/>
      <c r="CQ85" s="212" t="str">
        <f>IF(CS83="Round","Outer Diameter (OD):","Square side:")</f>
        <v>Outer Diameter (OD):</v>
      </c>
      <c r="CR85" s="213">
        <f>IF($D$25="mm",25,0.984)</f>
        <v>25</v>
      </c>
      <c r="CS85" s="50"/>
      <c r="CT85" s="12" t="str">
        <f>IF($D$25="mm","mm","in")</f>
        <v>mm</v>
      </c>
      <c r="CU85" s="163" t="str">
        <f t="shared" si="6"/>
        <v>BLANK</v>
      </c>
      <c r="CW85" s="235"/>
      <c r="CX85" s="235"/>
      <c r="CY85" s="235"/>
      <c r="CZ85" s="235"/>
      <c r="DA85" s="235"/>
      <c r="DB85" s="235"/>
      <c r="DC85" s="235"/>
      <c r="DD85" s="217"/>
      <c r="DE85" s="217"/>
      <c r="DF85" s="217"/>
      <c r="DG85" s="217"/>
    </row>
    <row r="86" spans="1:111" ht="15" customHeight="1" x14ac:dyDescent="0.3">
      <c r="A86" s="58">
        <f>IF($D$25="mm",300*10^6,43.5*10^3)</f>
        <v>300000000</v>
      </c>
      <c r="B86" s="25"/>
      <c r="C86" s="25"/>
      <c r="D86" s="25"/>
      <c r="E86" s="25"/>
      <c r="F86" s="49" t="str">
        <f>IF($D$25="mm","15kN Bending  M*y / I &lt;= UTS:","3371lbs Bending  M*y / I &lt;= UTS:")</f>
        <v>15kN Bending  M*y / I &lt;= UTS:</v>
      </c>
      <c r="G86" s="58" t="str">
        <f>IF(OR(G84="",G85="",),"",IF($D$25="mm",15000,3371)*G79*0.5*G85*IF($D$25="mm",1/10^6,1)/(G84*G85^3*IF($D$25="mm",1/10^12,1)))</f>
        <v/>
      </c>
      <c r="H86" s="103" t="str">
        <f>IF(G86="","",G86/A86)</f>
        <v/>
      </c>
      <c r="I86" s="25" t="str">
        <f>IF(I84="N/A","N/A",IF(H86="","EQ",IF(H86&lt;=1,"EQ","REJECT")))</f>
        <v>N/A</v>
      </c>
      <c r="K86" s="12"/>
      <c r="L86" s="12"/>
      <c r="U86" s="19" t="s">
        <v>153</v>
      </c>
      <c r="V86" s="19"/>
      <c r="W86" s="19"/>
      <c r="X86" s="19"/>
      <c r="Y86" s="19"/>
      <c r="Z86" s="19"/>
      <c r="AA86" s="19"/>
      <c r="AB86" s="19"/>
      <c r="AC86" s="19"/>
      <c r="AQ86" s="212"/>
      <c r="AR86" s="212"/>
      <c r="AS86" s="212" t="str">
        <f>IF(AU84="Round","Outer Diameter (OD):","Square side:")</f>
        <v>Outer Diameter (OD):</v>
      </c>
      <c r="AT86" s="213">
        <f>IF($D$25="mm",25,0.984)</f>
        <v>25</v>
      </c>
      <c r="AU86" s="50">
        <v>30</v>
      </c>
      <c r="AV86" s="12" t="str">
        <f>IF($D$25="mm","mm","in")</f>
        <v>mm</v>
      </c>
      <c r="AW86" s="163" t="str">
        <f t="shared" ref="AW86:AW90" si="7">IF(AU86="","BLANK",IF(AU86&lt;AT86,"REJECT","EQ"))</f>
        <v>EQ</v>
      </c>
      <c r="AY86" s="200" t="s">
        <v>489</v>
      </c>
      <c r="BA86" s="212"/>
      <c r="BB86" s="212"/>
      <c r="BC86" s="212" t="s">
        <v>23</v>
      </c>
      <c r="BD86" s="213">
        <f>IF($D$25="mm",1.2,0.047)</f>
        <v>1.2</v>
      </c>
      <c r="BE86" s="50">
        <v>1.5</v>
      </c>
      <c r="BF86" s="12" t="str">
        <f>IF($D$25="mm","mm","in")</f>
        <v>mm</v>
      </c>
      <c r="BG86" s="163" t="str">
        <f>IF(BE86="","BLANK",IF(BE86&lt;BD86,"REJECT","EQ"))</f>
        <v>EQ</v>
      </c>
      <c r="BI86" s="291"/>
      <c r="BJ86" s="291"/>
      <c r="BK86" s="291"/>
      <c r="BL86" s="291"/>
      <c r="BM86" s="291"/>
      <c r="BN86" s="291"/>
      <c r="BO86" s="291"/>
      <c r="BP86" s="291"/>
      <c r="BQ86" s="291"/>
      <c r="BT86" s="49"/>
      <c r="BU86" s="49"/>
      <c r="BV86" s="49"/>
      <c r="BW86" s="49"/>
      <c r="BX86" s="67"/>
      <c r="BY86" s="67"/>
      <c r="BZ86" s="68"/>
      <c r="CA86" s="55"/>
      <c r="CC86" s="19"/>
      <c r="CD86" s="49"/>
      <c r="CE86" s="49"/>
      <c r="CF86" s="49"/>
      <c r="CG86" s="49"/>
      <c r="CH86" s="67"/>
      <c r="CI86" s="67"/>
      <c r="CJ86" s="68"/>
      <c r="CK86" s="55"/>
      <c r="CM86" s="12"/>
      <c r="CN86" s="12"/>
      <c r="CO86" s="212"/>
      <c r="CP86" s="212"/>
      <c r="CQ86" s="212" t="s">
        <v>23</v>
      </c>
      <c r="CR86" s="216">
        <v>1.2</v>
      </c>
      <c r="CS86" s="163" t="str">
        <f>IF(CS84="","",IF($D$25="mm",CS84,ROUND(CS84*25.4,1)))</f>
        <v/>
      </c>
      <c r="CT86" s="12" t="s">
        <v>202</v>
      </c>
      <c r="CU86" s="163" t="str">
        <f t="shared" si="6"/>
        <v>BLANK</v>
      </c>
      <c r="CW86" s="217"/>
      <c r="CX86" s="217"/>
      <c r="CY86" s="217"/>
      <c r="CZ86" s="217"/>
      <c r="DA86" s="217"/>
      <c r="DB86" s="217"/>
      <c r="DC86" s="217"/>
      <c r="DD86" s="217"/>
      <c r="DE86" s="217"/>
      <c r="DF86" s="217"/>
      <c r="DG86" s="217"/>
    </row>
    <row r="87" spans="1:111" ht="15" customHeight="1" x14ac:dyDescent="0.3">
      <c r="A87" s="220">
        <f>0.577*A86</f>
        <v>173100000</v>
      </c>
      <c r="B87" s="19"/>
      <c r="C87" s="19"/>
      <c r="D87" s="19"/>
      <c r="E87" s="19"/>
      <c r="F87" s="49" t="s">
        <v>558</v>
      </c>
      <c r="G87" s="58" t="str">
        <f>IF(OR(G84="",G85=""),"",3*IF($D$25="mm",15000,3379)/(2*G84*G85*IF($D$25="mm",1/10^6,1)))</f>
        <v/>
      </c>
      <c r="H87" s="103" t="str">
        <f>IF(G87="","",G87/A87)</f>
        <v/>
      </c>
      <c r="I87" s="25" t="str">
        <f>IF(I84="N/A","N/A",IF(H87="","EQ",IF(H87&lt;=1,"EQ","REJECT")))</f>
        <v>N/A</v>
      </c>
      <c r="AE87" s="236" t="str">
        <f>IF(COUNTIF(AM88:AM95,"BLANK"),"BLANK",IF(OR(SUMPRODUCT(--ISERROR(AM88:AM95))&gt;0,COUNTIF(AM88:AM95,"REJECT")),"REJECT",IF(COUNTIF(AM88:AM95,"CHECK"),"CHECK","EQ")))</f>
        <v>EQ</v>
      </c>
      <c r="AF87" s="236"/>
      <c r="AG87" s="236"/>
      <c r="AH87" s="236"/>
      <c r="AI87" s="236"/>
      <c r="AJ87" s="236"/>
      <c r="AK87" s="236"/>
      <c r="AL87" s="236"/>
      <c r="AM87" s="236"/>
      <c r="AQ87" s="212"/>
      <c r="AR87" s="212"/>
      <c r="AS87" s="212" t="s">
        <v>23</v>
      </c>
      <c r="AT87" s="216">
        <v>2</v>
      </c>
      <c r="AU87" s="163">
        <f>IF(AU85="","",IF($D$25="mm",AU85,ROUND(AU85*25.4,1)))</f>
        <v>2</v>
      </c>
      <c r="AV87" s="12" t="s">
        <v>202</v>
      </c>
      <c r="AW87" s="163" t="str">
        <f t="shared" si="7"/>
        <v>EQ</v>
      </c>
      <c r="BA87" s="212"/>
      <c r="BB87" s="212"/>
      <c r="BC87" s="212" t="str">
        <f>IF(BE85="Round","Outer Diameter (OD):","Square side:")</f>
        <v>Outer Diameter (OD):</v>
      </c>
      <c r="BD87" s="213">
        <f>IF($D$25="mm",25,0.984)</f>
        <v>25</v>
      </c>
      <c r="BE87" s="50">
        <v>28</v>
      </c>
      <c r="BF87" s="12" t="str">
        <f>IF($D$25="mm","mm","in")</f>
        <v>mm</v>
      </c>
      <c r="BG87" s="163" t="str">
        <f t="shared" ref="BG87:BG91" si="8">IF(BE87="","BLANK",IF(BE87&lt;BD87,"REJECT","EQ"))</f>
        <v>EQ</v>
      </c>
      <c r="BT87" s="49"/>
      <c r="BU87" s="49"/>
      <c r="BV87" s="49"/>
      <c r="BW87" s="49"/>
      <c r="BX87" s="67"/>
      <c r="BY87" s="67"/>
      <c r="BZ87" s="68"/>
      <c r="CA87" s="55"/>
      <c r="CC87" s="19"/>
      <c r="CD87" s="49"/>
      <c r="CE87" s="49"/>
      <c r="CF87" s="49"/>
      <c r="CG87" s="49"/>
      <c r="CH87" s="67"/>
      <c r="CI87" s="67"/>
      <c r="CJ87" s="68"/>
      <c r="CK87" s="55"/>
      <c r="CM87" s="12"/>
      <c r="CN87" s="12"/>
      <c r="CO87" s="212"/>
      <c r="CP87" s="212"/>
      <c r="CQ87" s="212" t="str">
        <f>IF(CS83="Round","Outer Diameter (OD):","Square side:")</f>
        <v>Outer Diameter (OD):</v>
      </c>
      <c r="CR87" s="216">
        <v>25</v>
      </c>
      <c r="CS87" s="163" t="str">
        <f>IF(CS85="","",IF($D$25="mm",CS85,ROUND(CS85*25.4,1)))</f>
        <v/>
      </c>
      <c r="CT87" s="12" t="s">
        <v>202</v>
      </c>
      <c r="CU87" s="163" t="str">
        <f t="shared" si="6"/>
        <v>BLANK</v>
      </c>
      <c r="CW87" s="191" t="s">
        <v>440</v>
      </c>
    </row>
    <row r="88" spans="1:111" ht="15" customHeight="1" thickBot="1" x14ac:dyDescent="0.35">
      <c r="B88" s="212"/>
      <c r="C88" s="212"/>
      <c r="D88" s="212"/>
      <c r="E88" s="49"/>
      <c r="F88" s="163"/>
      <c r="G88" s="163"/>
      <c r="I88" s="163"/>
      <c r="U88" s="236" t="str">
        <f>IF(COUNTIF(AC89:AC96,"BLANK"),"BLANK",IF(OR(SUMPRODUCT(--ISERROR(AC89:AC96))&gt;0,COUNTIF(AC89:AC96,"REJECT")),"REJECT",IF(COUNTIF(AC89:AC96,"CHECK"),"CHECK","EQ")))</f>
        <v>EQ</v>
      </c>
      <c r="V88" s="236"/>
      <c r="W88" s="236"/>
      <c r="X88" s="236"/>
      <c r="Y88" s="236"/>
      <c r="Z88" s="236"/>
      <c r="AA88" s="236"/>
      <c r="AB88" s="236"/>
      <c r="AC88" s="236"/>
      <c r="AE88" s="200" t="s">
        <v>349</v>
      </c>
      <c r="AF88" s="191" t="s">
        <v>351</v>
      </c>
      <c r="AG88" s="163"/>
      <c r="AH88" s="163"/>
      <c r="AI88" s="163"/>
      <c r="AJ88" s="200" t="s">
        <v>304</v>
      </c>
      <c r="AK88" s="259" t="s">
        <v>305</v>
      </c>
      <c r="AL88" s="259"/>
      <c r="AM88" s="163" t="s">
        <v>89</v>
      </c>
      <c r="AQ88" s="212"/>
      <c r="AR88" s="212"/>
      <c r="AS88" s="212" t="str">
        <f>IF(AU84="Round","Outer Diameter (OD):","Square side:")</f>
        <v>Outer Diameter (OD):</v>
      </c>
      <c r="AT88" s="216">
        <v>25</v>
      </c>
      <c r="AU88" s="163">
        <f>IF(AU86="","",IF($D$25="mm",AU86,ROUND(AU86*25.4,1)))</f>
        <v>30</v>
      </c>
      <c r="AV88" s="12" t="s">
        <v>202</v>
      </c>
      <c r="AW88" s="163" t="str">
        <f t="shared" si="7"/>
        <v>EQ</v>
      </c>
      <c r="BA88" s="212"/>
      <c r="BB88" s="212"/>
      <c r="BC88" s="212" t="s">
        <v>23</v>
      </c>
      <c r="BD88" s="216">
        <v>1.2</v>
      </c>
      <c r="BE88" s="163">
        <f>IF(BE86="","",IF($D$25="mm",BE86,ROUND(BE86*25.4,1)))</f>
        <v>1.5</v>
      </c>
      <c r="BF88" s="12" t="s">
        <v>202</v>
      </c>
      <c r="BG88" s="163" t="str">
        <f t="shared" si="8"/>
        <v>EQ</v>
      </c>
      <c r="BI88" s="236" t="str">
        <f>IF(COUNTIF(BQ89:BQ105,"BLANK"),"BLANK",IF(OR(SUMPRODUCT(--ISERROR(BQ89:BQ105))&gt;0,COUNTIF(BQ89:BQ105,"REJECT")),"REJECT",IF(COUNTIF(BQ89:BQ105,"CHECK"),"CHECK","EQ")))</f>
        <v>BLANK</v>
      </c>
      <c r="BJ88" s="236"/>
      <c r="BK88" s="236"/>
      <c r="BL88" s="236"/>
      <c r="BM88" s="236"/>
      <c r="BN88" s="236"/>
      <c r="BO88" s="236"/>
      <c r="BP88" s="236"/>
      <c r="BQ88" s="236"/>
      <c r="BT88" s="49"/>
      <c r="BU88" s="49"/>
      <c r="BV88" s="49"/>
      <c r="BW88" s="49"/>
      <c r="BX88" s="67"/>
      <c r="BY88" s="67"/>
      <c r="BZ88" s="68"/>
      <c r="CA88" s="55"/>
      <c r="CC88" s="19"/>
      <c r="CD88" s="49"/>
      <c r="CE88" s="49"/>
      <c r="CF88" s="49"/>
      <c r="CG88" s="49"/>
      <c r="CH88" s="67"/>
      <c r="CI88" s="67"/>
      <c r="CJ88" s="68"/>
      <c r="CK88" s="55"/>
      <c r="CM88" s="12"/>
      <c r="CN88" s="212"/>
      <c r="CO88" s="212"/>
      <c r="CP88" s="212"/>
      <c r="CQ88" s="49" t="s">
        <v>310</v>
      </c>
      <c r="CR88" s="163">
        <f>IF(CR83="Size C",91,114)</f>
        <v>91</v>
      </c>
      <c r="CS88" s="163" t="str">
        <f>IF(OR(CS84="",CS85=""),"",
IF(CS83="Round",
ROUND(PI()*((CS87/2)^2-((CS87-2*CS86)/2)^2),0),
ROUND(CS87^2-(CS87-2*CS86)^2,0)))</f>
        <v/>
      </c>
      <c r="CT88" s="12" t="s">
        <v>307</v>
      </c>
      <c r="CU88" s="163" t="str">
        <f t="shared" si="6"/>
        <v>BLANK</v>
      </c>
      <c r="CW88" s="12" t="s">
        <v>439</v>
      </c>
    </row>
    <row r="89" spans="1:111" ht="15" customHeight="1" thickBot="1" x14ac:dyDescent="0.35">
      <c r="A89" s="299" t="s">
        <v>341</v>
      </c>
      <c r="B89" s="299"/>
      <c r="C89" s="299"/>
      <c r="D89" s="299"/>
      <c r="E89" s="299"/>
      <c r="F89" s="299"/>
      <c r="G89" s="299"/>
      <c r="H89" s="299"/>
      <c r="I89" s="299"/>
      <c r="K89" s="12"/>
      <c r="L89" s="12"/>
      <c r="U89" s="200" t="s">
        <v>318</v>
      </c>
      <c r="V89" s="191" t="s">
        <v>319</v>
      </c>
      <c r="W89" s="163"/>
      <c r="X89" s="163"/>
      <c r="Y89" s="163"/>
      <c r="Z89" s="200" t="s">
        <v>304</v>
      </c>
      <c r="AA89" s="259" t="s">
        <v>305</v>
      </c>
      <c r="AB89" s="259"/>
      <c r="AC89" s="163" t="s">
        <v>89</v>
      </c>
      <c r="AE89" s="200" t="s">
        <v>492</v>
      </c>
      <c r="AF89" s="12" t="str">
        <f>IF($D$25="mm",
"Example: 25.4mm x 1.6mm round",
"Example: 1.0in x 0.065in round")</f>
        <v>Example: 25.4mm x 1.6mm round</v>
      </c>
      <c r="AG89" s="212"/>
      <c r="AH89" s="212"/>
      <c r="AI89" s="212"/>
      <c r="AJ89" s="163" t="s">
        <v>333</v>
      </c>
      <c r="AK89" s="148" t="s">
        <v>3</v>
      </c>
      <c r="AM89" s="163" t="str">
        <f>IF(AK89="","BLANK","EQ")</f>
        <v>EQ</v>
      </c>
      <c r="AP89" s="212"/>
      <c r="AQ89" s="212"/>
      <c r="AR89" s="212"/>
      <c r="AS89" s="49" t="s">
        <v>310</v>
      </c>
      <c r="AT89" s="163">
        <v>173</v>
      </c>
      <c r="AU89" s="163">
        <f>IF(OR(AU85="",AU86=""),"",
IF(AU84="Round",
ROUND(PI()*((AU88/2)^2-((AU88-2*AU87)/2)^2),0),
ROUND(AU88^2-(AU88-2*AU87)^2,0)))</f>
        <v>176</v>
      </c>
      <c r="AV89" s="12" t="s">
        <v>307</v>
      </c>
      <c r="AW89" s="163" t="str">
        <f t="shared" si="7"/>
        <v>EQ</v>
      </c>
      <c r="BA89" s="212"/>
      <c r="BB89" s="212"/>
      <c r="BC89" s="212" t="str">
        <f>IF(BE85="Round","Outer Diameter (OD):","Square side:")</f>
        <v>Outer Diameter (OD):</v>
      </c>
      <c r="BD89" s="216">
        <v>25</v>
      </c>
      <c r="BE89" s="163">
        <f>IF(BE87="","",IF($D$25="mm",BE87,ROUND(BE87*25.4,1)))</f>
        <v>28</v>
      </c>
      <c r="BF89" s="12" t="s">
        <v>202</v>
      </c>
      <c r="BG89" s="163" t="str">
        <f t="shared" si="8"/>
        <v>EQ</v>
      </c>
      <c r="BI89" s="200" t="s">
        <v>395</v>
      </c>
      <c r="BJ89" s="250" t="s">
        <v>63</v>
      </c>
      <c r="BK89" s="250"/>
      <c r="BL89" s="250"/>
      <c r="BM89" s="250"/>
      <c r="BN89" s="243" t="s">
        <v>64</v>
      </c>
      <c r="BO89" s="247"/>
      <c r="BP89" s="244"/>
      <c r="BQ89" s="163" t="str">
        <f>IF(OR(BN89="Select drop down:",BN89=""),"BLANK","EQ")</f>
        <v>BLANK</v>
      </c>
      <c r="BT89" s="49"/>
      <c r="BU89" s="49"/>
      <c r="BV89" s="49"/>
      <c r="BW89" s="49"/>
      <c r="BX89" s="67"/>
      <c r="BY89" s="67"/>
      <c r="BZ89" s="68"/>
      <c r="CA89" s="55"/>
      <c r="CC89" s="19"/>
      <c r="CD89" s="49"/>
      <c r="CE89" s="49"/>
      <c r="CF89" s="49"/>
      <c r="CG89" s="49"/>
      <c r="CH89" s="67"/>
      <c r="CI89" s="67"/>
      <c r="CJ89" s="68"/>
      <c r="CK89" s="55"/>
      <c r="CM89" s="12"/>
      <c r="CN89" s="212"/>
      <c r="CO89" s="212"/>
      <c r="CP89" s="212"/>
      <c r="CQ89" s="49" t="s">
        <v>311</v>
      </c>
      <c r="CR89" s="163">
        <f>IF(CR83="Size C",6695,8509)</f>
        <v>6695</v>
      </c>
      <c r="CS89" s="163" t="str">
        <f>IF(OR(CS84="",CS85=""),"",
IF(CS83="Round",
ROUND((PI()/4)*((CS87/2)^4-((CS87-2*CS86)/2)^4),0),
ROUND((CS87^4-(CS87-2*CS86)^4)/12,0)))</f>
        <v/>
      </c>
      <c r="CT89" s="12" t="s">
        <v>308</v>
      </c>
      <c r="CU89" s="163" t="str">
        <f t="shared" si="6"/>
        <v>BLANK</v>
      </c>
      <c r="CW89" s="12" t="s">
        <v>437</v>
      </c>
    </row>
    <row r="90" spans="1:111" ht="15" customHeight="1" thickBot="1" x14ac:dyDescent="0.35">
      <c r="A90" s="299"/>
      <c r="B90" s="299"/>
      <c r="C90" s="299"/>
      <c r="D90" s="299"/>
      <c r="E90" s="299"/>
      <c r="F90" s="299"/>
      <c r="G90" s="299"/>
      <c r="H90" s="299"/>
      <c r="I90" s="299"/>
      <c r="U90" s="200" t="s">
        <v>492</v>
      </c>
      <c r="V90" s="12" t="str">
        <f>IF($D$25="mm",
"Example: 25.4mm x 1.2mm round",
"Example: 1.0in x 0.047in round")</f>
        <v>Example: 25.4mm x 1.2mm round</v>
      </c>
      <c r="W90" s="212"/>
      <c r="X90" s="212"/>
      <c r="Y90" s="212"/>
      <c r="Z90" s="163" t="s">
        <v>334</v>
      </c>
      <c r="AA90" s="148" t="s">
        <v>3</v>
      </c>
      <c r="AC90" s="163" t="str">
        <f>IF(AA90="","BLANK","EQ")</f>
        <v>EQ</v>
      </c>
      <c r="AE90" s="200" t="s">
        <v>489</v>
      </c>
      <c r="AG90" s="212"/>
      <c r="AH90" s="212"/>
      <c r="AI90" s="212" t="s">
        <v>23</v>
      </c>
      <c r="AJ90" s="213">
        <f>IF($D$25="mm",1.2,0.047)</f>
        <v>1.2</v>
      </c>
      <c r="AK90" s="50">
        <v>1.5</v>
      </c>
      <c r="AL90" s="12" t="str">
        <f>IF($D$25="mm","mm","in")</f>
        <v>mm</v>
      </c>
      <c r="AM90" s="163" t="str">
        <f>IF(AK90="","BLANK",IF(AK90&lt;AJ90,"REJECT","EQ"))</f>
        <v>EQ</v>
      </c>
      <c r="AP90" s="212"/>
      <c r="AQ90" s="212"/>
      <c r="AR90" s="212"/>
      <c r="AS90" s="49" t="s">
        <v>311</v>
      </c>
      <c r="AT90" s="163">
        <v>11320</v>
      </c>
      <c r="AU90" s="163">
        <f>IF(OR(AU85="",AU86=""),"",
IF(AU84="Round",
ROUND((PI()/4)*((AU88/2)^4-((AU88-2*AU87)/2)^4),0),
ROUND((AU88^4-(AU88-2*AU87)^4)/12,0)))</f>
        <v>17329</v>
      </c>
      <c r="AV90" s="12" t="s">
        <v>308</v>
      </c>
      <c r="AW90" s="163" t="str">
        <f t="shared" si="7"/>
        <v>EQ</v>
      </c>
      <c r="AZ90" s="212"/>
      <c r="BA90" s="212"/>
      <c r="BB90" s="212"/>
      <c r="BC90" s="49" t="s">
        <v>310</v>
      </c>
      <c r="BD90" s="163">
        <v>114</v>
      </c>
      <c r="BE90" s="163">
        <f>IF(OR(BE86="",BE87=""),"",
IF(BE85="Round",
ROUND(PI()*((BE89/2)^2-((BE89-2*BE88)/2)^2),0),
ROUND(BE89^2-(BE89-2*BE88)^2,0)))</f>
        <v>125</v>
      </c>
      <c r="BF90" s="12" t="s">
        <v>307</v>
      </c>
      <c r="BG90" s="163" t="str">
        <f t="shared" si="8"/>
        <v>EQ</v>
      </c>
      <c r="BI90" s="200" t="s">
        <v>539</v>
      </c>
      <c r="BJ90" s="191" t="s">
        <v>487</v>
      </c>
      <c r="BK90" s="163"/>
      <c r="BL90" s="163"/>
      <c r="BM90" s="163"/>
      <c r="BN90" s="200" t="s">
        <v>304</v>
      </c>
      <c r="BO90" s="259" t="s">
        <v>305</v>
      </c>
      <c r="BP90" s="259"/>
      <c r="BQ90" s="163" t="str">
        <f>IF(NOT(BN89="Mounted on MHB with Brace."),"N/A","EQ")</f>
        <v>N/A</v>
      </c>
      <c r="BS90" s="286"/>
      <c r="BT90" s="286"/>
      <c r="BU90" s="286"/>
      <c r="BV90" s="286"/>
      <c r="BW90" s="286"/>
      <c r="BX90" s="286"/>
      <c r="BY90" s="286"/>
      <c r="BZ90" s="286"/>
      <c r="CA90" s="286"/>
      <c r="CC90" s="19"/>
      <c r="CD90" s="19"/>
      <c r="CM90" s="47"/>
      <c r="CN90" s="49"/>
      <c r="CO90" s="49"/>
      <c r="CP90" s="49"/>
      <c r="CQ90" s="49"/>
      <c r="CR90" s="67"/>
      <c r="CS90" s="67"/>
      <c r="CT90" s="68"/>
      <c r="CU90" s="55"/>
    </row>
    <row r="91" spans="1:111" ht="15" customHeight="1" thickBot="1" x14ac:dyDescent="0.35">
      <c r="A91" s="299"/>
      <c r="B91" s="299"/>
      <c r="C91" s="299"/>
      <c r="D91" s="299"/>
      <c r="E91" s="299"/>
      <c r="F91" s="299"/>
      <c r="G91" s="299"/>
      <c r="H91" s="299"/>
      <c r="I91" s="299"/>
      <c r="U91" s="200" t="s">
        <v>489</v>
      </c>
      <c r="W91" s="212"/>
      <c r="X91" s="212"/>
      <c r="Y91" s="212" t="s">
        <v>23</v>
      </c>
      <c r="Z91" s="213">
        <f>IF($D$25="mm",1.2,0.047)</f>
        <v>1.2</v>
      </c>
      <c r="AA91" s="50">
        <v>1.5</v>
      </c>
      <c r="AB91" s="12" t="str">
        <f>IF($D$25="mm","mm","in")</f>
        <v>mm</v>
      </c>
      <c r="AC91" s="163" t="str">
        <f>IF(AA91="","BLANK",IF(AA91&lt;Z91,"REJECT","EQ"))</f>
        <v>EQ</v>
      </c>
      <c r="AG91" s="212"/>
      <c r="AH91" s="212"/>
      <c r="AI91" s="212" t="str">
        <f>IF(AK89="Round","Outer Diameter (OD):","Square side:")</f>
        <v>Outer Diameter (OD):</v>
      </c>
      <c r="AJ91" s="213">
        <f>IF($D$25="mm",25,0.984)</f>
        <v>25</v>
      </c>
      <c r="AK91" s="50">
        <v>28</v>
      </c>
      <c r="AL91" s="12" t="str">
        <f>IF($D$25="mm","mm","in")</f>
        <v>mm</v>
      </c>
      <c r="AM91" s="163" t="str">
        <f t="shared" ref="AM91:AM95" si="9">IF(AK91="","BLANK",IF(AK91&lt;AJ91,"REJECT","EQ"))</f>
        <v>EQ</v>
      </c>
      <c r="AP91" s="212"/>
      <c r="AQ91" s="212"/>
      <c r="AR91" s="212"/>
      <c r="AS91" s="49"/>
      <c r="AT91" s="163"/>
      <c r="AU91" s="163"/>
      <c r="AW91" s="163"/>
      <c r="AZ91" s="212"/>
      <c r="BA91" s="212"/>
      <c r="BB91" s="212"/>
      <c r="BC91" s="49" t="s">
        <v>311</v>
      </c>
      <c r="BD91" s="163">
        <v>8509</v>
      </c>
      <c r="BE91" s="163">
        <f>IF(OR(BE86="",BE87=""),"",
IF(BE85="Round",
ROUND((PI()/4)*((BE89/2)^4-((BE89-2*BE88)/2)^4),0),
ROUND((BE89^4-(BE89-2*BE88)^4)/12,0)))</f>
        <v>10997</v>
      </c>
      <c r="BF91" s="12" t="s">
        <v>308</v>
      </c>
      <c r="BG91" s="163" t="str">
        <f t="shared" si="8"/>
        <v>EQ</v>
      </c>
      <c r="BI91" s="200" t="s">
        <v>492</v>
      </c>
      <c r="BJ91" s="12" t="str">
        <f>IF($D$25="mm",
"Example: 25.4mm x 1.2mm round",
"Example: 1.0in x 0.047in round")</f>
        <v>Example: 25.4mm x 1.2mm round</v>
      </c>
      <c r="BK91" s="212"/>
      <c r="BL91" s="212"/>
      <c r="BM91" s="212"/>
      <c r="BN91" s="163" t="s">
        <v>334</v>
      </c>
      <c r="BO91" s="148" t="s">
        <v>3</v>
      </c>
      <c r="BQ91" s="163" t="str">
        <f>IF(NOT(BN89="Mounted on MHB with Brace."),"N/A",
IF(BO91="","BLANK","EQ"))</f>
        <v>N/A</v>
      </c>
      <c r="CC91" s="19"/>
      <c r="CD91" s="19"/>
      <c r="CM91" s="272" t="str">
        <f>IF(COUNTIF(CU92:CU113,"BLANK"),"BLANK",IF(OR(SUMPRODUCT(--ISERROR(CU92:CU113))&gt;0,COUNTIF(CU92:CU113,"REJECT")),"REJECT",IF(COUNTIF(CU92:CU113,"CHECK"),"CHECK","EQ")))</f>
        <v>BLANK</v>
      </c>
      <c r="CN91" s="272"/>
      <c r="CO91" s="272"/>
      <c r="CP91" s="272"/>
      <c r="CQ91" s="272"/>
      <c r="CR91" s="272"/>
      <c r="CS91" s="272"/>
      <c r="CT91" s="272"/>
      <c r="CU91" s="272"/>
    </row>
    <row r="92" spans="1:111" ht="15" customHeight="1" thickBot="1" x14ac:dyDescent="0.35">
      <c r="A92" s="299"/>
      <c r="B92" s="299"/>
      <c r="C92" s="299"/>
      <c r="D92" s="299"/>
      <c r="E92" s="299"/>
      <c r="F92" s="299"/>
      <c r="G92" s="299"/>
      <c r="H92" s="299"/>
      <c r="I92" s="299"/>
      <c r="W92" s="212"/>
      <c r="X92" s="212"/>
      <c r="Y92" s="212" t="str">
        <f>IF(AA90="Round","Outer Diameter (OD):","Square side:")</f>
        <v>Outer Diameter (OD):</v>
      </c>
      <c r="Z92" s="213">
        <f>IF($D$25="mm",25,0.984)</f>
        <v>25</v>
      </c>
      <c r="AA92" s="50">
        <v>25</v>
      </c>
      <c r="AB92" s="12" t="str">
        <f>IF($D$25="mm","mm","in")</f>
        <v>mm</v>
      </c>
      <c r="AC92" s="163" t="str">
        <f t="shared" ref="AC92:AC96" si="10">IF(AA92="","BLANK",IF(AA92&lt;Z92,"REJECT","EQ"))</f>
        <v>EQ</v>
      </c>
      <c r="AG92" s="212"/>
      <c r="AH92" s="212"/>
      <c r="AI92" s="212" t="s">
        <v>23</v>
      </c>
      <c r="AJ92" s="216">
        <v>1.2</v>
      </c>
      <c r="AK92" s="163">
        <f>IF(AK90="","",IF($D$25="mm",AK90,ROUND(AK90*25.4,1)))</f>
        <v>1.5</v>
      </c>
      <c r="AL92" s="12" t="s">
        <v>202</v>
      </c>
      <c r="AM92" s="163" t="str">
        <f t="shared" si="9"/>
        <v>EQ</v>
      </c>
      <c r="AP92" s="259" t="str">
        <f>IF(AU82="Straight","Shoulder Harness Bar does not require braces.","Shoulder Harness Bar bends requires braces.")</f>
        <v>Shoulder Harness Bar does not require braces.</v>
      </c>
      <c r="AQ92" s="259"/>
      <c r="AR92" s="259"/>
      <c r="AS92" s="259"/>
      <c r="AT92" s="259"/>
      <c r="AU92" s="259"/>
      <c r="AV92" s="259"/>
      <c r="AW92" s="163"/>
      <c r="BI92" s="200" t="s">
        <v>489</v>
      </c>
      <c r="BK92" s="212"/>
      <c r="BL92" s="212"/>
      <c r="BM92" s="212" t="s">
        <v>23</v>
      </c>
      <c r="BN92" s="213">
        <f>IF($D$25="mm",1.2,0.047)</f>
        <v>1.2</v>
      </c>
      <c r="BO92" s="50"/>
      <c r="BP92" s="12" t="str">
        <f>IF($D$25="mm","mm","in")</f>
        <v>mm</v>
      </c>
      <c r="BQ92" s="163" t="str">
        <f>IF(NOT(BN89="Mounted on MHB with Brace."),"N/A",
IF(BO92="","BLANK",IF(BO92&lt;BN92,"REJECT","EQ")))</f>
        <v>N/A</v>
      </c>
      <c r="BS92" s="272"/>
      <c r="BT92" s="272"/>
      <c r="BU92" s="272"/>
      <c r="BV92" s="272"/>
      <c r="BW92" s="272"/>
      <c r="BX92" s="272"/>
      <c r="BY92" s="272"/>
      <c r="BZ92" s="272"/>
      <c r="CA92" s="272"/>
      <c r="CC92" s="25"/>
      <c r="CD92" s="25"/>
      <c r="CE92" s="25"/>
      <c r="CF92" s="25"/>
      <c r="CG92" s="25"/>
      <c r="CH92" s="25"/>
      <c r="CI92" s="25"/>
      <c r="CJ92" s="25"/>
      <c r="CK92" s="25"/>
      <c r="CM92" s="47" t="str">
        <f>CM81</f>
        <v>F.11.2.3</v>
      </c>
      <c r="CN92" s="292" t="s">
        <v>469</v>
      </c>
      <c r="CO92" s="292"/>
      <c r="CP92" s="292"/>
      <c r="CQ92" s="292"/>
      <c r="CR92" s="243" t="s">
        <v>301</v>
      </c>
      <c r="CS92" s="244"/>
      <c r="CU92" s="25" t="str">
        <f>IF($G$8="IC - Internal Combustion","N/A",
IF(CR92="","BLANK","EQ"))</f>
        <v>EQ</v>
      </c>
    </row>
    <row r="93" spans="1:111" ht="15" customHeight="1" thickBot="1" x14ac:dyDescent="0.35">
      <c r="A93" s="270" t="s">
        <v>342</v>
      </c>
      <c r="B93" s="270"/>
      <c r="C93" s="270"/>
      <c r="D93" s="270"/>
      <c r="E93" s="270"/>
      <c r="F93" s="270"/>
      <c r="G93" s="270"/>
      <c r="H93" s="270"/>
      <c r="I93" s="270"/>
      <c r="K93" s="12"/>
      <c r="L93" s="12"/>
      <c r="W93" s="212"/>
      <c r="X93" s="212"/>
      <c r="Y93" s="212" t="s">
        <v>23</v>
      </c>
      <c r="Z93" s="216">
        <v>1.2</v>
      </c>
      <c r="AA93" s="163">
        <f>IF(AA91="","",IF($D$25="mm",AA91,ROUND(AA91*25.4,1)))</f>
        <v>1.5</v>
      </c>
      <c r="AB93" s="12" t="s">
        <v>202</v>
      </c>
      <c r="AC93" s="163" t="str">
        <f t="shared" si="10"/>
        <v>EQ</v>
      </c>
      <c r="AG93" s="212"/>
      <c r="AH93" s="212"/>
      <c r="AI93" s="212" t="str">
        <f>IF(AK89="Round","Outer Diameter (OD):","Square side:")</f>
        <v>Outer Diameter (OD):</v>
      </c>
      <c r="AJ93" s="216">
        <v>25</v>
      </c>
      <c r="AK93" s="163">
        <f>IF(AK91="","",IF($D$25="mm",AK91,ROUND(AK91*25.4,1)))</f>
        <v>28</v>
      </c>
      <c r="AL93" s="12" t="s">
        <v>202</v>
      </c>
      <c r="AM93" s="163" t="str">
        <f t="shared" si="9"/>
        <v>EQ</v>
      </c>
      <c r="AY93" s="236" t="str">
        <f>IF(COUNTIF(BG94:BG101,"BLANK"),"BLANK",IF(OR(SUMPRODUCT(--ISERROR(BG94:BG101))&gt;0,COUNTIF(BG94:BG101,"REJECT")),"REJECT",IF(COUNTIF(BG94:BG101,"CHECK"),"CHECK","EQ")))</f>
        <v>EQ</v>
      </c>
      <c r="AZ93" s="236"/>
      <c r="BA93" s="236"/>
      <c r="BB93" s="236"/>
      <c r="BC93" s="236"/>
      <c r="BD93" s="236"/>
      <c r="BE93" s="236"/>
      <c r="BF93" s="236"/>
      <c r="BG93" s="236"/>
      <c r="BK93" s="212"/>
      <c r="BL93" s="212"/>
      <c r="BM93" s="212" t="str">
        <f>IF(BO91="Round","Outer Diameter (OD):","Square side:")</f>
        <v>Outer Diameter (OD):</v>
      </c>
      <c r="BN93" s="213">
        <f>IF($D$25="mm",25,0.984)</f>
        <v>25</v>
      </c>
      <c r="BO93" s="50"/>
      <c r="BP93" s="12" t="str">
        <f>IF($D$25="mm","mm","in")</f>
        <v>mm</v>
      </c>
      <c r="BQ93" s="163" t="str">
        <f>IF(NOT(BN89="Mounted on MHB with Brace."),"N/A",
IF(BO93="","BLANK",IF(BO93&lt;BN93,"REJECT","EQ")))</f>
        <v>N/A</v>
      </c>
      <c r="BS93" s="47"/>
      <c r="BT93" s="292"/>
      <c r="BU93" s="292"/>
      <c r="BV93" s="292"/>
      <c r="BW93" s="292"/>
      <c r="BX93" s="296"/>
      <c r="BY93" s="296"/>
      <c r="CA93" s="25"/>
      <c r="CD93" s="48"/>
      <c r="CE93" s="48"/>
      <c r="CF93" s="48"/>
      <c r="CG93" s="48"/>
      <c r="CH93" s="47"/>
      <c r="CI93" s="47"/>
      <c r="CK93" s="25"/>
      <c r="CM93" s="47"/>
      <c r="CN93" s="46" t="str">
        <f>CN82</f>
        <v>Tractive Rear Impact Protection</v>
      </c>
      <c r="CO93" s="49"/>
      <c r="CP93" s="49"/>
      <c r="CQ93" s="49"/>
      <c r="CR93" s="200" t="s">
        <v>304</v>
      </c>
      <c r="CS93" s="259" t="s">
        <v>305</v>
      </c>
      <c r="CT93" s="259"/>
      <c r="CU93" s="163" t="str">
        <f>IF($G$8="IC - Internal Combustion","N/A",
"EQ")</f>
        <v>EQ</v>
      </c>
    </row>
    <row r="94" spans="1:111" ht="15" customHeight="1" thickBot="1" x14ac:dyDescent="0.35">
      <c r="A94" s="270"/>
      <c r="B94" s="270"/>
      <c r="C94" s="270"/>
      <c r="D94" s="270"/>
      <c r="E94" s="270"/>
      <c r="F94" s="270"/>
      <c r="G94" s="270"/>
      <c r="H94" s="270"/>
      <c r="I94" s="270"/>
      <c r="K94" s="12"/>
      <c r="L94" s="12"/>
      <c r="W94" s="212"/>
      <c r="X94" s="212"/>
      <c r="Y94" s="212" t="str">
        <f>IF(AA90="Round","Outer Diameter (OD):","Square side:")</f>
        <v>Outer Diameter (OD):</v>
      </c>
      <c r="Z94" s="216">
        <v>25</v>
      </c>
      <c r="AA94" s="163">
        <f>IF(AA92="","",IF($D$25="mm",AA92,ROUND(AA92*25.4,1)))</f>
        <v>25</v>
      </c>
      <c r="AB94" s="12" t="s">
        <v>202</v>
      </c>
      <c r="AC94" s="163" t="str">
        <f t="shared" si="10"/>
        <v>EQ</v>
      </c>
      <c r="AF94" s="212"/>
      <c r="AG94" s="212"/>
      <c r="AH94" s="212"/>
      <c r="AI94" s="49" t="s">
        <v>310</v>
      </c>
      <c r="AJ94" s="163">
        <v>114</v>
      </c>
      <c r="AK94" s="163">
        <f>IF(OR(AK90="",AK91=""),"",
IF(AK89="Round",
ROUND(PI()*((AK93/2)^2-((AK93-2*AK92)/2)^2),0),
ROUND(AK93^2-(AK93-2*AK92)^2,0)))</f>
        <v>125</v>
      </c>
      <c r="AL94" s="12" t="s">
        <v>307</v>
      </c>
      <c r="AM94" s="163" t="str">
        <f t="shared" si="9"/>
        <v>EQ</v>
      </c>
      <c r="AO94" s="236" t="str">
        <f>IF(COUNTIF(AW95,"BLANK"),"BLANK",IF(OR(SUMPRODUCT(--ISERROR(AW95))&gt;0,COUNTIF(AW95,"REJECT")),"REJECT",IF(COUNTIF(AW95,"CHECK"),"CHECK","EQ")))</f>
        <v>EQ</v>
      </c>
      <c r="AP94" s="236"/>
      <c r="AQ94" s="236"/>
      <c r="AR94" s="236"/>
      <c r="AS94" s="236"/>
      <c r="AT94" s="236"/>
      <c r="AU94" s="236"/>
      <c r="AV94" s="236"/>
      <c r="AW94" s="236"/>
      <c r="AY94" s="200" t="s">
        <v>368</v>
      </c>
      <c r="AZ94" s="191" t="s">
        <v>367</v>
      </c>
      <c r="BA94" s="163"/>
      <c r="BB94" s="163"/>
      <c r="BC94" s="163"/>
      <c r="BD94" s="200" t="s">
        <v>304</v>
      </c>
      <c r="BE94" s="259" t="s">
        <v>305</v>
      </c>
      <c r="BF94" s="259"/>
      <c r="BG94" s="163" t="s">
        <v>89</v>
      </c>
      <c r="BK94" s="212"/>
      <c r="BL94" s="212"/>
      <c r="BM94" s="212" t="s">
        <v>23</v>
      </c>
      <c r="BN94" s="216">
        <v>1.2</v>
      </c>
      <c r="BO94" s="163" t="str">
        <f>IF(BO92="","",IF($D$25="mm",BO92,ROUND(BO92*25.4,1)))</f>
        <v/>
      </c>
      <c r="BP94" s="12" t="s">
        <v>202</v>
      </c>
      <c r="BQ94" s="163" t="str">
        <f>IF(NOT(BN89="Mounted on MHB with Brace."),"N/A",
IF(BO94="","BLANK",IF(BO94&lt;BN94,"REJECT","EQ")))</f>
        <v>N/A</v>
      </c>
      <c r="BS94" s="292"/>
      <c r="BT94" s="292"/>
      <c r="BU94" s="292"/>
      <c r="BV94" s="292"/>
      <c r="BW94" s="292"/>
      <c r="BX94" s="293"/>
      <c r="BY94" s="293"/>
      <c r="BZ94" s="47"/>
      <c r="CA94" s="25"/>
      <c r="CC94" s="48"/>
      <c r="CD94" s="48"/>
      <c r="CE94" s="48"/>
      <c r="CF94" s="48"/>
      <c r="CG94" s="48"/>
      <c r="CH94" s="72"/>
      <c r="CI94" s="72"/>
      <c r="CJ94" s="47"/>
      <c r="CK94" s="25"/>
      <c r="CM94" s="200" t="s">
        <v>492</v>
      </c>
      <c r="CN94" s="19" t="str">
        <f>IF(CR92="Tube",CN83,"")</f>
        <v>Example: 25.4mm x 1.2mm round</v>
      </c>
      <c r="CO94" s="49"/>
      <c r="CP94" s="49"/>
      <c r="CQ94" s="49"/>
      <c r="CR94" s="25" t="str">
        <f>IF(CT92="No","Size B","Size C")</f>
        <v>Size C</v>
      </c>
      <c r="CS94" s="148" t="s">
        <v>3</v>
      </c>
      <c r="CT94" s="12"/>
      <c r="CU94" s="163" t="str">
        <f>IF($G$8="IC - Internal Combustion","N/A",
IF(CR$92="Differential Mounts","N/A",
IF(CS94="","BLANK","EQ")))</f>
        <v>EQ</v>
      </c>
      <c r="CW94" s="200"/>
    </row>
    <row r="95" spans="1:111" ht="15" customHeight="1" thickBot="1" x14ac:dyDescent="0.35">
      <c r="A95" s="271"/>
      <c r="B95" s="271"/>
      <c r="C95" s="271"/>
      <c r="D95" s="271"/>
      <c r="E95" s="271"/>
      <c r="F95" s="271"/>
      <c r="G95" s="271"/>
      <c r="H95" s="271"/>
      <c r="I95" s="271"/>
      <c r="K95" s="12"/>
      <c r="L95" s="12"/>
      <c r="V95" s="212"/>
      <c r="W95" s="212"/>
      <c r="X95" s="212"/>
      <c r="Y95" s="49" t="s">
        <v>310</v>
      </c>
      <c r="Z95" s="163">
        <v>91</v>
      </c>
      <c r="AA95" s="163">
        <f>IF(OR(AA91="",AA92=""),"",
IF(AA90="Round",
ROUND(PI()*((AA94/2)^2-((AA94-2*AA93)/2)^2),0),
ROUND(AA94^2-(AA94-2*AA93)^2,0)))</f>
        <v>111</v>
      </c>
      <c r="AB95" s="12" t="s">
        <v>307</v>
      </c>
      <c r="AC95" s="163" t="str">
        <f t="shared" si="10"/>
        <v>EQ</v>
      </c>
      <c r="AF95" s="212"/>
      <c r="AG95" s="212"/>
      <c r="AH95" s="212"/>
      <c r="AI95" s="49" t="s">
        <v>311</v>
      </c>
      <c r="AJ95" s="163">
        <v>8509</v>
      </c>
      <c r="AK95" s="163">
        <f>IF(OR(AK90="",AK91=""),"",
IF(AK89="Round",
ROUND((PI()/4)*((AK93/2)^4-((AK93-2*AK92)/2)^4),0),
ROUND((AK93^4-(AK93-2*AK92)^4)/12,0)))</f>
        <v>10997</v>
      </c>
      <c r="AL95" s="12" t="s">
        <v>308</v>
      </c>
      <c r="AM95" s="163" t="str">
        <f t="shared" si="9"/>
        <v>EQ</v>
      </c>
      <c r="AO95" s="200" t="s">
        <v>107</v>
      </c>
      <c r="AP95" s="250" t="s">
        <v>108</v>
      </c>
      <c r="AQ95" s="250"/>
      <c r="AR95" s="250"/>
      <c r="AS95" s="250"/>
      <c r="AT95" s="252"/>
      <c r="AU95" s="50"/>
      <c r="AV95" s="12" t="s">
        <v>29</v>
      </c>
      <c r="AW95" s="163" t="str">
        <f>IF(AU82="Straight","N/A",IF(AU95="","BLANK",IF(AND(ABS(AU95)&gt;=30,ABS(AU95)&lt;90),"EQ","REJECT")))</f>
        <v>N/A</v>
      </c>
      <c r="AY95" s="200" t="s">
        <v>492</v>
      </c>
      <c r="AZ95" s="12" t="str">
        <f>IF($D$25="mm",
"Example: 25.4mm x 1.2mm round",
"Example: 1.0in x 0.047in round")</f>
        <v>Example: 25.4mm x 1.2mm round</v>
      </c>
      <c r="BA95" s="212"/>
      <c r="BB95" s="212"/>
      <c r="BC95" s="212"/>
      <c r="BD95" s="163" t="s">
        <v>334</v>
      </c>
      <c r="BE95" s="148" t="s">
        <v>3</v>
      </c>
      <c r="BG95" s="163" t="str">
        <f>IF(BE95="","BLANK","EQ")</f>
        <v>EQ</v>
      </c>
      <c r="BK95" s="212"/>
      <c r="BL95" s="212"/>
      <c r="BM95" s="212" t="str">
        <f>IF(BO91="Round","Outer Diameter (OD):","Square side:")</f>
        <v>Outer Diameter (OD):</v>
      </c>
      <c r="BN95" s="216">
        <v>25</v>
      </c>
      <c r="BO95" s="163" t="str">
        <f>IF(BO93="","",IF($D$25="mm",BO93,ROUND(BO93*25.4,1)))</f>
        <v/>
      </c>
      <c r="BP95" s="12" t="s">
        <v>202</v>
      </c>
      <c r="BQ95" s="163" t="str">
        <f>IF(NOT(BN89="Mounted on MHB with Brace."),"N/A",
IF(BO95="","BLANK",IF(BO95&lt;BN95,"REJECT","EQ")))</f>
        <v>N/A</v>
      </c>
      <c r="BS95" s="289"/>
      <c r="BT95" s="289"/>
      <c r="BU95" s="289"/>
      <c r="BV95" s="289"/>
      <c r="BW95" s="289"/>
      <c r="BX95" s="289"/>
      <c r="BY95" s="297"/>
      <c r="BZ95" s="297"/>
      <c r="CA95" s="25"/>
      <c r="CC95" s="49"/>
      <c r="CD95" s="49"/>
      <c r="CE95" s="49"/>
      <c r="CF95" s="49"/>
      <c r="CG95" s="49"/>
      <c r="CH95" s="49"/>
      <c r="CI95" s="83"/>
      <c r="CJ95" s="83"/>
      <c r="CK95" s="25"/>
      <c r="CM95" s="200" t="s">
        <v>489</v>
      </c>
      <c r="CN95" s="49"/>
      <c r="CO95" s="49"/>
      <c r="CP95" s="49"/>
      <c r="CQ95" s="212" t="str">
        <f>IF(CR92="Tube","Wall thickness:","")</f>
        <v>Wall thickness:</v>
      </c>
      <c r="CR95" s="213">
        <f>IF($D$25="mm",1.2,0.047)</f>
        <v>1.2</v>
      </c>
      <c r="CS95" s="50"/>
      <c r="CT95" s="12" t="str">
        <f>IF($D$25="mm","mm","in")</f>
        <v>mm</v>
      </c>
      <c r="CU95" s="163" t="str">
        <f>IF($G$8="IC - Internal Combustion","N/A",
IF(CR$92="Differential Mounts","N/A",
IF(CS95="","BLANK",IF(CS95&lt;CR95,"REJECT","EQ"))))</f>
        <v>BLANK</v>
      </c>
      <c r="CW95" s="200"/>
    </row>
    <row r="96" spans="1:111" ht="15" customHeight="1" x14ac:dyDescent="0.3">
      <c r="A96" s="271"/>
      <c r="B96" s="271"/>
      <c r="C96" s="271"/>
      <c r="D96" s="271"/>
      <c r="E96" s="271"/>
      <c r="F96" s="271"/>
      <c r="G96" s="271"/>
      <c r="H96" s="271"/>
      <c r="I96" s="271"/>
      <c r="V96" s="212"/>
      <c r="W96" s="212"/>
      <c r="X96" s="212"/>
      <c r="Y96" s="49" t="s">
        <v>311</v>
      </c>
      <c r="Z96" s="163">
        <v>6695</v>
      </c>
      <c r="AA96" s="163">
        <f>IF(OR(AA91="",AA92=""),"",
IF(AA90="Round",
ROUND((PI()/4)*((AA94/2)^4-((AA94-2*AA93)/2)^4),0),
ROUND((AA94^4-(AA94-2*AA93)^4)/12,0)))</f>
        <v>7676</v>
      </c>
      <c r="AB96" s="12" t="s">
        <v>308</v>
      </c>
      <c r="AC96" s="163" t="str">
        <f t="shared" si="10"/>
        <v>EQ</v>
      </c>
      <c r="AE96" s="173"/>
      <c r="AF96" s="173"/>
      <c r="AG96" s="173"/>
      <c r="AH96" s="173"/>
      <c r="AI96" s="173"/>
      <c r="AJ96" s="173"/>
      <c r="AK96" s="173"/>
      <c r="AL96" s="173"/>
      <c r="AM96" s="173"/>
      <c r="AY96" s="200" t="s">
        <v>489</v>
      </c>
      <c r="BA96" s="212"/>
      <c r="BB96" s="212"/>
      <c r="BC96" s="212" t="s">
        <v>23</v>
      </c>
      <c r="BD96" s="213">
        <f>IF($D$25="mm",1.2,0.047)</f>
        <v>1.2</v>
      </c>
      <c r="BE96" s="50">
        <v>1.5</v>
      </c>
      <c r="BF96" s="12" t="str">
        <f>IF($D$25="mm","mm","in")</f>
        <v>mm</v>
      </c>
      <c r="BG96" s="163" t="str">
        <f>IF(BE96="","BLANK",IF(BE96&lt;BD96,"REJECT","EQ"))</f>
        <v>EQ</v>
      </c>
      <c r="BJ96" s="212"/>
      <c r="BK96" s="212"/>
      <c r="BL96" s="212"/>
      <c r="BM96" s="49" t="s">
        <v>310</v>
      </c>
      <c r="BN96" s="163">
        <v>91</v>
      </c>
      <c r="BO96" s="163" t="str">
        <f>IF(OR(BO92="",BO93=""),"",
IF(BO91="Round",
ROUND(PI()*((BO95/2)^2-((BO95-2*BO94)/2)^2),0),
ROUND(BO95^2-(BO95-2*BO94)^2,0)))</f>
        <v/>
      </c>
      <c r="BP96" s="12" t="s">
        <v>307</v>
      </c>
      <c r="BQ96" s="163" t="str">
        <f>IF(NOT(BN89="Mounted on MHB with Brace."),"N/A",
IF(BO96="","BLANK",IF(BO96&lt;BN96,"REJECT","EQ")))</f>
        <v>N/A</v>
      </c>
      <c r="BS96" s="289"/>
      <c r="BT96" s="289"/>
      <c r="BU96" s="289"/>
      <c r="BV96" s="289"/>
      <c r="BW96" s="289"/>
      <c r="BX96" s="289"/>
      <c r="BY96" s="25"/>
      <c r="CA96" s="25"/>
      <c r="CC96" s="49"/>
      <c r="CD96" s="49"/>
      <c r="CE96" s="49"/>
      <c r="CF96" s="49"/>
      <c r="CG96" s="49"/>
      <c r="CH96" s="49"/>
      <c r="CI96" s="25"/>
      <c r="CK96" s="25"/>
      <c r="CM96" s="72"/>
      <c r="CN96" s="49"/>
      <c r="CO96" s="49"/>
      <c r="CP96" s="49"/>
      <c r="CQ96" s="212" t="str">
        <f>IF(CR92="Tube",IF(CS94="Round","Outer Diameter (OD):","Square side:"),"")</f>
        <v>Outer Diameter (OD):</v>
      </c>
      <c r="CR96" s="213">
        <f>IF($D$25="mm",25,0.984)</f>
        <v>25</v>
      </c>
      <c r="CS96" s="50"/>
      <c r="CT96" s="12" t="str">
        <f>IF($D$25="mm","mm","in")</f>
        <v>mm</v>
      </c>
      <c r="CU96" s="163" t="str">
        <f t="shared" ref="CU96:CU100" si="11">IF($G$8="IC - Internal Combustion","N/A",
IF(CR$92="Differential Mounts","N/A",
IF(CS96="","BLANK",IF(CS96&lt;CR96,"REJECT","EQ"))))</f>
        <v>BLANK</v>
      </c>
    </row>
    <row r="97" spans="1:101" ht="15" customHeight="1" x14ac:dyDescent="0.3">
      <c r="A97" s="270" t="s">
        <v>343</v>
      </c>
      <c r="B97" s="270"/>
      <c r="C97" s="270"/>
      <c r="D97" s="270"/>
      <c r="E97" s="270"/>
      <c r="F97" s="270"/>
      <c r="G97" s="270"/>
      <c r="H97" s="270"/>
      <c r="I97" s="270"/>
      <c r="U97" s="200"/>
      <c r="V97" s="191"/>
      <c r="AE97" s="173"/>
      <c r="AF97" s="173"/>
      <c r="AG97" s="173"/>
      <c r="AH97" s="173"/>
      <c r="AI97" s="173"/>
      <c r="AJ97" s="173"/>
      <c r="AK97" s="173"/>
      <c r="AL97" s="173"/>
      <c r="AM97" s="173"/>
      <c r="AO97" s="298" t="s">
        <v>355</v>
      </c>
      <c r="AP97" s="298"/>
      <c r="AQ97" s="298"/>
      <c r="AR97" s="298"/>
      <c r="AS97" s="298"/>
      <c r="AT97" s="298"/>
      <c r="AU97" s="298"/>
      <c r="AV97" s="298"/>
      <c r="AW97" s="298"/>
      <c r="BA97" s="212"/>
      <c r="BB97" s="212"/>
      <c r="BC97" s="212" t="str">
        <f>IF(BE95="Round","Outer Diameter (OD):","Square side:")</f>
        <v>Outer Diameter (OD):</v>
      </c>
      <c r="BD97" s="213">
        <f>IF($D$25="mm",25,0.984)</f>
        <v>25</v>
      </c>
      <c r="BE97" s="50">
        <v>25</v>
      </c>
      <c r="BF97" s="12" t="str">
        <f>IF($D$25="mm","mm","in")</f>
        <v>mm</v>
      </c>
      <c r="BG97" s="163" t="str">
        <f t="shared" ref="BG97:BG101" si="12">IF(BE97="","BLANK",IF(BE97&lt;BD97,"REJECT","EQ"))</f>
        <v>EQ</v>
      </c>
      <c r="BJ97" s="212"/>
      <c r="BK97" s="212"/>
      <c r="BL97" s="212"/>
      <c r="BM97" s="49" t="s">
        <v>311</v>
      </c>
      <c r="BN97" s="163">
        <v>6695</v>
      </c>
      <c r="BO97" s="163" t="str">
        <f>IF(OR(BO92="",BO93=""),"",
IF(BO91="Round",
ROUND((PI()/4)*((BO95/2)^4-((BO95-2*BO94)/2)^4),0),
ROUND((BO95^4-(BO95-2*BO94)^4)/12,0)))</f>
        <v/>
      </c>
      <c r="BP97" s="12" t="s">
        <v>308</v>
      </c>
      <c r="BQ97" s="163" t="str">
        <f>IF(NOT(BN89="Mounted on MHB with Brace."),"N/A",
IF(BO97="","BLANK",IF(BO97&lt;BN97,"REJECT","EQ")))</f>
        <v>N/A</v>
      </c>
      <c r="BS97" s="289"/>
      <c r="BT97" s="289"/>
      <c r="BU97" s="289"/>
      <c r="BV97" s="289"/>
      <c r="BW97" s="289"/>
      <c r="BX97" s="289"/>
      <c r="BY97" s="25"/>
      <c r="CA97" s="25"/>
      <c r="CC97" s="49"/>
      <c r="CD97" s="49"/>
      <c r="CE97" s="49"/>
      <c r="CF97" s="49"/>
      <c r="CG97" s="49"/>
      <c r="CH97" s="49"/>
      <c r="CI97" s="25"/>
      <c r="CK97" s="25"/>
      <c r="CM97" s="47"/>
      <c r="CN97" s="49"/>
      <c r="CO97" s="49"/>
      <c r="CP97" s="49"/>
      <c r="CQ97" s="212" t="str">
        <f>IF(CR92="Tube","Wall thickness:","")</f>
        <v>Wall thickness:</v>
      </c>
      <c r="CR97" s="216">
        <v>1.2</v>
      </c>
      <c r="CS97" s="163" t="str">
        <f>IF(CS95="","",IF($D$25="mm",CS95,ROUND(CS95*25.4,1)))</f>
        <v/>
      </c>
      <c r="CT97" s="12" t="s">
        <v>202</v>
      </c>
      <c r="CU97" s="163" t="str">
        <f t="shared" si="11"/>
        <v>BLANK</v>
      </c>
      <c r="CW97" s="200"/>
    </row>
    <row r="98" spans="1:101" ht="15" customHeight="1" x14ac:dyDescent="0.3">
      <c r="A98" s="270"/>
      <c r="B98" s="270"/>
      <c r="C98" s="270"/>
      <c r="D98" s="270"/>
      <c r="E98" s="270"/>
      <c r="F98" s="270"/>
      <c r="G98" s="270"/>
      <c r="H98" s="270"/>
      <c r="I98" s="270"/>
      <c r="U98" s="236" t="str">
        <f>IF(COUNTIF(AC99,"BLANK"),"BLANK",IF(OR(SUMPRODUCT(--ISERROR(AC99))&gt;0,COUNTIF(AC99,"REJECT")),"REJECT",IF(COUNTIF(AC99,"CHECK"),"CHECK","EQ")))</f>
        <v>EQ</v>
      </c>
      <c r="V98" s="236"/>
      <c r="W98" s="236"/>
      <c r="X98" s="236"/>
      <c r="Y98" s="236"/>
      <c r="Z98" s="236"/>
      <c r="AA98" s="236"/>
      <c r="AB98" s="236"/>
      <c r="AC98" s="236"/>
      <c r="AE98" s="173"/>
      <c r="AF98" s="173"/>
      <c r="AG98" s="173"/>
      <c r="AH98" s="173"/>
      <c r="AI98" s="173"/>
      <c r="AJ98" s="173"/>
      <c r="AK98" s="173"/>
      <c r="AL98" s="173"/>
      <c r="AM98" s="173"/>
      <c r="BA98" s="212"/>
      <c r="BB98" s="212"/>
      <c r="BC98" s="212" t="s">
        <v>23</v>
      </c>
      <c r="BD98" s="216">
        <v>1.2</v>
      </c>
      <c r="BE98" s="163">
        <f>IF(BE96="","",IF($D$25="mm",BE96,ROUND(BE96*25.4,1)))</f>
        <v>1.5</v>
      </c>
      <c r="BF98" s="12" t="s">
        <v>202</v>
      </c>
      <c r="BG98" s="163" t="str">
        <f t="shared" si="12"/>
        <v>EQ</v>
      </c>
      <c r="BI98" s="200" t="s">
        <v>539</v>
      </c>
      <c r="BJ98" s="212"/>
      <c r="BK98" s="212"/>
      <c r="BL98" s="212"/>
      <c r="BM98" s="47" t="s">
        <v>536</v>
      </c>
      <c r="BN98" s="163"/>
      <c r="BO98" s="163"/>
      <c r="BQ98" s="163" t="str">
        <f>IF(NOT(BN89="Mounted on MHB with Brace."),"N/A","EQ")</f>
        <v>N/A</v>
      </c>
      <c r="BS98" s="289"/>
      <c r="BT98" s="289"/>
      <c r="BU98" s="289"/>
      <c r="BV98" s="289"/>
      <c r="BW98" s="289"/>
      <c r="BX98" s="289"/>
      <c r="BY98" s="58"/>
      <c r="BZ98" s="46"/>
      <c r="CA98" s="25"/>
      <c r="CC98" s="49"/>
      <c r="CD98" s="49"/>
      <c r="CE98" s="49"/>
      <c r="CF98" s="49"/>
      <c r="CG98" s="49"/>
      <c r="CH98" s="49"/>
      <c r="CI98" s="58"/>
      <c r="CJ98" s="46"/>
      <c r="CK98" s="25"/>
      <c r="CN98" s="49"/>
      <c r="CO98" s="49"/>
      <c r="CP98" s="49"/>
      <c r="CQ98" s="212" t="str">
        <f>IF(CR92="Tube",IF(CS94="Round","Outer Diameter (OD):","Square side:"),"")</f>
        <v>Outer Diameter (OD):</v>
      </c>
      <c r="CR98" s="216">
        <v>25</v>
      </c>
      <c r="CS98" s="163" t="str">
        <f>IF(CS96="","",IF($D$25="mm",CS96,ROUND(CS96*25.4,1)))</f>
        <v/>
      </c>
      <c r="CT98" s="12" t="s">
        <v>202</v>
      </c>
      <c r="CU98" s="163" t="str">
        <f t="shared" si="11"/>
        <v>BLANK</v>
      </c>
      <c r="CW98" s="200"/>
    </row>
    <row r="99" spans="1:101" ht="15" customHeight="1" x14ac:dyDescent="0.3">
      <c r="A99" s="291"/>
      <c r="B99" s="291"/>
      <c r="C99" s="291"/>
      <c r="D99" s="291"/>
      <c r="E99" s="291"/>
      <c r="F99" s="291"/>
      <c r="G99" s="291"/>
      <c r="H99" s="291"/>
      <c r="I99" s="291"/>
      <c r="U99" s="200" t="s">
        <v>320</v>
      </c>
      <c r="V99" s="250" t="str">
        <f>IF($D$25="mm","Top of FB to Upper FBHS tube, 50mm vertical limit:","Top of FB to Upper FBHS tube, 2in vertical limit:")</f>
        <v>Top of FB to Upper FBHS tube, 50mm vertical limit:</v>
      </c>
      <c r="W99" s="250"/>
      <c r="X99" s="250"/>
      <c r="Y99" s="250"/>
      <c r="Z99" s="252"/>
      <c r="AA99" s="50">
        <v>0</v>
      </c>
      <c r="AB99" s="12" t="str">
        <f>IF($D$25="mm","mm","in")</f>
        <v>mm</v>
      </c>
      <c r="AC99" s="163" t="str">
        <f>IF(AA99="","BLANK",IF($D$25="mm",IF(AA99&lt;=50,"EQ","REJECT"),IF(AA99&lt;=2,"EQ","REJECT")))</f>
        <v>EQ</v>
      </c>
      <c r="AP99" s="259" t="str">
        <f>AP92</f>
        <v>Shoulder Harness Bar does not require braces.</v>
      </c>
      <c r="AQ99" s="259"/>
      <c r="AR99" s="259"/>
      <c r="AS99" s="259"/>
      <c r="AT99" s="259"/>
      <c r="AU99" s="259"/>
      <c r="AV99" s="259"/>
      <c r="BA99" s="212"/>
      <c r="BB99" s="212"/>
      <c r="BC99" s="212" t="str">
        <f>IF(BE95="Round","Outer Diameter (OD):","Square side:")</f>
        <v>Outer Diameter (OD):</v>
      </c>
      <c r="BD99" s="216">
        <v>25</v>
      </c>
      <c r="BE99" s="163">
        <f>IF(BE97="","",IF($D$25="mm",BE97,ROUND(BE97*25.4,1)))</f>
        <v>25</v>
      </c>
      <c r="BF99" s="12" t="s">
        <v>202</v>
      </c>
      <c r="BG99" s="163" t="str">
        <f t="shared" si="12"/>
        <v>EQ</v>
      </c>
      <c r="BI99" s="200" t="s">
        <v>534</v>
      </c>
      <c r="BJ99" s="212"/>
      <c r="BK99" s="212"/>
      <c r="BL99" s="212"/>
      <c r="BM99" s="49"/>
      <c r="BN99" s="49" t="str">
        <f>IF(BO87="Tube","","Yield Strength (Sy):")</f>
        <v>Yield Strength (Sy):</v>
      </c>
      <c r="BO99" s="221">
        <f>IF($D$25="mm",305*10^6,44.2*10^3)</f>
        <v>305000000</v>
      </c>
      <c r="BP99" s="19" t="str">
        <f>IF($D$25="mm","Pa","psi")</f>
        <v>Pa</v>
      </c>
      <c r="BQ99" s="163" t="str">
        <f>IF(NOT(BN89="Mounted on MHB with Brace."),"N/A","EQ")</f>
        <v>N/A</v>
      </c>
      <c r="BS99" s="289"/>
      <c r="BT99" s="289"/>
      <c r="BU99" s="289"/>
      <c r="BV99" s="289"/>
      <c r="BW99" s="289"/>
      <c r="BX99" s="289"/>
      <c r="BY99" s="55"/>
      <c r="CA99" s="55"/>
      <c r="CC99" s="49"/>
      <c r="CD99" s="49"/>
      <c r="CE99" s="49"/>
      <c r="CF99" s="49"/>
      <c r="CG99" s="49"/>
      <c r="CH99" s="49"/>
      <c r="CI99" s="55"/>
      <c r="CK99" s="55"/>
      <c r="CM99" s="47"/>
      <c r="CN99" s="49"/>
      <c r="CO99" s="49"/>
      <c r="CP99" s="49"/>
      <c r="CQ99" s="49" t="str">
        <f>IF(CR92="Tube","Tube cross sectional area (A):","")</f>
        <v>Tube cross sectional area (A):</v>
      </c>
      <c r="CR99" s="25">
        <f>CR88</f>
        <v>91</v>
      </c>
      <c r="CS99" s="163" t="str">
        <f>IF(OR(CS95="",CS96=""),"",
IF(CS94="Round",
ROUND(PI()*((CS98/2)^2-((CS98-2*CS97)/2)^2),0),
ROUND(CS98^2-(CS98-2*CS97)^2,0)))</f>
        <v/>
      </c>
      <c r="CT99" s="12" t="s">
        <v>307</v>
      </c>
      <c r="CU99" s="163" t="str">
        <f t="shared" si="11"/>
        <v>BLANK</v>
      </c>
    </row>
    <row r="100" spans="1:101" ht="15" customHeight="1" thickBot="1" x14ac:dyDescent="0.35">
      <c r="A100" s="236" t="str">
        <f>IF(COUNTIF(I101:I105,"BLANK"),"BLANK",IF(COUNTIF(I101:I105,"REJECT"),"REJECT",IF(COUNTIF(I101:I105,"CHECK"),"CHECK - IAD TESTING REQUIRED. AI PLATE DEFLECTION &lt;=25mm","EQ")))</f>
        <v>EQ</v>
      </c>
      <c r="B100" s="236"/>
      <c r="C100" s="236"/>
      <c r="D100" s="236"/>
      <c r="E100" s="236"/>
      <c r="F100" s="236"/>
      <c r="G100" s="236"/>
      <c r="H100" s="236"/>
      <c r="I100" s="236"/>
      <c r="U100" s="173"/>
      <c r="V100" s="173"/>
      <c r="W100" s="173"/>
      <c r="X100" s="173"/>
      <c r="Y100" s="173"/>
      <c r="Z100" s="173"/>
      <c r="AA100" s="173"/>
      <c r="AB100" s="173"/>
      <c r="AC100" s="173"/>
      <c r="AO100" s="236" t="str">
        <f>IF(COUNTIF(AW101:AW108,"BLANK"),"BLANK",IF(OR(SUMPRODUCT(--ISERROR(AW101:AW108))&gt;0,COUNTIF(AW101:AW108,"REJECT")),"REJECT",IF(COUNTIF(AW101:AW108,"CHECK"),"CHECK","EQ")))</f>
        <v>EQ</v>
      </c>
      <c r="AP100" s="236"/>
      <c r="AQ100" s="236"/>
      <c r="AR100" s="236"/>
      <c r="AS100" s="236"/>
      <c r="AT100" s="236"/>
      <c r="AU100" s="236"/>
      <c r="AV100" s="236"/>
      <c r="AW100" s="236"/>
      <c r="AZ100" s="212"/>
      <c r="BA100" s="212"/>
      <c r="BB100" s="212"/>
      <c r="BC100" s="49" t="s">
        <v>310</v>
      </c>
      <c r="BD100" s="163">
        <v>91</v>
      </c>
      <c r="BE100" s="163">
        <f>IF(OR(BE96="",BE97=""),"",
IF(BE95="Round",
ROUND(PI()*((BE99/2)^2-((BE99-2*BE98)/2)^2),0),
ROUND(BE99^2-(BE99-2*BE98)^2,0)))</f>
        <v>111</v>
      </c>
      <c r="BF100" s="12" t="s">
        <v>307</v>
      </c>
      <c r="BG100" s="163" t="str">
        <f t="shared" si="12"/>
        <v>EQ</v>
      </c>
      <c r="BI100" s="200"/>
      <c r="BJ100" s="212"/>
      <c r="BK100" s="212"/>
      <c r="BL100" s="212"/>
      <c r="BM100" s="49"/>
      <c r="BN100" s="49" t="s">
        <v>538</v>
      </c>
      <c r="BO100" s="222">
        <f>BE87</f>
        <v>28</v>
      </c>
      <c r="BP100" s="12" t="str">
        <f>IF($D$25="mm","mm","in")</f>
        <v>mm</v>
      </c>
      <c r="BQ100" s="163" t="str">
        <f>IF(NOT(BN89="Mounted on MHB with Brace."),"N/A",
IF(BO100=0,"BLANK","EQ"))</f>
        <v>N/A</v>
      </c>
      <c r="BS100" s="288"/>
      <c r="BT100" s="288"/>
      <c r="BU100" s="288"/>
      <c r="BV100" s="288"/>
      <c r="BW100" s="288"/>
      <c r="BX100" s="288"/>
      <c r="BY100" s="55"/>
      <c r="CA100" s="25"/>
      <c r="CC100" s="60"/>
      <c r="CD100" s="60"/>
      <c r="CE100" s="60"/>
      <c r="CF100" s="60"/>
      <c r="CG100" s="60"/>
      <c r="CH100" s="60"/>
      <c r="CI100" s="55"/>
      <c r="CK100" s="25"/>
      <c r="CM100" s="47"/>
      <c r="CN100" s="49"/>
      <c r="CO100" s="49"/>
      <c r="CP100" s="49"/>
      <c r="CQ100" s="49" t="str">
        <f>IF(CR92="Tube","Tube second moment of inertia (I):","")</f>
        <v>Tube second moment of inertia (I):</v>
      </c>
      <c r="CR100" s="25">
        <f>CR89</f>
        <v>6695</v>
      </c>
      <c r="CS100" s="163" t="str">
        <f>IF(OR(CS95="",CS96=""),"",
IF(CS94="Round",
ROUND((PI()/4)*((CS98/2)^4-((CS98-2*CS97)/2)^4),0),
ROUND((CS98^4-(CS98-2*CS97)^4)/12,0)))</f>
        <v/>
      </c>
      <c r="CT100" s="12" t="s">
        <v>308</v>
      </c>
      <c r="CU100" s="163" t="str">
        <f t="shared" si="11"/>
        <v>BLANK</v>
      </c>
    </row>
    <row r="101" spans="1:101" ht="15" customHeight="1" thickBot="1" x14ac:dyDescent="0.35">
      <c r="A101" s="200" t="s">
        <v>312</v>
      </c>
      <c r="B101" s="250" t="s">
        <v>24</v>
      </c>
      <c r="C101" s="250"/>
      <c r="D101" s="250"/>
      <c r="E101" s="250"/>
      <c r="F101" s="251"/>
      <c r="G101" s="148" t="s">
        <v>823</v>
      </c>
      <c r="I101" s="163" t="str">
        <f>IF(G101="","BLANK","EQ")</f>
        <v>EQ</v>
      </c>
      <c r="U101" s="236" t="str">
        <f>IF(COUNTIF(AC102:AC104,"BLANK"),"BLANK",IF(OR(SUMPRODUCT(--ISERROR(AC102:AC104))&gt;0,COUNTIF(AC102:AC104,"REJECT")),"REJECT",IF(COUNTIF(AC102:AC104,"CHECK"),"CHECK","EQ")))</f>
        <v>EQ</v>
      </c>
      <c r="V101" s="236"/>
      <c r="W101" s="236"/>
      <c r="X101" s="236"/>
      <c r="Y101" s="236"/>
      <c r="Z101" s="236"/>
      <c r="AA101" s="236"/>
      <c r="AB101" s="236"/>
      <c r="AC101" s="236"/>
      <c r="AO101" s="200" t="s">
        <v>352</v>
      </c>
      <c r="AP101" s="191" t="s">
        <v>353</v>
      </c>
      <c r="AQ101" s="163"/>
      <c r="AR101" s="163"/>
      <c r="AS101" s="163"/>
      <c r="AT101" s="200" t="s">
        <v>304</v>
      </c>
      <c r="AU101" s="259" t="s">
        <v>305</v>
      </c>
      <c r="AV101" s="259"/>
      <c r="AW101" s="163" t="str">
        <f>IF(AU82="Straight","N/A","EQ")</f>
        <v>N/A</v>
      </c>
      <c r="AZ101" s="212"/>
      <c r="BA101" s="212"/>
      <c r="BB101" s="212"/>
      <c r="BC101" s="49" t="s">
        <v>311</v>
      </c>
      <c r="BD101" s="163">
        <v>6695</v>
      </c>
      <c r="BE101" s="163">
        <f>IF(OR(BE96="",BE97=""),"",
IF(BE95="Round",
ROUND((PI()/4)*((BE99/2)^4-((BE99-2*BE98)/2)^4),0),
ROUND((BE99^4-(BE99-2*BE98)^4)/12,0)))</f>
        <v>7676</v>
      </c>
      <c r="BF101" s="12" t="s">
        <v>308</v>
      </c>
      <c r="BG101" s="163" t="str">
        <f t="shared" si="12"/>
        <v>EQ</v>
      </c>
      <c r="BI101" s="200"/>
      <c r="BJ101" s="212"/>
      <c r="BK101" s="212"/>
      <c r="BL101" s="212"/>
      <c r="BM101" s="49"/>
      <c r="BN101" s="49" t="s">
        <v>537</v>
      </c>
      <c r="BO101" s="223">
        <f>BE91</f>
        <v>10997</v>
      </c>
      <c r="BP101" s="12" t="s">
        <v>308</v>
      </c>
      <c r="BQ101" s="163" t="str">
        <f>IF(NOT(BN89="Mounted on MHB with Brace."),"N/A",
IF(BO101="","BLANK","EQ"))</f>
        <v>N/A</v>
      </c>
      <c r="BS101" s="289"/>
      <c r="BT101" s="289"/>
      <c r="BU101" s="289"/>
      <c r="BV101" s="289"/>
      <c r="BW101" s="289"/>
      <c r="BX101" s="289"/>
      <c r="BY101" s="25"/>
      <c r="CA101" s="25"/>
      <c r="CC101" s="49"/>
      <c r="CD101" s="49"/>
      <c r="CE101" s="49"/>
      <c r="CF101" s="49"/>
      <c r="CG101" s="49"/>
      <c r="CH101" s="49"/>
      <c r="CI101" s="25"/>
      <c r="CK101" s="25"/>
      <c r="CM101" s="47"/>
      <c r="CN101" s="49"/>
      <c r="CO101" s="49"/>
      <c r="CP101" s="49"/>
      <c r="CQ101" s="49" t="str">
        <f>IF(CR92="Tube","","F.3.3 Material:")</f>
        <v/>
      </c>
      <c r="CR101" s="25" t="str">
        <f>IF(CR92="Tube","",
"Steel")</f>
        <v/>
      </c>
      <c r="CS101" s="274"/>
      <c r="CT101" s="275"/>
      <c r="CU101" s="163" t="str">
        <f>IF($G$8="IC - Internal Combustion","N/A",
IF(CR$92="Tube","N/A",
IF(CS101="","BLANK","EQ")))</f>
        <v>N/A</v>
      </c>
    </row>
    <row r="102" spans="1:101" ht="15" customHeight="1" thickBot="1" x14ac:dyDescent="0.35">
      <c r="A102" s="200"/>
      <c r="B102" s="212"/>
      <c r="C102" s="212"/>
      <c r="D102" s="212"/>
      <c r="E102" s="212"/>
      <c r="F102" s="49" t="s">
        <v>297</v>
      </c>
      <c r="G102" s="243" t="s">
        <v>824</v>
      </c>
      <c r="H102" s="277"/>
      <c r="I102" s="25" t="str">
        <f>IF(G102="","BLANK",IF(OR(AND(G101="Custom",NOT(G102="&gt;= 100mm (4in)")),AND(G101="Standard",G102="&gt;= 100mm (4in)")),"REJECT","EQ"))</f>
        <v>EQ</v>
      </c>
      <c r="U102" s="200" t="s">
        <v>321</v>
      </c>
      <c r="V102" s="250" t="s">
        <v>34</v>
      </c>
      <c r="W102" s="250"/>
      <c r="X102" s="250"/>
      <c r="Y102" s="250"/>
      <c r="Z102" s="251"/>
      <c r="AA102" s="148" t="s">
        <v>825</v>
      </c>
      <c r="AC102" s="163" t="str">
        <f>IF(AA102="","BLANK","EQ")</f>
        <v>EQ</v>
      </c>
      <c r="AO102" s="200" t="s">
        <v>492</v>
      </c>
      <c r="AP102" s="12" t="str">
        <f>IF($D$25="mm",
"Example: 25.4mm x 1.2mm round",
"Example: 1.0in x 0.047in round")</f>
        <v>Example: 25.4mm x 1.2mm round</v>
      </c>
      <c r="AQ102" s="212"/>
      <c r="AR102" s="212"/>
      <c r="AS102" s="212"/>
      <c r="AT102" s="163" t="s">
        <v>334</v>
      </c>
      <c r="AU102" s="148" t="s">
        <v>3</v>
      </c>
      <c r="AW102" s="163" t="str">
        <f>IF(AU82="Straight","N/A",
IF(AU102="","BLANK","EQ"))</f>
        <v>N/A</v>
      </c>
      <c r="BJ102" s="212"/>
      <c r="BK102" s="212"/>
      <c r="BL102" s="212"/>
      <c r="BN102" s="49" t="s">
        <v>542</v>
      </c>
      <c r="BO102" s="50"/>
      <c r="BP102" s="12" t="str">
        <f>IF($D$25="mm","mm","in")</f>
        <v>mm</v>
      </c>
      <c r="BQ102" s="163" t="str">
        <f>IF(NOT(BN89="Mounted on MHB with Brace."),"N/A",
IF(BO102="","BLANK","EQ"))</f>
        <v>N/A</v>
      </c>
      <c r="BS102" s="289"/>
      <c r="BT102" s="289"/>
      <c r="BU102" s="289"/>
      <c r="BV102" s="289"/>
      <c r="BW102" s="289"/>
      <c r="BX102" s="289"/>
      <c r="BY102" s="25"/>
      <c r="CA102" s="25"/>
      <c r="CC102" s="49"/>
      <c r="CD102" s="49"/>
      <c r="CE102" s="49"/>
      <c r="CF102" s="49"/>
      <c r="CG102" s="49"/>
      <c r="CH102" s="49"/>
      <c r="CI102" s="25"/>
      <c r="CK102" s="25"/>
      <c r="CM102" s="200" t="s">
        <v>534</v>
      </c>
      <c r="CN102" s="49"/>
      <c r="CO102" s="49"/>
      <c r="CP102" s="49"/>
      <c r="CQ102" s="49" t="str">
        <f>IF(CR92="Tube","","Young's Modulus (E):")</f>
        <v/>
      </c>
      <c r="CR102" s="58" t="str">
        <f>IF(CR92="Tube","",
IF($D$25="mm",200*10^9,29000*10^3))</f>
        <v/>
      </c>
      <c r="CS102" s="224"/>
      <c r="CT102" s="19" t="str">
        <f>IF($D$25="mm","Pa","psi")</f>
        <v>Pa</v>
      </c>
      <c r="CU102" s="163" t="str">
        <f t="shared" ref="CU102:CU108" si="13">IF($G$8="IC - Internal Combustion","N/A",
IF(CR$92="Tube","N/A",
IF(CS102="","BLANK","EQ")))</f>
        <v>N/A</v>
      </c>
    </row>
    <row r="103" spans="1:101" ht="15" customHeight="1" thickBot="1" x14ac:dyDescent="0.35">
      <c r="A103" s="200"/>
      <c r="B103" s="212"/>
      <c r="C103" s="212"/>
      <c r="D103" s="212"/>
      <c r="E103" s="212"/>
      <c r="F103" s="49" t="s">
        <v>298</v>
      </c>
      <c r="G103" s="302" t="str">
        <f>IF(G101="CUSTOM","&gt;= 200mm (8in)",IF(G102="355mm (14in)","304mm (12in)","355mm (14in)"))</f>
        <v>355mm (14in)</v>
      </c>
      <c r="H103" s="302"/>
      <c r="I103" s="25" t="s">
        <v>89</v>
      </c>
      <c r="U103" s="250" t="str">
        <f>IF(AA102="C","Top of Lower FBHS tube relative to top of Upper SIS tube:","Top of Upper FBHS tube relative to top of Upper SIS tube:")</f>
        <v>Top of Upper FBHS tube relative to top of Upper SIS tube:</v>
      </c>
      <c r="V103" s="250"/>
      <c r="W103" s="250"/>
      <c r="X103" s="250"/>
      <c r="Y103" s="250"/>
      <c r="Z103" s="251"/>
      <c r="AA103" s="148" t="s">
        <v>164</v>
      </c>
      <c r="AC103" s="163" t="str">
        <f>IF(AA103="","BLANK","EQ")</f>
        <v>EQ</v>
      </c>
      <c r="AO103" s="200" t="s">
        <v>489</v>
      </c>
      <c r="AQ103" s="212"/>
      <c r="AR103" s="212"/>
      <c r="AS103" s="212" t="s">
        <v>23</v>
      </c>
      <c r="AT103" s="213">
        <f>IF($D$25="mm",1.2,0.047)</f>
        <v>1.2</v>
      </c>
      <c r="AU103" s="50"/>
      <c r="AV103" s="12" t="str">
        <f>IF($D$25="mm","mm","in")</f>
        <v>mm</v>
      </c>
      <c r="AW103" s="163" t="str">
        <f>IF(AU82="Straight","N/A",
IF(AU103="","BLANK",IF(AU103&lt;AT103,"REJECT","EQ")))</f>
        <v>N/A</v>
      </c>
      <c r="BJ103" s="212"/>
      <c r="BK103" s="212"/>
      <c r="BL103" s="212"/>
      <c r="BN103" s="49" t="s">
        <v>532</v>
      </c>
      <c r="BO103" s="50"/>
      <c r="BP103" s="12" t="str">
        <f>IF($D$25="mm","mm","in")</f>
        <v>mm</v>
      </c>
      <c r="BQ103" s="163" t="str">
        <f>IF(NOT(BN89="Mounted on MHB with Brace."),"N/A",
IF(OR(BO102="",BO103=""),"BLANK",IF(BO103&gt;BO102,"REJECT","EQ")))</f>
        <v>N/A</v>
      </c>
      <c r="BS103" s="293"/>
      <c r="BT103" s="293"/>
      <c r="BU103" s="293"/>
      <c r="BV103" s="293"/>
      <c r="BW103" s="293"/>
      <c r="BX103" s="293"/>
      <c r="BY103" s="293"/>
      <c r="BZ103" s="293"/>
      <c r="CA103" s="293"/>
      <c r="CC103" s="72"/>
      <c r="CD103" s="72"/>
      <c r="CE103" s="72"/>
      <c r="CF103" s="72"/>
      <c r="CG103" s="72"/>
      <c r="CH103" s="72"/>
      <c r="CI103" s="72"/>
      <c r="CJ103" s="72"/>
      <c r="CK103" s="72"/>
      <c r="CM103" s="49"/>
      <c r="CN103" s="49"/>
      <c r="CO103" s="49"/>
      <c r="CP103" s="49"/>
      <c r="CQ103" s="49" t="str">
        <f>IF(CR92="Tube","","Yield Strength (Sy):")</f>
        <v/>
      </c>
      <c r="CR103" s="58" t="str">
        <f>IF(CR92="Tube","",
IF($D$25="mm",305*10^6,44.2*10^3))</f>
        <v/>
      </c>
      <c r="CS103" s="224"/>
      <c r="CT103" s="19" t="str">
        <f>IF($D$25="mm","Pa","psi")</f>
        <v>Pa</v>
      </c>
      <c r="CU103" s="163" t="str">
        <f t="shared" si="13"/>
        <v>N/A</v>
      </c>
    </row>
    <row r="104" spans="1:101" ht="15" customHeight="1" x14ac:dyDescent="0.3">
      <c r="A104" s="47"/>
      <c r="B104" s="19"/>
      <c r="C104" s="49"/>
      <c r="D104" s="49"/>
      <c r="E104" s="49"/>
      <c r="F104" s="49" t="s">
        <v>299</v>
      </c>
      <c r="G104" s="50">
        <v>388</v>
      </c>
      <c r="H104" s="19" t="str">
        <f>IF($D$25="mm","mm","in")</f>
        <v>mm</v>
      </c>
      <c r="I104" s="25" t="str">
        <f>IF(G104="","BLANK","EQ")</f>
        <v>EQ</v>
      </c>
      <c r="U104" s="250" t="str">
        <f>IF($D$25="mm",
IF(AA102="C",IF(AA103="Above","Vertical limit 100mm above:","Vertical limit 50mm below:"),
IF(AA103="Above","Without Rear FHB, vertical limit 100mm above:","Vertical limit 50mm below:")),
IF(AA102="C",IF(AA103="Above","Vertical limit 4in above:","Vertical limit 2in below:"),
IF(AA103="Above","Without Rear FHB, vertical limit 4in above:","Vertical limit 2in below:")))</f>
        <v>Without Rear FHB, vertical limit 100mm above:</v>
      </c>
      <c r="V104" s="250"/>
      <c r="W104" s="250"/>
      <c r="X104" s="250"/>
      <c r="Y104" s="250"/>
      <c r="Z104" s="252"/>
      <c r="AA104" s="50">
        <v>230.5</v>
      </c>
      <c r="AB104" s="12" t="str">
        <f>IF($D$25="mm","mm","in")</f>
        <v>mm</v>
      </c>
      <c r="AC104" s="163" t="str">
        <f>IF(AA104="","BLANK",IF(AND(AA103="Below",OR(AND($D$25="mm",ABS(AA104)&gt;50),AND($D$25="Inch",ABS(AA104)&gt;2))),"REJECT",IF(AND(AA103="Above",OR(AND($D$25="mm",ABS(AA104)&gt;100),AND($D$25="Inch",ABS(AA104)&gt;4))),IF(AA102="C","REJECT","EQ"),"EQ")))</f>
        <v>EQ</v>
      </c>
      <c r="AQ104" s="212"/>
      <c r="AR104" s="212"/>
      <c r="AS104" s="212" t="str">
        <f>IF(AU102="Round","Outer Diameter (OD):","Square side:")</f>
        <v>Outer Diameter (OD):</v>
      </c>
      <c r="AT104" s="213">
        <f>IF($D$25="mm",25,0.984)</f>
        <v>25</v>
      </c>
      <c r="AU104" s="50"/>
      <c r="AV104" s="12" t="str">
        <f>IF($D$25="mm","mm","in")</f>
        <v>mm</v>
      </c>
      <c r="AW104" s="163" t="str">
        <f>IF(AU82="Straight","N/A",
IF(AU104="","BLANK",IF(AU104&lt;AT104,"REJECT","EQ")))</f>
        <v>N/A</v>
      </c>
      <c r="BJ104" s="212"/>
      <c r="BK104" s="212"/>
      <c r="BL104" s="212"/>
      <c r="BN104" s="49" t="s">
        <v>533</v>
      </c>
      <c r="BO104" s="223" t="str">
        <f>IF(OR(BO101="",BO102="",BO103=""),"",IF(BO103=0,"N/A",
(BO99*BO102*IF($D$25="mm",1/1000,1)*BO101*IF($D$25="mm",1/(10^12),1/(25.4^4)))/
((IF($D$25="mm",1/1000,1)^3)*BO103*(BO102-BO103)*BO100/2)))</f>
        <v/>
      </c>
      <c r="BP104" s="12" t="str">
        <f>IF($D$25="mm","N","lbs")</f>
        <v>N</v>
      </c>
      <c r="BQ104" s="163" t="str">
        <f>IF(NOT(BN89="Mounted on MHB with Brace."),"N/A",
IF(BO104="","BLANK","EQ"))</f>
        <v>N/A</v>
      </c>
      <c r="BS104" s="25"/>
      <c r="BT104" s="25"/>
      <c r="BV104" s="91"/>
      <c r="BW104" s="92"/>
      <c r="BY104" s="91"/>
      <c r="BZ104" s="92"/>
      <c r="CC104" s="25"/>
      <c r="CD104" s="25"/>
      <c r="CF104" s="91"/>
      <c r="CG104" s="92"/>
      <c r="CI104" s="91"/>
      <c r="CJ104" s="92"/>
      <c r="CM104" s="60"/>
      <c r="CN104" s="49"/>
      <c r="CO104" s="49"/>
      <c r="CP104" s="49"/>
      <c r="CQ104" s="49" t="str">
        <f>IF(CR92="Tube","","Ultimate Strength (Su):")</f>
        <v/>
      </c>
      <c r="CR104" s="58" t="str">
        <f>IF(CR92="Tube","",
IF($D$25="mm",365*10^6,52.9*10^3))</f>
        <v/>
      </c>
      <c r="CS104" s="224"/>
      <c r="CT104" s="19" t="str">
        <f>IF($D$25="mm","Pa","psi")</f>
        <v>Pa</v>
      </c>
      <c r="CU104" s="163" t="str">
        <f t="shared" si="13"/>
        <v>N/A</v>
      </c>
      <c r="CW104" s="200"/>
    </row>
    <row r="105" spans="1:101" ht="15" customHeight="1" x14ac:dyDescent="0.3">
      <c r="A105" s="47"/>
      <c r="B105" s="19"/>
      <c r="C105" s="49"/>
      <c r="D105" s="49"/>
      <c r="E105" s="49"/>
      <c r="F105" s="49" t="s">
        <v>300</v>
      </c>
      <c r="G105" s="50">
        <v>388</v>
      </c>
      <c r="H105" s="19" t="str">
        <f>IF($D$25="mm","mm","in")</f>
        <v>mm</v>
      </c>
      <c r="I105" s="25" t="str">
        <f>IF(G105="","BLANK","EQ")</f>
        <v>EQ</v>
      </c>
      <c r="V105" s="259" t="str">
        <f>IF(AND(AC104="REJECT",AA103="Below"),"FBHS connecting too far below Upper SIS.",
IF(AND(AC104="REJECT",AA102="C"),"FBHS connecting too far above Upper SIS.",
IF(AA102="C","Rearward Front Hoop Brace Required by FBHS.",
IF(AND(AA103="Above",OR(AND($D$25="mm",ABS(AA104)&gt;100),AND($D$25="Inch",ABS(AA104)&gt;4))),"Rearward Front Hoop Brace Required by FBHS.","Rearward Front Hoop Brace is not required."))))</f>
        <v>Rearward Front Hoop Brace Required by FBHS.</v>
      </c>
      <c r="W105" s="259"/>
      <c r="X105" s="259"/>
      <c r="Y105" s="259"/>
      <c r="Z105" s="259"/>
      <c r="AA105" s="259"/>
      <c r="AB105" s="259"/>
      <c r="AC105" s="163"/>
      <c r="AQ105" s="212"/>
      <c r="AR105" s="212"/>
      <c r="AS105" s="212" t="s">
        <v>23</v>
      </c>
      <c r="AT105" s="216">
        <v>1.2</v>
      </c>
      <c r="AU105" s="163" t="str">
        <f>IF(AU103="","",IF($D$25="mm",AU103,ROUND(AU103*25.4,1)))</f>
        <v/>
      </c>
      <c r="AV105" s="12" t="s">
        <v>202</v>
      </c>
      <c r="AW105" s="163" t="str">
        <f>IF(AU82="Straight","N/A",
IF(AU105="","BLANK",IF(AU105&lt;AT105,"REJECT","EQ")))</f>
        <v>N/A</v>
      </c>
      <c r="BI105" s="200" t="s">
        <v>539</v>
      </c>
      <c r="BJ105" s="212"/>
      <c r="BK105" s="212"/>
      <c r="BL105" s="212"/>
      <c r="BM105" s="49"/>
      <c r="BN105" s="212" t="s">
        <v>535</v>
      </c>
      <c r="BO105" s="50"/>
      <c r="BP105" s="12" t="str">
        <f>IF($D$25="mm","N","lbs")</f>
        <v>N</v>
      </c>
      <c r="BQ105" s="163" t="str">
        <f>IF(NOT(BN89="Mounted on MHB with Brace."),"N/A",
IF(OR(BO104="",BO105=""),"BLANK",IF(BO105&gt;ROUND(BO104,0),"REJECT","EQ")))</f>
        <v>N/A</v>
      </c>
      <c r="BS105" s="93"/>
      <c r="BT105" s="25"/>
      <c r="BV105" s="91"/>
      <c r="BW105" s="92"/>
      <c r="BY105" s="91"/>
      <c r="BZ105" s="92"/>
      <c r="CC105" s="93"/>
      <c r="CD105" s="25"/>
      <c r="CF105" s="91"/>
      <c r="CG105" s="92"/>
      <c r="CI105" s="91"/>
      <c r="CJ105" s="92"/>
      <c r="CM105" s="60"/>
      <c r="CN105" s="49"/>
      <c r="CO105" s="49"/>
      <c r="CP105" s="49"/>
      <c r="CQ105" s="49" t="str">
        <f>IF(CR92="Tube","","Critical Strength (S):")</f>
        <v/>
      </c>
      <c r="CR105" s="58" t="str">
        <f>IF(OR($CS$103="",$CS$104=""),"",
IF(($CS$103/$CR$103)&gt;($CS104/$CR$104),CR104,CR103))</f>
        <v/>
      </c>
      <c r="CS105" s="58" t="str">
        <f>IF(OR($CS$103="",$CS$104=""),"",
IF(($CS$103/$CR$103)&gt;($CS104/$CR$104),CS104,CS103))</f>
        <v/>
      </c>
      <c r="CT105" s="19" t="str">
        <f>IF($D$25="mm","Pa","psi")</f>
        <v>Pa</v>
      </c>
      <c r="CU105" s="163" t="str">
        <f t="shared" si="13"/>
        <v>N/A</v>
      </c>
      <c r="CW105" s="200"/>
    </row>
    <row r="106" spans="1:101" ht="15" customHeight="1" x14ac:dyDescent="0.3">
      <c r="A106" s="296" t="str">
        <f>IF(G101="Custom","Testing Required.",IF(OR(
AND($D$25="mm",OR(AND(G102="355mm (14in)",ABS(G104)&lt;=406,ABS(G105)&lt;=355),
AND(G102="304mm (12in)",ABS(G104)&lt;=355,ABS(G105)&lt;=406))),
AND($D$25="Inch",OR(AND(G102="355mm (14in)",ABS(G104)&lt;=16,ABS(G105)&lt;=14),
AND(G102="304mm (12in)",ABS(G104)&lt;=14,ABS(G105)&lt;=16)))),
"No diagonal or test required.","Diagonal or test required."))</f>
        <v>Diagonal or test required.</v>
      </c>
      <c r="B106" s="303"/>
      <c r="C106" s="303"/>
      <c r="D106" s="303"/>
      <c r="E106" s="303"/>
      <c r="F106" s="303"/>
      <c r="G106" s="303"/>
      <c r="H106" s="303"/>
      <c r="I106" s="303"/>
      <c r="U106" s="200"/>
      <c r="V106" s="191"/>
      <c r="AQ106" s="212"/>
      <c r="AR106" s="212"/>
      <c r="AS106" s="212" t="str">
        <f>IF(AU102="Round","Outer Diameter (OD):","Square side:")</f>
        <v>Outer Diameter (OD):</v>
      </c>
      <c r="AT106" s="216">
        <v>25</v>
      </c>
      <c r="AU106" s="163" t="str">
        <f>IF(AU104="","",IF($D$25="mm",AU104,ROUND(AU104*25.4,1)))</f>
        <v/>
      </c>
      <c r="AV106" s="12" t="s">
        <v>202</v>
      </c>
      <c r="AW106" s="163" t="str">
        <f>IF(AU82="Straight","N/A",
IF(AU106="","BLANK",IF(AU106&lt;AT106,"REJECT","EQ")))</f>
        <v>N/A</v>
      </c>
      <c r="BJ106" s="200"/>
      <c r="BK106" s="200"/>
      <c r="BL106" s="200"/>
      <c r="BM106" s="200" t="str">
        <f>IF(BN89="Mounted on MHB with Brace.","Add image of wing detachment force calculations.","")</f>
        <v/>
      </c>
      <c r="BN106" s="200"/>
      <c r="BO106" s="200"/>
      <c r="BP106" s="200"/>
      <c r="BQ106" s="200"/>
      <c r="BS106" s="93"/>
      <c r="BT106" s="25"/>
      <c r="BV106" s="91"/>
      <c r="BW106" s="55"/>
      <c r="BY106" s="91"/>
      <c r="BZ106" s="92"/>
      <c r="CC106" s="93"/>
      <c r="CD106" s="25"/>
      <c r="CF106" s="91"/>
      <c r="CG106" s="55"/>
      <c r="CI106" s="91"/>
      <c r="CJ106" s="92"/>
      <c r="CM106" s="60"/>
      <c r="CN106" s="49"/>
      <c r="CO106" s="49"/>
      <c r="CP106" s="49"/>
      <c r="CQ106" s="49" t="str">
        <f>IF(CR92="Differential Mounts","Differential mount cross sectional area (A):","")</f>
        <v/>
      </c>
      <c r="CR106" s="58" t="str">
        <f>IF(CR92="Tube","",
IF($D$25="mm",CR99/(10^6),CR99/(25.4^2)))</f>
        <v/>
      </c>
      <c r="CS106" s="224"/>
      <c r="CT106" s="19" t="str">
        <f>IF($D$25="mm","m^2","in^2")</f>
        <v>m^2</v>
      </c>
      <c r="CU106" s="163" t="str">
        <f t="shared" si="13"/>
        <v>N/A</v>
      </c>
    </row>
    <row r="107" spans="1:101" ht="15" customHeight="1" x14ac:dyDescent="0.3">
      <c r="A107" s="200"/>
      <c r="B107" s="212"/>
      <c r="C107" s="212"/>
      <c r="D107" s="212"/>
      <c r="E107" s="212"/>
      <c r="F107" s="49"/>
      <c r="G107" s="225"/>
      <c r="H107" s="225"/>
      <c r="I107" s="25"/>
      <c r="U107" s="236" t="str">
        <f>IF(COUNTIF(AC108,"BLANK"),"BLANK",IF(OR(SUMPRODUCT(--ISERROR(AC108))&gt;0,COUNTIF(AC108,"REJECT")),"REJECT",IF(COUNTIF(AC108,"CHECK"),"CHECK","EQ")))</f>
        <v>EQ</v>
      </c>
      <c r="V107" s="236"/>
      <c r="W107" s="236"/>
      <c r="X107" s="236"/>
      <c r="Y107" s="236"/>
      <c r="Z107" s="236"/>
      <c r="AA107" s="236"/>
      <c r="AB107" s="236"/>
      <c r="AC107" s="236"/>
      <c r="AP107" s="212"/>
      <c r="AQ107" s="212"/>
      <c r="AR107" s="212"/>
      <c r="AS107" s="49" t="s">
        <v>310</v>
      </c>
      <c r="AT107" s="163">
        <v>91</v>
      </c>
      <c r="AU107" s="163" t="str">
        <f>IF(OR(AU103="",AU104=""),"",
IF(AU102="Round",
ROUND(PI()*((AU106/2)^2-((AU106-2*AU105)/2)^2),0),
ROUND(AU106^2-(AU106-2*AU105)^2,0)))</f>
        <v/>
      </c>
      <c r="AV107" s="12" t="s">
        <v>307</v>
      </c>
      <c r="AW107" s="163" t="str">
        <f>IF(AU82="Straight","N/A",
IF(AU107="","BLANK",IF(AU107&lt;AT107,"REJECT","EQ")))</f>
        <v>N/A</v>
      </c>
      <c r="BJ107" s="200"/>
      <c r="BK107" s="200"/>
      <c r="BL107" s="200"/>
      <c r="BM107" s="200"/>
      <c r="BN107" s="200"/>
      <c r="BO107" s="200"/>
      <c r="BP107" s="200"/>
      <c r="BQ107" s="200"/>
      <c r="BS107" s="25"/>
      <c r="BT107" s="25"/>
      <c r="BV107" s="91"/>
      <c r="BW107" s="95"/>
      <c r="BY107" s="91"/>
      <c r="BZ107" s="92"/>
      <c r="CC107" s="25"/>
      <c r="CD107" s="25"/>
      <c r="CF107" s="91"/>
      <c r="CG107" s="95"/>
      <c r="CI107" s="91"/>
      <c r="CJ107" s="92"/>
      <c r="CM107" s="60"/>
      <c r="CN107" s="49"/>
      <c r="CO107" s="49"/>
      <c r="CP107" s="49"/>
      <c r="CQ107" s="49" t="str">
        <f>IF(CR92="Differential Mounts","Differential second moment of inertia (I):","")</f>
        <v/>
      </c>
      <c r="CR107" s="58" t="str">
        <f>IF(CR92="Tube","",
IF($D$25="mm",CR100/(10^12),CR100/(25.4^4)))</f>
        <v/>
      </c>
      <c r="CS107" s="224"/>
      <c r="CT107" s="19" t="str">
        <f>IF($D$25="mm","m^4","in^4")</f>
        <v>m^4</v>
      </c>
      <c r="CU107" s="163" t="str">
        <f t="shared" si="13"/>
        <v>N/A</v>
      </c>
      <c r="CW107" s="202"/>
    </row>
    <row r="108" spans="1:101" ht="15" customHeight="1" thickBot="1" x14ac:dyDescent="0.35">
      <c r="A108" s="236" t="str">
        <f>IF(COUNTIF(I109:I117,"BLANK"),"BLANK",IF(OR(SUMPRODUCT(--ISERROR(I109:I117))&gt;0,COUNTIF(I109:I117,"REJECT")),"REJECT",IF(COUNTIF(I109:I117,"CHECK"),"CHECK","EQ")))</f>
        <v>EQ</v>
      </c>
      <c r="B108" s="236"/>
      <c r="C108" s="236"/>
      <c r="D108" s="236"/>
      <c r="E108" s="236"/>
      <c r="F108" s="236"/>
      <c r="G108" s="236"/>
      <c r="H108" s="236"/>
      <c r="I108" s="236"/>
      <c r="U108" s="200" t="s">
        <v>322</v>
      </c>
      <c r="V108" s="250" t="str">
        <f>IF($D$25="mm","Top of FH to top of FHB tube, 50mm vertical limit:","Top of FH to top of FHB tube, 2in vertical limit:")</f>
        <v>Top of FH to top of FHB tube, 50mm vertical limit:</v>
      </c>
      <c r="W108" s="250"/>
      <c r="X108" s="250"/>
      <c r="Y108" s="250"/>
      <c r="Z108" s="252"/>
      <c r="AA108" s="50">
        <v>0</v>
      </c>
      <c r="AB108" s="12" t="str">
        <f>IF($D$25="mm","mm","in")</f>
        <v>mm</v>
      </c>
      <c r="AC108" s="163" t="str">
        <f>IF(AA108="","BLANK",IF($D$25="mm",IF(AA108&lt;=50,"EQ","REJECT"),IF(AA108&lt;=2,"EQ","REJECT")))</f>
        <v>EQ</v>
      </c>
      <c r="AP108" s="212"/>
      <c r="AQ108" s="212"/>
      <c r="AR108" s="212"/>
      <c r="AS108" s="49" t="s">
        <v>311</v>
      </c>
      <c r="AT108" s="163">
        <v>6695</v>
      </c>
      <c r="AU108" s="163" t="str">
        <f>IF(OR(AU103="",AU104=""),"",
IF(AU102="Round",
ROUND((PI()/4)*((AU106/2)^4-((AU106-2*AU105)/2)^4),0),
ROUND((AU106^4-(AU106-2*AU105)^4)/12,0)))</f>
        <v/>
      </c>
      <c r="AV108" s="12" t="s">
        <v>308</v>
      </c>
      <c r="AW108" s="163" t="str">
        <f>IF(AU82="Straight","N/A",
IF(AU108="","BLANK",IF(AU108&lt;AT108,"REJECT","EQ")))</f>
        <v>N/A</v>
      </c>
      <c r="BI108" s="300" t="str">
        <f>IF(G8="IC - Internal Combustion","IC: EV protection columns disabled","EV: Complete EV protection columns to the right")</f>
        <v>EV: Complete EV protection columns to the right</v>
      </c>
      <c r="BJ108" s="300"/>
      <c r="BK108" s="300"/>
      <c r="BL108" s="300"/>
      <c r="BM108" s="300"/>
      <c r="BN108" s="300"/>
      <c r="BO108" s="300"/>
      <c r="BP108" s="300"/>
      <c r="BQ108" s="300"/>
      <c r="BS108" s="25"/>
      <c r="BT108" s="25"/>
      <c r="BV108" s="91"/>
      <c r="BW108" s="96"/>
      <c r="BY108" s="91"/>
      <c r="BZ108" s="92"/>
      <c r="CC108" s="25"/>
      <c r="CD108" s="25"/>
      <c r="CF108" s="91"/>
      <c r="CG108" s="96"/>
      <c r="CI108" s="91"/>
      <c r="CJ108" s="92"/>
      <c r="CM108" s="60"/>
      <c r="CN108" s="49"/>
      <c r="CO108" s="49"/>
      <c r="CP108" s="49"/>
      <c r="CQ108" s="49" t="str">
        <f>IF(CR92="Tube","","Mount longitudinal minimum Edge to Centroid (R):")</f>
        <v/>
      </c>
      <c r="CR108" s="226" t="str">
        <f>IF(CR92="Tube","",
IF($D$25="mm",12.5/1000,0.493))</f>
        <v/>
      </c>
      <c r="CS108" s="224"/>
      <c r="CT108" s="19" t="str">
        <f>IF($D$25="mm","m","in")</f>
        <v>m</v>
      </c>
      <c r="CU108" s="163" t="str">
        <f t="shared" si="13"/>
        <v>N/A</v>
      </c>
      <c r="CW108" s="202"/>
    </row>
    <row r="109" spans="1:101" ht="15" customHeight="1" thickBot="1" x14ac:dyDescent="0.35">
      <c r="A109" s="47" t="s">
        <v>312</v>
      </c>
      <c r="B109" s="63" t="s">
        <v>399</v>
      </c>
      <c r="C109" s="60"/>
      <c r="D109" s="60"/>
      <c r="E109" s="60"/>
      <c r="G109" s="243" t="s">
        <v>301</v>
      </c>
      <c r="H109" s="277"/>
      <c r="I109" s="25" t="str">
        <f>IF(NOT(A106="Diagonal or test required."), "N/A",
IF(G109="","BLANK","EQ"))</f>
        <v>EQ</v>
      </c>
      <c r="U109" s="200"/>
      <c r="V109" s="191"/>
      <c r="BI109" s="300"/>
      <c r="BJ109" s="300"/>
      <c r="BK109" s="300"/>
      <c r="BL109" s="300"/>
      <c r="BM109" s="300"/>
      <c r="BN109" s="300"/>
      <c r="BO109" s="300"/>
      <c r="BP109" s="300"/>
      <c r="BQ109" s="300"/>
      <c r="BS109" s="25"/>
      <c r="BT109" s="25"/>
      <c r="BV109" s="97"/>
      <c r="BW109" s="294"/>
      <c r="BX109" s="294"/>
      <c r="BY109" s="295"/>
      <c r="BZ109" s="295"/>
      <c r="CC109" s="25"/>
      <c r="CD109" s="25"/>
      <c r="CF109" s="97"/>
      <c r="CG109" s="98"/>
      <c r="CH109" s="98"/>
      <c r="CI109" s="99"/>
      <c r="CJ109" s="99"/>
      <c r="CM109" s="72" t="str">
        <f>IF(CR92="Tube","","Buckling Modulus")</f>
        <v/>
      </c>
      <c r="CN109" s="63"/>
      <c r="CP109" s="60"/>
      <c r="CQ109" s="60" t="str">
        <f>IF(CR92="Tube",""," E_1*I_1 &lt;= E_2*I_2:")</f>
        <v/>
      </c>
      <c r="CR109" s="67" t="str">
        <f>IF($CR92="Tube","",
CR102*CR107)</f>
        <v/>
      </c>
      <c r="CS109" s="67" t="str">
        <f>IF($CR92="Tube","",
IF(OR(CS102="",CS107=""),"",CS102*CS107))</f>
        <v/>
      </c>
      <c r="CT109" s="68" t="str">
        <f>IF(OR(CR109="",CS109=""),"",CS109/CR109)</f>
        <v/>
      </c>
      <c r="CU109" s="55" t="str">
        <f>IF($G$8="IC - Internal Combustion","N/A",
IF(CR$92="Tube","N/A",
IF(CT109="","BLANK",
IF(CT109="","EQ",IF(CT109&gt;=1,"EQ",IF(CT109&gt;=0.95,"CHECK","REJECT"))))))</f>
        <v>N/A</v>
      </c>
    </row>
    <row r="110" spans="1:101" ht="15" customHeight="1" thickBot="1" x14ac:dyDescent="0.35">
      <c r="A110" s="200"/>
      <c r="B110" s="12" t="str">
        <f>IF($D$25="mm",
"Example: 25.4mm x 1.2mm round",
"Example: 1.0in x 0.047in round")</f>
        <v>Example: 25.4mm x 1.2mm round</v>
      </c>
      <c r="C110" s="163"/>
      <c r="D110" s="163"/>
      <c r="E110" s="163"/>
      <c r="F110" s="200" t="s">
        <v>304</v>
      </c>
      <c r="G110" s="259" t="s">
        <v>305</v>
      </c>
      <c r="H110" s="259"/>
      <c r="I110" s="163" t="str">
        <f>IF(OR(NOT(A106="Diagonal or test required."),G109="IA/AI Test"),"N/A",
IF(G109="","BLANK","EQ"))</f>
        <v>EQ</v>
      </c>
      <c r="U110" s="236" t="str">
        <f>IF(COUNTIF(AC111:AC118,"BLANK"),"BLANK",IF(OR(SUMPRODUCT(--ISERROR(AC111:AC118))&gt;0,COUNTIF(AC111:AC118,"REJECT")),"REJECT",IF(COUNTIF(AC111:AC118,"CHECK"),"CHECK","EQ")))</f>
        <v>EQ</v>
      </c>
      <c r="V110" s="236"/>
      <c r="W110" s="236"/>
      <c r="X110" s="236"/>
      <c r="Y110" s="236"/>
      <c r="Z110" s="236"/>
      <c r="AA110" s="236"/>
      <c r="AB110" s="236"/>
      <c r="AC110" s="236"/>
      <c r="AO110" s="236" t="str">
        <f>IF(COUNTIF(AW111:AW112,"BLANK"),"BLANK",IF(OR(SUMPRODUCT(--ISERROR(AW111:AW112))&gt;0,COUNTIF(AW111:AW112,"REJECT")),"REJECT",IF(COUNTIF(AW111:AW112,"CHECK"),"CHECK","EQ")))</f>
        <v>EQ</v>
      </c>
      <c r="AP110" s="236"/>
      <c r="AQ110" s="236"/>
      <c r="AR110" s="236"/>
      <c r="AS110" s="236"/>
      <c r="AT110" s="236"/>
      <c r="AU110" s="236"/>
      <c r="AV110" s="236"/>
      <c r="AW110" s="236"/>
      <c r="BQ110" s="45"/>
      <c r="BS110" s="47"/>
      <c r="BT110" s="289"/>
      <c r="BU110" s="289"/>
      <c r="BV110" s="289"/>
      <c r="BW110" s="289"/>
      <c r="BX110" s="25"/>
      <c r="BY110" s="25"/>
      <c r="CA110" s="25"/>
      <c r="CD110" s="49"/>
      <c r="CE110" s="49"/>
      <c r="CF110" s="49"/>
      <c r="CG110" s="49"/>
      <c r="CH110" s="25"/>
      <c r="CI110" s="25"/>
      <c r="CK110" s="25"/>
      <c r="CM110" s="72" t="str">
        <f>IF(CR92="Tube","","Critical Strength")</f>
        <v/>
      </c>
      <c r="CO110" s="60"/>
      <c r="CP110" s="60"/>
      <c r="CQ110" s="60" t="str">
        <f>IF(CR92="Tube","","S_1*A_1 &lt;= S_2*A_2:")</f>
        <v/>
      </c>
      <c r="CR110" s="67" t="str">
        <f>IF($CR92="Tube","",
IF(OR(CS103="",CS104=""),"",
CR106*CR105))</f>
        <v/>
      </c>
      <c r="CS110" s="67" t="str">
        <f>IF($CR92="Tube","",
IF(OR(CS106="",CS105=""),"",
CS106*CS105))</f>
        <v/>
      </c>
      <c r="CT110" s="68" t="str">
        <f t="shared" ref="CT110" si="14">IF(OR(CR110="",CS110=""),"",CS110/CR110)</f>
        <v/>
      </c>
      <c r="CU110" s="55" t="str">
        <f t="shared" ref="CU110:CU113" si="15">IF($G$8="IC - Internal Combustion","N/A",
IF(CR$92="Tube","N/A",
IF(CT110="","BLANK",
IF(CT110="","EQ",IF(CT110&gt;=1,"EQ",IF(CT110&gt;=0.95,"CHECK","REJECT"))))))</f>
        <v>N/A</v>
      </c>
    </row>
    <row r="111" spans="1:101" ht="15" customHeight="1" thickBot="1" x14ac:dyDescent="0.35">
      <c r="A111" s="200" t="s">
        <v>492</v>
      </c>
      <c r="C111" s="212"/>
      <c r="D111" s="212"/>
      <c r="F111" s="163" t="s">
        <v>334</v>
      </c>
      <c r="G111" s="148" t="s">
        <v>3</v>
      </c>
      <c r="I111" s="163" t="str">
        <f>IF(OR(NOT(A106="Diagonal or test required."),G109="IA/AI Test"),"N/A",
IF(G111="","BLANK","EQ"))</f>
        <v>EQ</v>
      </c>
      <c r="U111" s="200" t="s">
        <v>323</v>
      </c>
      <c r="V111" s="191" t="s">
        <v>324</v>
      </c>
      <c r="W111" s="163"/>
      <c r="X111" s="163"/>
      <c r="Y111" s="163"/>
      <c r="Z111" s="200" t="s">
        <v>304</v>
      </c>
      <c r="AA111" s="259" t="s">
        <v>305</v>
      </c>
      <c r="AB111" s="259"/>
      <c r="AC111" s="163" t="s">
        <v>89</v>
      </c>
      <c r="AO111" s="200" t="s">
        <v>390</v>
      </c>
      <c r="AP111" s="250" t="s">
        <v>46</v>
      </c>
      <c r="AQ111" s="250"/>
      <c r="AR111" s="250"/>
      <c r="AS111" s="250"/>
      <c r="AT111" s="250"/>
      <c r="AU111" s="148" t="s">
        <v>45</v>
      </c>
      <c r="AW111" s="163" t="str">
        <f>IF(AU111="","BLANK","EQ")</f>
        <v>EQ</v>
      </c>
      <c r="BI111" s="300" t="str">
        <f>IF(G8="IC - Internal Combustion","IC: EV Acc. tab disabled, complete all other tabs","EV: Complete all other tabs")</f>
        <v>EV: Complete all other tabs</v>
      </c>
      <c r="BJ111" s="300"/>
      <c r="BK111" s="300"/>
      <c r="BL111" s="300"/>
      <c r="BM111" s="300"/>
      <c r="BN111" s="300"/>
      <c r="BO111" s="300"/>
      <c r="BP111" s="300"/>
      <c r="BQ111" s="300"/>
      <c r="BS111" s="47"/>
      <c r="BT111" s="289"/>
      <c r="BU111" s="289"/>
      <c r="BV111" s="289"/>
      <c r="BW111" s="289"/>
      <c r="BX111" s="25"/>
      <c r="BY111" s="25"/>
      <c r="CA111" s="25"/>
      <c r="CD111" s="49"/>
      <c r="CE111" s="49"/>
      <c r="CF111" s="49"/>
      <c r="CG111" s="49"/>
      <c r="CH111" s="25"/>
      <c r="CI111" s="25"/>
      <c r="CK111" s="25"/>
      <c r="CM111" s="72" t="str">
        <f>IF(CR92="Tube","","Bending")</f>
        <v/>
      </c>
      <c r="CO111" s="60"/>
      <c r="CP111" s="60"/>
      <c r="CQ111" s="60" t="str">
        <f>IF(CR92="Tube","","4*S_1*I_1/r &lt;= 4*S_2*I_2/r:")</f>
        <v/>
      </c>
      <c r="CR111" s="67" t="str">
        <f>IF($CR92="Tube","",
IF(OR(CS103="",CS104=""),"",
4*CR105*CR107/CR108))</f>
        <v/>
      </c>
      <c r="CS111" s="67" t="str">
        <f>IF($CR92="Tube","",
IF(OR(CS103="",CS104="",CS108="",CS107=""),"",
4*CS105*CS107/CS108))</f>
        <v/>
      </c>
      <c r="CT111" s="68" t="str">
        <f>IF(OR(CR111="",CS111=""),"",CS111/CR111)</f>
        <v/>
      </c>
      <c r="CU111" s="55" t="str">
        <f t="shared" si="15"/>
        <v>N/A</v>
      </c>
    </row>
    <row r="112" spans="1:101" ht="15" customHeight="1" thickBot="1" x14ac:dyDescent="0.35">
      <c r="A112" s="200" t="s">
        <v>489</v>
      </c>
      <c r="C112" s="212"/>
      <c r="D112" s="212"/>
      <c r="E112" s="212" t="s">
        <v>23</v>
      </c>
      <c r="F112" s="213">
        <f>IF($D$25="mm",1.2,0.047)</f>
        <v>1.2</v>
      </c>
      <c r="G112" s="50">
        <v>1.5</v>
      </c>
      <c r="H112" s="12" t="str">
        <f>IF($D$25="mm","mm","in")</f>
        <v>mm</v>
      </c>
      <c r="I112" s="163" t="str">
        <f>IF(OR(NOT(A106="Diagonal or test required."),G109="IA/AI Test"),"N/A",
IF(G112="","BLANK",IF(G112&lt;F112,"REJECT","EQ")))</f>
        <v>EQ</v>
      </c>
      <c r="U112" s="200" t="s">
        <v>492</v>
      </c>
      <c r="V112" s="12" t="str">
        <f>IF($D$25="mm",
"Example: 25.4mm x 1.6mm round",
"Example: 1.0in x 0.065in round")</f>
        <v>Example: 25.4mm x 1.6mm round</v>
      </c>
      <c r="W112" s="212"/>
      <c r="X112" s="212"/>
      <c r="Y112" s="212"/>
      <c r="Z112" s="163" t="s">
        <v>333</v>
      </c>
      <c r="AA112" s="148" t="s">
        <v>3</v>
      </c>
      <c r="AC112" s="163" t="str">
        <f>IF(AA112="","BLANK","EQ")</f>
        <v>EQ</v>
      </c>
      <c r="AP112" s="250" t="s">
        <v>44</v>
      </c>
      <c r="AQ112" s="250"/>
      <c r="AR112" s="250"/>
      <c r="AS112" s="250"/>
      <c r="AT112" s="252"/>
      <c r="AU112" s="57">
        <v>7</v>
      </c>
      <c r="AV112" s="12" t="s">
        <v>29</v>
      </c>
      <c r="AW112" s="163" t="str">
        <f>IF(AU112="","BLANK",IF(ABS(AU112)&lt;=10,"EQ","REJECT"))</f>
        <v>EQ</v>
      </c>
      <c r="BI112" s="300"/>
      <c r="BJ112" s="300"/>
      <c r="BK112" s="300"/>
      <c r="BL112" s="300"/>
      <c r="BM112" s="300"/>
      <c r="BN112" s="300"/>
      <c r="BO112" s="300"/>
      <c r="BP112" s="300"/>
      <c r="BQ112" s="300"/>
      <c r="BS112" s="49"/>
      <c r="BT112" s="289"/>
      <c r="BU112" s="289"/>
      <c r="BV112" s="289"/>
      <c r="BW112" s="289"/>
      <c r="BX112" s="58"/>
      <c r="BY112" s="58"/>
      <c r="CA112" s="25"/>
      <c r="CC112" s="49"/>
      <c r="CD112" s="49"/>
      <c r="CE112" s="49"/>
      <c r="CF112" s="49"/>
      <c r="CG112" s="49"/>
      <c r="CH112" s="58"/>
      <c r="CI112" s="58"/>
      <c r="CK112" s="25"/>
      <c r="CM112" s="47" t="str">
        <f>IF(CR92="Tube","","Deflection")</f>
        <v/>
      </c>
      <c r="CO112" s="49"/>
      <c r="CP112" s="49"/>
      <c r="CQ112" s="49" t="str">
        <f>IF(CR92="Tube","","Bending_1/(48*EI):")</f>
        <v/>
      </c>
      <c r="CR112" s="67" t="str">
        <f>IF($CR92="Tube","",
IF(OR(CS103="",CS104=""),"",
CR111/(48*CR102*CR107)))</f>
        <v/>
      </c>
      <c r="CS112" s="67" t="str">
        <f>IF($CR92="Tube","",
IF(OR(CS103="",CS104="",CS108="",CS107="",CS102=""),"",
CS111/(48*CS102*CS107)))</f>
        <v/>
      </c>
      <c r="CT112" s="68" t="str">
        <f>IF(OR(CR112="",CS112=""),"",CS112/CR112)</f>
        <v/>
      </c>
      <c r="CU112" s="55" t="str">
        <f>IF($G$8="IC - Internal Combustion","N/A",
IF(CR$92="Tube","N/A",
IF(CT112="","BLANK",
IF(CT112="","EQ",IF(CT112&lt;=1,"EQ",IF(CT112&lt;=1.05,"CHECK","REJECT"))))))</f>
        <v>N/A</v>
      </c>
    </row>
    <row r="113" spans="1:117" ht="15" customHeight="1" x14ac:dyDescent="0.3">
      <c r="C113" s="212"/>
      <c r="D113" s="212"/>
      <c r="E113" s="212" t="str">
        <f>IF(G111="Round","Outer Diameter (OD):","Square side:")</f>
        <v>Outer Diameter (OD):</v>
      </c>
      <c r="F113" s="213">
        <f>IF($D$25="mm",25,0.984)</f>
        <v>25</v>
      </c>
      <c r="G113" s="50">
        <v>28</v>
      </c>
      <c r="H113" s="12" t="str">
        <f>IF($D$25="mm","mm","in")</f>
        <v>mm</v>
      </c>
      <c r="I113" s="163" t="str">
        <f>IF(OR(NOT(A106="Diagonal or test required."),G109="IA/AI Test"),"N/A",
IF(G113="","BLANK",IF(G113&lt;F113,"REJECT","EQ")))</f>
        <v>EQ</v>
      </c>
      <c r="U113" s="200" t="s">
        <v>489</v>
      </c>
      <c r="W113" s="212"/>
      <c r="X113" s="212"/>
      <c r="Y113" s="212" t="s">
        <v>23</v>
      </c>
      <c r="Z113" s="213">
        <f>IF($D$25="mm",1.2,0.047)</f>
        <v>1.2</v>
      </c>
      <c r="AA113" s="50">
        <v>1.5</v>
      </c>
      <c r="AB113" s="12" t="str">
        <f>IF($D$25="mm","mm","in")</f>
        <v>mm</v>
      </c>
      <c r="AC113" s="163" t="str">
        <f>IF(AA113="","BLANK",IF(AA113&lt;Z113,"REJECT","EQ"))</f>
        <v>EQ</v>
      </c>
      <c r="AO113" s="200" t="s">
        <v>382</v>
      </c>
      <c r="AP113" s="259" t="str">
        <f>IF(AU112=0,"Main Hoop Braces may run forward or rearward.",IF(AU111="Forward","Main Hoop requires braces that run forward.","Main Hoop requires braces that run rearward."))</f>
        <v>Main Hoop requires braces that run rearward.</v>
      </c>
      <c r="AQ113" s="259"/>
      <c r="AR113" s="259"/>
      <c r="AS113" s="259"/>
      <c r="AT113" s="259"/>
      <c r="AU113" s="259"/>
      <c r="AV113" s="259"/>
      <c r="AW113" s="163"/>
      <c r="BQ113" s="45"/>
      <c r="BS113" s="60"/>
      <c r="BT113" s="289"/>
      <c r="BU113" s="289"/>
      <c r="BV113" s="289"/>
      <c r="BW113" s="289"/>
      <c r="BX113" s="58"/>
      <c r="BY113" s="58"/>
      <c r="CA113" s="25"/>
      <c r="CC113" s="60"/>
      <c r="CD113" s="49"/>
      <c r="CE113" s="49"/>
      <c r="CF113" s="49"/>
      <c r="CG113" s="49"/>
      <c r="CH113" s="58"/>
      <c r="CI113" s="58"/>
      <c r="CK113" s="25"/>
      <c r="CM113" s="47" t="str">
        <f>IF(CR92="Tube","","Energy")</f>
        <v/>
      </c>
      <c r="CO113" s="49"/>
      <c r="CP113" s="49"/>
      <c r="CQ113" s="49" t="str">
        <f>IF(CR92="Tube","","0.5*Bending^2/(48*EI):")</f>
        <v/>
      </c>
      <c r="CR113" s="67" t="str">
        <f>IF($CR92="Tube","",
IF(OR(CS103="",CS104=""),"",
0.5*CR111^2/(48*CR102*CR107)))</f>
        <v/>
      </c>
      <c r="CS113" s="67" t="str">
        <f>IF($CR92="Tube","",
IF(OR(CS103="",CS104="",CS108="",CS107="",CS102=""),"",
0.5*CS111^2/(48*CS102*CS107)))</f>
        <v/>
      </c>
      <c r="CT113" s="68" t="str">
        <f t="shared" ref="CT113" si="16">IF(OR(CR113="",CS113=""),"",CS113/CR113)</f>
        <v/>
      </c>
      <c r="CU113" s="55" t="str">
        <f t="shared" si="15"/>
        <v>N/A</v>
      </c>
    </row>
    <row r="114" spans="1:117" ht="15" customHeight="1" x14ac:dyDescent="0.3">
      <c r="C114" s="212"/>
      <c r="D114" s="212"/>
      <c r="E114" s="212" t="s">
        <v>23</v>
      </c>
      <c r="F114" s="216">
        <v>1.2</v>
      </c>
      <c r="G114" s="163">
        <f>IF(G112="","",IF($D$25="mm",G112,ROUND(G112*25.4,1)))</f>
        <v>1.5</v>
      </c>
      <c r="H114" s="12" t="s">
        <v>202</v>
      </c>
      <c r="I114" s="163" t="str">
        <f>IF(OR(NOT(A106="Diagonal or test required."),G109="IA/AI Test"),"N/A",
IF(G114="","BLANK",IF(G114&lt;F114,"REJECT","EQ")))</f>
        <v>EQ</v>
      </c>
      <c r="W114" s="212"/>
      <c r="X114" s="212"/>
      <c r="Y114" s="212" t="str">
        <f>IF(AA112="Round","Outer Diameter (OD):","Square side:")</f>
        <v>Outer Diameter (OD):</v>
      </c>
      <c r="Z114" s="213">
        <f>IF($D$25="mm",25,0.984)</f>
        <v>25</v>
      </c>
      <c r="AA114" s="50">
        <v>28</v>
      </c>
      <c r="AB114" s="12" t="str">
        <f>IF($D$25="mm","mm","in")</f>
        <v>mm</v>
      </c>
      <c r="AC114" s="163" t="str">
        <f t="shared" ref="AC114:AC118" si="17">IF(AA114="","BLANK",IF(AA114&lt;Z114,"REJECT","EQ"))</f>
        <v>EQ</v>
      </c>
      <c r="BI114" s="283" t="str">
        <f>C12</f>
        <v>BLANK</v>
      </c>
      <c r="BJ114" s="283"/>
      <c r="BK114" s="283" t="s">
        <v>493</v>
      </c>
      <c r="BL114" s="283"/>
      <c r="BM114" s="283"/>
      <c r="BN114" s="283"/>
      <c r="BO114" s="283"/>
      <c r="BP114" s="283"/>
      <c r="BQ114" s="283"/>
      <c r="BS114" s="47"/>
      <c r="BT114" s="289"/>
      <c r="BU114" s="289"/>
      <c r="BV114" s="289"/>
      <c r="BW114" s="289"/>
      <c r="BX114" s="58"/>
      <c r="BY114" s="58"/>
      <c r="CA114" s="25"/>
      <c r="CD114" s="49"/>
      <c r="CE114" s="49"/>
      <c r="CF114" s="49"/>
      <c r="CG114" s="49"/>
      <c r="CH114" s="58"/>
      <c r="CI114" s="58"/>
      <c r="CK114" s="25"/>
      <c r="CM114" s="25"/>
      <c r="CN114" s="25"/>
      <c r="CP114" s="97"/>
      <c r="CQ114" s="98"/>
      <c r="CR114" s="98"/>
      <c r="CS114" s="99"/>
      <c r="CT114" s="99"/>
    </row>
    <row r="115" spans="1:117" ht="15" customHeight="1" thickBot="1" x14ac:dyDescent="0.35">
      <c r="C115" s="212"/>
      <c r="D115" s="212"/>
      <c r="E115" s="212" t="str">
        <f>IF(G111="Round","Outer Diameter (OD):","Square side:")</f>
        <v>Outer Diameter (OD):</v>
      </c>
      <c r="F115" s="216">
        <v>25</v>
      </c>
      <c r="G115" s="163">
        <f>IF(G113="","",IF($D$25="mm",G113,ROUND(G113*25.4,1)))</f>
        <v>28</v>
      </c>
      <c r="H115" s="12" t="s">
        <v>202</v>
      </c>
      <c r="I115" s="163" t="str">
        <f>IF(OR(NOT(A106="Diagonal or test required."),G109="IA/AI Test"),"N/A",
IF(G115="","BLANK",IF(G115&lt;F115,"REJECT","EQ")))</f>
        <v>EQ</v>
      </c>
      <c r="W115" s="212"/>
      <c r="X115" s="212"/>
      <c r="Y115" s="212" t="s">
        <v>23</v>
      </c>
      <c r="Z115" s="216">
        <v>1.2</v>
      </c>
      <c r="AA115" s="163">
        <f>IF(AA113="","",IF($D$25="mm",AA113,ROUND(AA113*25.4,1)))</f>
        <v>1.5</v>
      </c>
      <c r="AB115" s="12" t="s">
        <v>202</v>
      </c>
      <c r="AC115" s="163" t="str">
        <f t="shared" si="17"/>
        <v>EQ</v>
      </c>
      <c r="AO115" s="236" t="str">
        <f>IF(COUNTIF(AW116:AW117,"BLANK"),"BLANK",IF(OR(SUMPRODUCT(--ISERROR(AW116:AW117))&gt;0,COUNTIF(AW116:AW117,"REJECT")),"REJECT",IF(COUNTIF(AW116:AW117,"CHECK"),"CHECK","EQ")))</f>
        <v>EQ</v>
      </c>
      <c r="AP115" s="236"/>
      <c r="AQ115" s="236"/>
      <c r="AR115" s="236"/>
      <c r="AS115" s="236"/>
      <c r="AT115" s="236"/>
      <c r="AU115" s="236"/>
      <c r="AV115" s="236"/>
      <c r="AW115" s="236"/>
      <c r="BI115" s="283"/>
      <c r="BJ115" s="283"/>
      <c r="BK115" s="283"/>
      <c r="BL115" s="283"/>
      <c r="BM115" s="283"/>
      <c r="BN115" s="283"/>
      <c r="BO115" s="283"/>
      <c r="BP115" s="283"/>
      <c r="BQ115" s="283"/>
      <c r="BS115" s="60"/>
      <c r="BT115" s="289"/>
      <c r="BU115" s="289"/>
      <c r="BV115" s="289"/>
      <c r="BW115" s="289"/>
      <c r="BX115" s="58"/>
      <c r="BY115" s="58"/>
      <c r="CA115" s="25"/>
      <c r="CC115" s="60"/>
      <c r="CD115" s="49"/>
      <c r="CE115" s="49"/>
      <c r="CF115" s="49"/>
      <c r="CG115" s="49"/>
      <c r="CH115" s="58"/>
      <c r="CI115" s="58"/>
      <c r="CK115" s="25"/>
      <c r="CM115" s="47"/>
      <c r="CN115" s="49"/>
      <c r="CO115" s="49"/>
      <c r="CP115" s="49"/>
      <c r="CQ115" s="49"/>
      <c r="CR115" s="25"/>
      <c r="CS115" s="25"/>
      <c r="CU115" s="25"/>
      <c r="DH115" s="19"/>
      <c r="DI115" s="19"/>
      <c r="DJ115" s="19"/>
      <c r="DK115" s="19"/>
      <c r="DL115" s="19"/>
      <c r="DM115" s="19"/>
    </row>
    <row r="116" spans="1:117" ht="15" customHeight="1" thickBot="1" x14ac:dyDescent="0.35">
      <c r="B116" s="212"/>
      <c r="C116" s="212"/>
      <c r="D116" s="212"/>
      <c r="E116" s="49" t="s">
        <v>310</v>
      </c>
      <c r="F116" s="163">
        <v>91</v>
      </c>
      <c r="G116" s="163">
        <f>IF(OR(G112="",G113=""),"",
IF(G111="Round",
ROUND(PI()*((G115/2)^2-((G115-2*G114)/2)^2),0),
ROUND(G115^2-(G115-2*G114)^2,0)))</f>
        <v>125</v>
      </c>
      <c r="H116" s="12" t="s">
        <v>307</v>
      </c>
      <c r="I116" s="163" t="str">
        <f>IF(OR(NOT(A106="Diagonal or test required."),G109="IA/AI Test"),"N/A",
IF(G116="","BLANK",IF(G116&lt;F116,"REJECT","EQ")))</f>
        <v>EQ</v>
      </c>
      <c r="W116" s="212"/>
      <c r="X116" s="212"/>
      <c r="Y116" s="212" t="str">
        <f>IF(AA112="Round","Outer Diameter (OD):","Square side:")</f>
        <v>Outer Diameter (OD):</v>
      </c>
      <c r="Z116" s="216">
        <v>25</v>
      </c>
      <c r="AA116" s="163">
        <f>IF(AA114="","",IF($D$25="mm",AA114,ROUND(AA114*25.4,1)))</f>
        <v>28</v>
      </c>
      <c r="AB116" s="12" t="s">
        <v>202</v>
      </c>
      <c r="AC116" s="163" t="str">
        <f t="shared" si="17"/>
        <v>EQ</v>
      </c>
      <c r="AO116" s="200" t="s">
        <v>391</v>
      </c>
      <c r="AP116" s="250" t="s">
        <v>47</v>
      </c>
      <c r="AQ116" s="250"/>
      <c r="AR116" s="250"/>
      <c r="AS116" s="250"/>
      <c r="AT116" s="250"/>
      <c r="AU116" s="148" t="s">
        <v>45</v>
      </c>
      <c r="AW116" s="163" t="str">
        <f>IF(AU116="","BLANK","EQ")</f>
        <v>EQ</v>
      </c>
      <c r="BI116" s="283" t="str">
        <f>'F.10-11 EV Accumulator'!A17</f>
        <v>BLANK</v>
      </c>
      <c r="BJ116" s="283"/>
      <c r="BK116" s="283" t="s">
        <v>191</v>
      </c>
      <c r="BL116" s="283"/>
      <c r="BM116" s="283"/>
      <c r="BN116" s="283"/>
      <c r="BO116" s="283"/>
      <c r="BP116" s="283"/>
      <c r="BQ116" s="283"/>
      <c r="BS116" s="60"/>
      <c r="BT116" s="289"/>
      <c r="BU116" s="289"/>
      <c r="BV116" s="289"/>
      <c r="BW116" s="289"/>
      <c r="BX116" s="58"/>
      <c r="BY116" s="58"/>
      <c r="CA116" s="55"/>
      <c r="CC116" s="60"/>
      <c r="CD116" s="49"/>
      <c r="CE116" s="49"/>
      <c r="CF116" s="49"/>
      <c r="CG116" s="49"/>
      <c r="CH116" s="58"/>
      <c r="CI116" s="58"/>
      <c r="CK116" s="55"/>
      <c r="CM116" s="47"/>
      <c r="CN116" s="49"/>
      <c r="CO116" s="49"/>
      <c r="CP116" s="49"/>
      <c r="CQ116" s="49"/>
      <c r="CR116" s="25"/>
      <c r="CS116" s="25"/>
      <c r="CU116" s="25"/>
      <c r="DH116" s="19"/>
      <c r="DI116" s="19"/>
      <c r="DJ116" s="19"/>
      <c r="DK116" s="19"/>
      <c r="DL116" s="19"/>
      <c r="DM116" s="19"/>
    </row>
    <row r="117" spans="1:117" ht="15" customHeight="1" x14ac:dyDescent="0.3">
      <c r="B117" s="212"/>
      <c r="C117" s="212"/>
      <c r="D117" s="212"/>
      <c r="E117" s="49" t="s">
        <v>311</v>
      </c>
      <c r="F117" s="163">
        <v>6695</v>
      </c>
      <c r="G117" s="163">
        <f>IF(OR(G112="",G113=""),"",
IF(G111="Round",
ROUND((PI()/4)*((G115/2)^4-((G115-2*G114)/2)^4),0),
ROUND((G115^4-(G115-2*G114)^4)/12,0)))</f>
        <v>10997</v>
      </c>
      <c r="H117" s="12" t="s">
        <v>308</v>
      </c>
      <c r="I117" s="163" t="str">
        <f>IF(OR(NOT(A106="Diagonal or test required."),G109="IA/AI Test"),"N/A",
IF(G117="","BLANK",IF(G117&lt;F117,"REJECT","EQ")))</f>
        <v>EQ</v>
      </c>
      <c r="V117" s="212"/>
      <c r="W117" s="212"/>
      <c r="X117" s="212"/>
      <c r="Y117" s="49" t="s">
        <v>310</v>
      </c>
      <c r="Z117" s="163">
        <v>114</v>
      </c>
      <c r="AA117" s="163">
        <f>IF(OR(AA113="",AA114=""),"",
IF(AA112="Round",
ROUND(PI()*((AA116/2)^2-((AA116-2*AA115)/2)^2),0),
ROUND(AA116^2-(AA116-2*AA115)^2,0)))</f>
        <v>125</v>
      </c>
      <c r="AB117" s="12" t="s">
        <v>307</v>
      </c>
      <c r="AC117" s="163" t="str">
        <f t="shared" si="17"/>
        <v>EQ</v>
      </c>
      <c r="AO117" s="191"/>
      <c r="AP117" s="250" t="str">
        <f>IF(AU116="Forward","Minimize portion of seat rearward of Main Hoop:","Main Hoop &lt;=10 degrees in the rearward direction:")</f>
        <v>Main Hoop &lt;=10 degrees in the rearward direction:</v>
      </c>
      <c r="AQ117" s="250"/>
      <c r="AR117" s="250"/>
      <c r="AS117" s="250"/>
      <c r="AT117" s="252"/>
      <c r="AU117" s="57">
        <v>8</v>
      </c>
      <c r="AV117" s="12" t="s">
        <v>29</v>
      </c>
      <c r="AW117" s="163" t="str">
        <f>IF(AU117="","BLANK",IF(OR(AND(AU116="FORWARD",AU117&lt;90),AU117&lt;=10),"EQ","REJECT"))</f>
        <v>EQ</v>
      </c>
      <c r="BI117" s="283"/>
      <c r="BJ117" s="283"/>
      <c r="BK117" s="283"/>
      <c r="BL117" s="283"/>
      <c r="BM117" s="283"/>
      <c r="BN117" s="283"/>
      <c r="BO117" s="283"/>
      <c r="BP117" s="283"/>
      <c r="BQ117" s="283"/>
      <c r="BS117" s="287"/>
      <c r="BT117" s="287"/>
      <c r="BU117" s="288"/>
      <c r="BV117" s="288"/>
      <c r="BW117" s="288"/>
      <c r="BX117" s="92"/>
      <c r="BY117" s="67"/>
      <c r="BZ117" s="68"/>
      <c r="CA117" s="55"/>
      <c r="CC117" s="63"/>
      <c r="CD117" s="63"/>
      <c r="CE117" s="60"/>
      <c r="CF117" s="60"/>
      <c r="CG117" s="60"/>
      <c r="CH117" s="92"/>
      <c r="CI117" s="67"/>
      <c r="CJ117" s="68"/>
      <c r="CK117" s="55"/>
      <c r="CM117" s="49"/>
      <c r="CN117" s="49"/>
      <c r="CO117" s="49"/>
      <c r="CP117" s="49"/>
      <c r="CQ117" s="49"/>
      <c r="CR117" s="58"/>
      <c r="CS117" s="58"/>
      <c r="CU117" s="25"/>
    </row>
    <row r="118" spans="1:117" x14ac:dyDescent="0.3">
      <c r="A118" s="227"/>
      <c r="B118" s="227"/>
      <c r="C118" s="227"/>
      <c r="D118" s="227"/>
      <c r="E118" s="49"/>
      <c r="H118" s="227"/>
      <c r="I118" s="227"/>
      <c r="V118" s="212"/>
      <c r="W118" s="212"/>
      <c r="X118" s="212"/>
      <c r="Y118" s="49" t="s">
        <v>311</v>
      </c>
      <c r="Z118" s="163">
        <v>8509</v>
      </c>
      <c r="AA118" s="163">
        <f>IF(OR(AA113="",AA114=""),"",
IF(AA112="Round",
ROUND((PI()/4)*((AA116/2)^4-((AA116-2*AA115)/2)^4),0),
ROUND((AA116^4-(AA116-2*AA115)^4)/12,0)))</f>
        <v>10997</v>
      </c>
      <c r="AB118" s="12" t="s">
        <v>308</v>
      </c>
      <c r="AC118" s="163" t="str">
        <f t="shared" si="17"/>
        <v>EQ</v>
      </c>
      <c r="AO118" s="200"/>
      <c r="AP118" s="200"/>
      <c r="AQ118" s="200"/>
      <c r="AR118" s="200"/>
      <c r="AS118" s="200"/>
      <c r="AT118" s="200"/>
      <c r="AU118" s="200"/>
      <c r="AV118" s="200"/>
      <c r="AW118" s="163"/>
      <c r="BI118" s="283" t="str">
        <f>'F.8.4 Impact Attenuator'!A23</f>
        <v>BLANK</v>
      </c>
      <c r="BJ118" s="283"/>
      <c r="BK118" s="283" t="s">
        <v>192</v>
      </c>
      <c r="BL118" s="283"/>
      <c r="BM118" s="283"/>
      <c r="BN118" s="283"/>
      <c r="BO118" s="283"/>
      <c r="BP118" s="283"/>
      <c r="BQ118" s="283"/>
      <c r="BS118" s="72"/>
      <c r="BT118" s="288"/>
      <c r="BU118" s="288"/>
      <c r="BV118" s="288"/>
      <c r="BW118" s="288"/>
      <c r="BX118" s="92"/>
      <c r="BY118" s="67"/>
      <c r="BZ118" s="68"/>
      <c r="CA118" s="55"/>
      <c r="CC118" s="72"/>
      <c r="CD118" s="60"/>
      <c r="CE118" s="60"/>
      <c r="CF118" s="60"/>
      <c r="CG118" s="60"/>
      <c r="CH118" s="92"/>
      <c r="CI118" s="67"/>
      <c r="CJ118" s="68"/>
      <c r="CK118" s="55"/>
      <c r="CM118" s="60"/>
      <c r="CN118" s="49"/>
      <c r="CO118" s="49"/>
      <c r="CP118" s="49"/>
      <c r="CQ118" s="49"/>
      <c r="CR118" s="58"/>
      <c r="CS118" s="58"/>
      <c r="CU118" s="25"/>
    </row>
    <row r="119" spans="1:117" x14ac:dyDescent="0.3">
      <c r="A119" s="227"/>
      <c r="B119" s="227"/>
      <c r="C119" s="227"/>
      <c r="D119" s="227"/>
      <c r="E119" s="49"/>
      <c r="H119" s="227"/>
      <c r="I119" s="227"/>
      <c r="AO119" s="236" t="str">
        <f>IF(COUNTIF(AW120,"BLANK"),"BLANK",IF(OR(SUMPRODUCT(--ISERROR(AW120))&gt;0,COUNTIF(AW120,"REJECT")),"REJECT",IF(COUNTIF(AW120,"CHECK"),"CHECK","EQ")))</f>
        <v>EQ</v>
      </c>
      <c r="AP119" s="236"/>
      <c r="AQ119" s="236"/>
      <c r="AR119" s="236"/>
      <c r="AS119" s="236"/>
      <c r="AT119" s="236"/>
      <c r="AU119" s="236"/>
      <c r="AV119" s="236"/>
      <c r="AW119" s="236"/>
      <c r="BI119" s="283"/>
      <c r="BJ119" s="283"/>
      <c r="BK119" s="283"/>
      <c r="BL119" s="283"/>
      <c r="BM119" s="283"/>
      <c r="BN119" s="283"/>
      <c r="BO119" s="283"/>
      <c r="BP119" s="283"/>
      <c r="BQ119" s="283"/>
      <c r="BS119" s="72"/>
      <c r="BT119" s="288"/>
      <c r="BU119" s="288"/>
      <c r="BV119" s="288"/>
      <c r="BW119" s="288"/>
      <c r="BX119" s="92"/>
      <c r="BY119" s="67"/>
      <c r="BZ119" s="68"/>
      <c r="CA119" s="55"/>
      <c r="CC119" s="72"/>
      <c r="CD119" s="60"/>
      <c r="CE119" s="60"/>
      <c r="CF119" s="60"/>
      <c r="CG119" s="60"/>
      <c r="CH119" s="92"/>
      <c r="CI119" s="67"/>
      <c r="CJ119" s="68"/>
      <c r="CK119" s="55"/>
      <c r="CM119" s="47"/>
      <c r="CN119" s="49"/>
      <c r="CO119" s="49"/>
      <c r="CP119" s="49"/>
      <c r="CQ119" s="49"/>
      <c r="CR119" s="58"/>
      <c r="CS119" s="58"/>
      <c r="CU119" s="25"/>
    </row>
    <row r="120" spans="1:117" ht="15" customHeight="1" x14ac:dyDescent="0.3">
      <c r="A120" s="227"/>
      <c r="B120" s="227"/>
      <c r="C120" s="227"/>
      <c r="D120" s="227"/>
      <c r="E120" s="227"/>
      <c r="F120" s="227"/>
      <c r="G120" s="227"/>
      <c r="H120" s="227"/>
      <c r="I120" s="227"/>
      <c r="V120" s="301" t="str">
        <f>IF(AND(AC120="",AB120=""),"Rearward Front Hoop Brace is not required.",IF(AB120="FH","Rearward Front Hoop Brace is required by:","Rear Front Bulkhead Support is required by:"))</f>
        <v>Rear Front Bulkhead Support is required by:</v>
      </c>
      <c r="W120" s="301"/>
      <c r="X120" s="301"/>
      <c r="Y120" s="301"/>
      <c r="Z120" s="301"/>
      <c r="AA120" s="301"/>
      <c r="AB120" s="200" t="str">
        <f>IF(L83="Rearward Front Hoop Brace is not required.","","FH")</f>
        <v/>
      </c>
      <c r="AC120" s="200" t="str">
        <f>IF(OR(AA102="C",V105="Rearward Front Hoop Brace Required by FBHS."),"FBHS","")</f>
        <v>FBHS</v>
      </c>
      <c r="AO120" s="200" t="s">
        <v>392</v>
      </c>
      <c r="AP120" s="250" t="s">
        <v>48</v>
      </c>
      <c r="AQ120" s="250"/>
      <c r="AR120" s="250"/>
      <c r="AS120" s="250"/>
      <c r="AT120" s="252"/>
      <c r="AU120" s="50">
        <v>400</v>
      </c>
      <c r="AV120" s="12" t="str">
        <f>IF($D$25="mm","mm","in")</f>
        <v>mm</v>
      </c>
      <c r="AW120" s="163" t="str">
        <f>IF(AU120="","BLANK",IF(OR(AND($D$25="mm",AU120&gt;=380),AND($D$25="Inch",AU120&gt;=15)),"EQ","REJECT"))</f>
        <v>EQ</v>
      </c>
      <c r="AX120" s="163"/>
      <c r="AY120" s="163"/>
      <c r="AZ120" s="163"/>
      <c r="BA120" s="163"/>
      <c r="BI120" s="283" t="str">
        <f>'F.3.3, F.4, F.8.4 Materials'!A26</f>
        <v>BLANK</v>
      </c>
      <c r="BJ120" s="283"/>
      <c r="BK120" s="283" t="s">
        <v>193</v>
      </c>
      <c r="BL120" s="283"/>
      <c r="BM120" s="283"/>
      <c r="BN120" s="283"/>
      <c r="BO120" s="283"/>
      <c r="BP120" s="283"/>
      <c r="BQ120" s="283"/>
      <c r="BS120" s="47"/>
      <c r="BT120" s="289"/>
      <c r="BU120" s="289"/>
      <c r="BV120" s="289"/>
      <c r="BW120" s="289"/>
      <c r="BX120" s="92"/>
      <c r="BY120" s="67"/>
      <c r="BZ120" s="68"/>
      <c r="CA120" s="55"/>
      <c r="CD120" s="49"/>
      <c r="CE120" s="49"/>
      <c r="CF120" s="49"/>
      <c r="CG120" s="49"/>
      <c r="CH120" s="92"/>
      <c r="CI120" s="67"/>
      <c r="CJ120" s="68"/>
      <c r="CK120" s="55"/>
      <c r="CM120" s="60"/>
      <c r="CN120" s="49"/>
      <c r="CO120" s="49"/>
      <c r="CP120" s="49"/>
      <c r="CQ120" s="49"/>
      <c r="CR120" s="58"/>
      <c r="CS120" s="58"/>
      <c r="CU120" s="25"/>
    </row>
    <row r="121" spans="1:117" x14ac:dyDescent="0.3">
      <c r="A121" s="227"/>
      <c r="B121" s="227"/>
      <c r="C121" s="227"/>
      <c r="D121" s="227"/>
      <c r="E121" s="227"/>
      <c r="F121" s="227"/>
      <c r="G121" s="227"/>
      <c r="H121" s="227"/>
      <c r="I121" s="227"/>
      <c r="U121" s="236" t="str">
        <f>IF(COUNTIF(AC122:AC129,"BLANK"),"BLANK",IF(OR(SUMPRODUCT(--ISERROR(AC122:AC129))&gt;0,COUNTIF(AC122:AC129,"REJECT")),"REJECT",IF(COUNTIF(AC122:AC129,"CHECK"),"CHECK","EQ")))</f>
        <v>EQ</v>
      </c>
      <c r="V121" s="236"/>
      <c r="W121" s="236"/>
      <c r="X121" s="236"/>
      <c r="Y121" s="236"/>
      <c r="Z121" s="236"/>
      <c r="AA121" s="236"/>
      <c r="AB121" s="236"/>
      <c r="AC121" s="236"/>
      <c r="BI121" s="283"/>
      <c r="BJ121" s="283"/>
      <c r="BK121" s="283"/>
      <c r="BL121" s="283"/>
      <c r="BM121" s="283"/>
      <c r="BN121" s="283"/>
      <c r="BO121" s="283"/>
      <c r="BP121" s="283"/>
      <c r="BQ121" s="283"/>
      <c r="BS121" s="47"/>
      <c r="BT121" s="289"/>
      <c r="BU121" s="289"/>
      <c r="BV121" s="289"/>
      <c r="BW121" s="289"/>
      <c r="BX121" s="92"/>
      <c r="BY121" s="67"/>
      <c r="BZ121" s="68"/>
      <c r="CA121" s="55"/>
      <c r="CD121" s="49"/>
      <c r="CE121" s="49"/>
      <c r="CF121" s="49"/>
      <c r="CG121" s="49"/>
      <c r="CH121" s="92"/>
      <c r="CI121" s="67"/>
      <c r="CJ121" s="68"/>
      <c r="CK121" s="55"/>
      <c r="CM121" s="60"/>
      <c r="CN121" s="49"/>
      <c r="CO121" s="49"/>
      <c r="CP121" s="49"/>
      <c r="CQ121" s="49"/>
      <c r="CR121" s="58"/>
      <c r="CS121" s="58"/>
      <c r="CU121" s="55"/>
    </row>
    <row r="122" spans="1:117" ht="15" thickBot="1" x14ac:dyDescent="0.35">
      <c r="A122" s="227"/>
      <c r="B122" s="227"/>
      <c r="C122" s="227"/>
      <c r="D122" s="227"/>
      <c r="E122" s="227"/>
      <c r="F122" s="227"/>
      <c r="G122" s="227"/>
      <c r="H122" s="227"/>
      <c r="I122" s="227"/>
      <c r="U122" s="47" t="str">
        <f>IF(AB120="FH","F.6.3.5","F.6.2.3b")</f>
        <v>F.6.2.3b</v>
      </c>
      <c r="V122" s="46" t="str">
        <f>IF(AB120="FH","Rearward Front Hoop Braces (FHB)","Rear Front Bulkhead Support (FBHS)")</f>
        <v>Rear Front Bulkhead Support (FBHS)</v>
      </c>
      <c r="W122" s="46"/>
      <c r="X122" s="46"/>
      <c r="Y122" s="46"/>
      <c r="Z122" s="200" t="s">
        <v>304</v>
      </c>
      <c r="AA122" s="259" t="s">
        <v>305</v>
      </c>
      <c r="AB122" s="259"/>
      <c r="AC122" s="163" t="str">
        <f>IF(AND(AB120="",AC120=""),"N/A","EQ")</f>
        <v>EQ</v>
      </c>
      <c r="AS122" s="163" t="s">
        <v>394</v>
      </c>
      <c r="AT122" s="163"/>
      <c r="AU122" s="163"/>
      <c r="AV122" s="163"/>
      <c r="AW122" s="163"/>
      <c r="BI122" s="283" t="str">
        <f>'F.3.4.3 Welded Inserts'!A22</f>
        <v>BLANK</v>
      </c>
      <c r="BJ122" s="283"/>
      <c r="BK122" s="283" t="s">
        <v>203</v>
      </c>
      <c r="BL122" s="283"/>
      <c r="BM122" s="283"/>
      <c r="BN122" s="283"/>
      <c r="BO122" s="283"/>
      <c r="BP122" s="283"/>
      <c r="BQ122" s="283"/>
      <c r="BS122" s="47"/>
      <c r="BT122" s="289"/>
      <c r="BU122" s="289"/>
      <c r="BV122" s="289"/>
      <c r="BW122" s="289"/>
      <c r="BX122" s="58"/>
      <c r="BY122" s="58"/>
      <c r="BZ122" s="68"/>
      <c r="CA122" s="25"/>
      <c r="CD122" s="49"/>
      <c r="CE122" s="49"/>
      <c r="CF122" s="49"/>
      <c r="CG122" s="49"/>
      <c r="CH122" s="58"/>
      <c r="CI122" s="58"/>
      <c r="CJ122" s="68"/>
      <c r="CK122" s="25"/>
      <c r="CM122" s="63"/>
      <c r="CN122" s="63"/>
      <c r="CO122" s="60"/>
      <c r="CP122" s="60"/>
      <c r="CQ122" s="60"/>
      <c r="CR122" s="92"/>
      <c r="CS122" s="67"/>
      <c r="CT122" s="68"/>
      <c r="CU122" s="55"/>
    </row>
    <row r="123" spans="1:117" ht="15" thickBot="1" x14ac:dyDescent="0.35">
      <c r="A123" s="173"/>
      <c r="B123" s="173"/>
      <c r="C123" s="173"/>
      <c r="D123" s="173"/>
      <c r="E123" s="173"/>
      <c r="F123" s="173"/>
      <c r="G123" s="173"/>
      <c r="H123" s="173"/>
      <c r="I123" s="173"/>
      <c r="U123" s="200" t="s">
        <v>492</v>
      </c>
      <c r="V123" s="12" t="str">
        <f>IF(AB120="FH",
IF($D$25="mm",
"Example: 25.4mm x 1.6mm round",
"Example: 1.0in x 0.065in round"),
IF($D$25="mm",
"Example: 25.4mm x 1.2mm round",
"Example: 1.0in x 0.047in round"))</f>
        <v>Example: 25.4mm x 1.2mm round</v>
      </c>
      <c r="W123" s="212"/>
      <c r="X123" s="212"/>
      <c r="Y123" s="212"/>
      <c r="Z123" s="163" t="str">
        <f>IF(AB120="FH","Size B","Size C")</f>
        <v>Size C</v>
      </c>
      <c r="AA123" s="148" t="s">
        <v>3</v>
      </c>
      <c r="AC123" s="163" t="str">
        <f>IF(AND(AB120="",AC120=""),"N/A",
IF(AA123="","BLANK","EQ"))</f>
        <v>EQ</v>
      </c>
      <c r="AO123" s="236" t="str">
        <f>IF(COUNTIF(AW124:AW126,"BLANK"),"BLANK",IF(OR(SUMPRODUCT(--ISERROR(AW124:AW126))&gt;0,COUNTIF(AW124:AW126,"REJECT")),"REJECT",IF(COUNTIF(AW124:AW126,"CHECK"),"CHECK","EQ")))</f>
        <v>EQ</v>
      </c>
      <c r="AP123" s="236"/>
      <c r="AQ123" s="236"/>
      <c r="AR123" s="236"/>
      <c r="AS123" s="236"/>
      <c r="AT123" s="236"/>
      <c r="AU123" s="236"/>
      <c r="AV123" s="236"/>
      <c r="AW123" s="236"/>
      <c r="BI123" s="283"/>
      <c r="BJ123" s="283"/>
      <c r="BK123" s="283"/>
      <c r="BL123" s="283"/>
      <c r="BM123" s="283"/>
      <c r="BN123" s="283"/>
      <c r="BO123" s="283"/>
      <c r="BP123" s="283"/>
      <c r="BQ123" s="283"/>
      <c r="BS123" s="47"/>
      <c r="BT123" s="289"/>
      <c r="BU123" s="289"/>
      <c r="BV123" s="289"/>
      <c r="BW123" s="289"/>
      <c r="BX123" s="289"/>
      <c r="BY123" s="58"/>
      <c r="CA123" s="25"/>
      <c r="CD123" s="49"/>
      <c r="CE123" s="49"/>
      <c r="CF123" s="49"/>
      <c r="CG123" s="49"/>
      <c r="CH123" s="49"/>
      <c r="CI123" s="58"/>
      <c r="CK123" s="25"/>
      <c r="CM123" s="72"/>
      <c r="CN123" s="60"/>
      <c r="CO123" s="60"/>
      <c r="CP123" s="60"/>
      <c r="CQ123" s="60"/>
      <c r="CR123" s="92"/>
      <c r="CS123" s="67"/>
      <c r="CT123" s="68"/>
      <c r="CU123" s="55"/>
    </row>
    <row r="124" spans="1:117" x14ac:dyDescent="0.3">
      <c r="A124" s="173"/>
      <c r="B124" s="173"/>
      <c r="C124" s="173"/>
      <c r="D124" s="173"/>
      <c r="E124" s="173"/>
      <c r="F124" s="173"/>
      <c r="G124" s="173"/>
      <c r="H124" s="173"/>
      <c r="I124" s="173"/>
      <c r="U124" s="200" t="s">
        <v>489</v>
      </c>
      <c r="W124" s="212"/>
      <c r="X124" s="212"/>
      <c r="Y124" s="212" t="s">
        <v>23</v>
      </c>
      <c r="Z124" s="213">
        <f>IF($D$25="mm",1.2,0.047)</f>
        <v>1.2</v>
      </c>
      <c r="AA124" s="50">
        <v>1.5</v>
      </c>
      <c r="AB124" s="12" t="str">
        <f>IF($D$25="mm","mm","in")</f>
        <v>mm</v>
      </c>
      <c r="AC124" s="163" t="str">
        <f>IF(AND(AB120="",AC120=""),"N/A",
IF(AA124="","BLANK",IF(AA124&lt;Z124,"REJECT","EQ")))</f>
        <v>EQ</v>
      </c>
      <c r="AO124" s="200" t="s">
        <v>393</v>
      </c>
      <c r="AP124" s="250" t="s">
        <v>49</v>
      </c>
      <c r="AQ124" s="250"/>
      <c r="AR124" s="250"/>
      <c r="AS124" s="250"/>
      <c r="AT124" s="250"/>
      <c r="AU124" s="149">
        <v>100</v>
      </c>
      <c r="AV124" s="12" t="str">
        <f>IF($D$25="mm","mm","in")</f>
        <v>mm</v>
      </c>
      <c r="AW124" s="163" t="str">
        <f>IF(AU124="","BLANK",IF($D$25="mm",IF(AU124&gt;=75,"EQ","REJECT"),IF(AU124&gt;=3,"EQ","REJECT")))</f>
        <v>EQ</v>
      </c>
      <c r="BI124" s="283" t="str">
        <f>'F.5.10 Bolted Members'!A22</f>
        <v>BLANK</v>
      </c>
      <c r="BJ124" s="283"/>
      <c r="BK124" s="283" t="s">
        <v>195</v>
      </c>
      <c r="BL124" s="283"/>
      <c r="BM124" s="283"/>
      <c r="BN124" s="283"/>
      <c r="BO124" s="283"/>
      <c r="BP124" s="283"/>
      <c r="BQ124" s="283"/>
      <c r="BS124" s="47"/>
      <c r="BT124" s="49"/>
      <c r="BU124" s="49"/>
      <c r="BV124" s="49"/>
      <c r="BW124" s="49"/>
      <c r="BX124" s="25"/>
      <c r="BY124" s="25"/>
      <c r="CA124" s="25"/>
      <c r="CM124" s="72"/>
      <c r="CN124" s="60"/>
      <c r="CO124" s="60"/>
      <c r="CP124" s="60"/>
      <c r="CQ124" s="60"/>
      <c r="CR124" s="92"/>
      <c r="CS124" s="67"/>
      <c r="CT124" s="68"/>
      <c r="CU124" s="55"/>
    </row>
    <row r="125" spans="1:117" x14ac:dyDescent="0.3">
      <c r="A125" s="173"/>
      <c r="B125" s="173"/>
      <c r="C125" s="173"/>
      <c r="D125" s="173"/>
      <c r="E125" s="173"/>
      <c r="F125" s="173"/>
      <c r="G125" s="173"/>
      <c r="H125" s="173"/>
      <c r="I125" s="173"/>
      <c r="W125" s="212"/>
      <c r="X125" s="212"/>
      <c r="Y125" s="212" t="str">
        <f>IF(AA123="Round","Outer Diameter (OD):","Square side:")</f>
        <v>Outer Diameter (OD):</v>
      </c>
      <c r="Z125" s="213">
        <f>IF($D$25="mm",25,0.984)</f>
        <v>25</v>
      </c>
      <c r="AA125" s="50">
        <v>28</v>
      </c>
      <c r="AB125" s="12" t="str">
        <f>IF($D$25="mm","mm","in")</f>
        <v>mm</v>
      </c>
      <c r="AC125" s="163" t="str">
        <f>IF(AND(AB120="",AC120=""),"N/A",
IF(AA125="","BLANK",IF(AA125&lt;Z125,"REJECT","EQ")))</f>
        <v>EQ</v>
      </c>
      <c r="AO125" s="200"/>
      <c r="AP125" s="250" t="s">
        <v>50</v>
      </c>
      <c r="AQ125" s="250"/>
      <c r="AR125" s="250"/>
      <c r="AS125" s="250"/>
      <c r="AT125" s="250"/>
      <c r="AU125" s="50">
        <v>30</v>
      </c>
      <c r="AV125" s="12" t="str">
        <f>IF($D$25="mm","mm","in")</f>
        <v>mm</v>
      </c>
      <c r="AW125" s="163" t="str">
        <f>IF(AU125="","BLANK",IF($D$25="mm",IF(AU125&gt;=25,"EQ","REJECT"),IF(AU125&gt;=0.984,"EQ","REJECT")))</f>
        <v>EQ</v>
      </c>
      <c r="BI125" s="283"/>
      <c r="BJ125" s="283"/>
      <c r="BK125" s="283"/>
      <c r="BL125" s="283"/>
      <c r="BM125" s="283"/>
      <c r="BN125" s="283"/>
      <c r="BO125" s="283"/>
      <c r="BP125" s="283"/>
      <c r="BQ125" s="283"/>
      <c r="BS125" s="47"/>
      <c r="BT125" s="49"/>
      <c r="BU125" s="49"/>
      <c r="BV125" s="49"/>
      <c r="BW125" s="49"/>
      <c r="BX125" s="25"/>
      <c r="BY125" s="25"/>
      <c r="CA125" s="25"/>
      <c r="CM125" s="47"/>
      <c r="CN125" s="49"/>
      <c r="CO125" s="49"/>
      <c r="CP125" s="49"/>
      <c r="CQ125" s="49"/>
      <c r="CR125" s="92"/>
      <c r="CS125" s="67"/>
      <c r="CT125" s="68"/>
      <c r="CU125" s="55"/>
    </row>
    <row r="126" spans="1:117" x14ac:dyDescent="0.3">
      <c r="A126" s="173"/>
      <c r="B126" s="173"/>
      <c r="C126" s="173"/>
      <c r="D126" s="173"/>
      <c r="E126" s="173"/>
      <c r="F126" s="173"/>
      <c r="G126" s="173"/>
      <c r="H126" s="173"/>
      <c r="I126" s="173"/>
      <c r="W126" s="212"/>
      <c r="X126" s="212"/>
      <c r="Y126" s="212" t="s">
        <v>23</v>
      </c>
      <c r="Z126" s="216">
        <v>1.2</v>
      </c>
      <c r="AA126" s="163">
        <f>IF(AA124="","",IF($D$25="mm",AA124,ROUND(AA124*25.4,1)))</f>
        <v>1.5</v>
      </c>
      <c r="AB126" s="12" t="s">
        <v>202</v>
      </c>
      <c r="AC126" s="163" t="str">
        <f>IF(AND(AB120="",AC120=""),"N/A",
IF(AA126="","BLANK",IF(AA126&lt;Z126,"REJECT","EQ")))</f>
        <v>EQ</v>
      </c>
      <c r="AP126" s="250" t="s">
        <v>51</v>
      </c>
      <c r="AQ126" s="250"/>
      <c r="AR126" s="250"/>
      <c r="AS126" s="250"/>
      <c r="AT126" s="250"/>
      <c r="AU126" s="163">
        <f>IF(OR(AU124="",AU125=""),"",AU124/AU125)</f>
        <v>3.3333333333333335</v>
      </c>
      <c r="AW126" s="163" t="str">
        <f>IF(OR(AU124="",AU125=""),"",IF(AU126&gt;=3,"EQ","REJECT"))</f>
        <v>EQ</v>
      </c>
      <c r="BI126" s="238" t="str">
        <f>J10</f>
        <v>NO</v>
      </c>
      <c r="BJ126" s="238"/>
      <c r="BK126" s="238" t="s">
        <v>9</v>
      </c>
      <c r="BL126" s="238"/>
      <c r="BM126" s="238"/>
      <c r="BN126" s="238"/>
      <c r="BO126" s="238"/>
      <c r="BP126" s="238"/>
      <c r="BQ126" s="238"/>
      <c r="BS126" s="47"/>
      <c r="BT126" s="49"/>
      <c r="BU126" s="49"/>
      <c r="BV126" s="49"/>
      <c r="BW126" s="49"/>
      <c r="BX126" s="25"/>
      <c r="BY126" s="25"/>
      <c r="CA126" s="25"/>
      <c r="CM126" s="47"/>
      <c r="CN126" s="49"/>
      <c r="CO126" s="49"/>
      <c r="CP126" s="49"/>
      <c r="CQ126" s="49"/>
      <c r="CR126" s="92"/>
      <c r="CS126" s="67"/>
      <c r="CT126" s="68"/>
      <c r="CU126" s="55"/>
      <c r="CX126" s="93" t="s">
        <v>415</v>
      </c>
      <c r="CY126" s="19"/>
      <c r="CZ126" s="19"/>
      <c r="DA126" s="19"/>
      <c r="DB126" s="19"/>
      <c r="DC126" s="19"/>
      <c r="DD126" s="19"/>
      <c r="DE126" s="19"/>
      <c r="DF126" s="19"/>
      <c r="DG126" s="19"/>
    </row>
    <row r="127" spans="1:117" x14ac:dyDescent="0.3">
      <c r="A127" s="173"/>
      <c r="B127" s="173"/>
      <c r="C127" s="173"/>
      <c r="D127" s="173"/>
      <c r="E127" s="173"/>
      <c r="F127" s="173"/>
      <c r="G127" s="173"/>
      <c r="H127" s="173"/>
      <c r="I127" s="173"/>
      <c r="W127" s="212"/>
      <c r="X127" s="212"/>
      <c r="Y127" s="212" t="str">
        <f>IF(AA123="Round","Outer Diameter (OD):","Square side:")</f>
        <v>Outer Diameter (OD):</v>
      </c>
      <c r="Z127" s="216">
        <v>25</v>
      </c>
      <c r="AA127" s="163">
        <f>IF(AA125="","",IF($D$25="mm",AA125,ROUND(AA125*25.4,1)))</f>
        <v>28</v>
      </c>
      <c r="AB127" s="12" t="s">
        <v>202</v>
      </c>
      <c r="AC127" s="163" t="str">
        <f>IF(AND(AB120="",AC120=""),"N/A",
IF(AA127="","BLANK",IF(AA127&lt;Z127,"REJECT","EQ")))</f>
        <v>EQ</v>
      </c>
      <c r="BI127" s="238"/>
      <c r="BJ127" s="238"/>
      <c r="BK127" s="238"/>
      <c r="BL127" s="238"/>
      <c r="BM127" s="238"/>
      <c r="BN127" s="238"/>
      <c r="BO127" s="238"/>
      <c r="BP127" s="238"/>
      <c r="BQ127" s="238"/>
      <c r="BS127" s="49"/>
      <c r="BT127" s="49"/>
      <c r="BU127" s="49"/>
      <c r="BV127" s="49"/>
      <c r="BW127" s="49"/>
      <c r="BX127" s="58"/>
      <c r="BY127" s="58"/>
      <c r="CA127" s="25"/>
      <c r="CM127" s="47"/>
      <c r="CN127" s="49"/>
      <c r="CO127" s="49"/>
      <c r="CP127" s="49"/>
      <c r="CQ127" s="49"/>
      <c r="CR127" s="58"/>
      <c r="CS127" s="58"/>
      <c r="CT127" s="68"/>
      <c r="CU127" s="25"/>
      <c r="CX127" s="93" t="s">
        <v>423</v>
      </c>
      <c r="CY127" s="19"/>
      <c r="CZ127" s="19"/>
      <c r="DA127" s="19"/>
      <c r="DB127" s="19"/>
      <c r="DC127" s="19"/>
      <c r="DD127" s="19"/>
      <c r="DE127" s="19"/>
      <c r="DF127" s="19"/>
      <c r="DG127" s="19"/>
    </row>
    <row r="128" spans="1:117" ht="15" customHeight="1" x14ac:dyDescent="0.3">
      <c r="A128" s="173"/>
      <c r="B128" s="173"/>
      <c r="C128" s="173"/>
      <c r="D128" s="173"/>
      <c r="E128" s="173"/>
      <c r="F128" s="173"/>
      <c r="G128" s="173"/>
      <c r="H128" s="173"/>
      <c r="I128" s="173"/>
      <c r="V128" s="212"/>
      <c r="W128" s="212"/>
      <c r="X128" s="212"/>
      <c r="Y128" s="49" t="s">
        <v>310</v>
      </c>
      <c r="Z128" s="163">
        <f>IF(Z123="Size C",91,114)</f>
        <v>91</v>
      </c>
      <c r="AA128" s="163">
        <f>IF(OR(AA124="",AA125=""),"",
IF(AA123="Round",
ROUND(PI()*((AA127/2)^2-((AA127-2*AA126)/2)^2),0),
ROUND(AA127^2-(AA127-2*AA126)^2,0)))</f>
        <v>125</v>
      </c>
      <c r="AB128" s="12" t="s">
        <v>307</v>
      </c>
      <c r="AC128" s="163" t="str">
        <f>IF(AND(AB120="",AC120=""),"N/A",
IF(AA128="","BLANK",IF(AA128&lt;Z128,"REJECT","EQ")))</f>
        <v>EQ</v>
      </c>
      <c r="BS128" s="60"/>
      <c r="BT128" s="49"/>
      <c r="BU128" s="49"/>
      <c r="BV128" s="49"/>
      <c r="BW128" s="49"/>
      <c r="BX128" s="58"/>
      <c r="BY128" s="58"/>
      <c r="CA128" s="25"/>
      <c r="CM128" s="47"/>
      <c r="CN128" s="49"/>
      <c r="CO128" s="49"/>
      <c r="CP128" s="49"/>
      <c r="CQ128" s="49"/>
      <c r="CR128" s="49"/>
      <c r="CS128" s="58"/>
      <c r="CU128" s="25"/>
      <c r="CX128" s="93" t="s">
        <v>416</v>
      </c>
    </row>
    <row r="129" spans="21:102" x14ac:dyDescent="0.3">
      <c r="V129" s="212"/>
      <c r="W129" s="212"/>
      <c r="X129" s="212"/>
      <c r="Y129" s="49" t="s">
        <v>311</v>
      </c>
      <c r="Z129" s="163">
        <f>IF(Z123="Size C",6695,8509)</f>
        <v>6695</v>
      </c>
      <c r="AA129" s="163">
        <f>IF(OR(AA124="",AA125=""),"",
IF(AA123="Round",
ROUND((PI()/4)*((AA127/2)^4-((AA127-2*AA126)/2)^4),0),
ROUND((AA127^4-(AA127-2*AA126)^4)/12,0)))</f>
        <v>10997</v>
      </c>
      <c r="AB129" s="12" t="s">
        <v>308</v>
      </c>
      <c r="AC129" s="163" t="str">
        <f>IF(AND(AB120="",AC120=""),"N/A",
IF(AA129="","BLANK",IF(AA129&lt;Z129,"REJECT","EQ")))</f>
        <v>EQ</v>
      </c>
      <c r="BS129" s="47"/>
      <c r="BT129" s="49"/>
      <c r="BU129" s="49"/>
      <c r="BV129" s="49"/>
      <c r="BW129" s="49"/>
      <c r="BX129" s="58"/>
      <c r="BY129" s="58"/>
      <c r="CA129" s="25"/>
      <c r="CM129" s="47"/>
      <c r="CN129" s="46"/>
      <c r="CX129" s="93"/>
    </row>
    <row r="130" spans="21:102" x14ac:dyDescent="0.3">
      <c r="U130" s="200"/>
      <c r="V130" s="191"/>
      <c r="BS130" s="60"/>
      <c r="BT130" s="49"/>
      <c r="BU130" s="49"/>
      <c r="BV130" s="49"/>
      <c r="BW130" s="49"/>
      <c r="BX130" s="58"/>
      <c r="BY130" s="58"/>
      <c r="CA130" s="25"/>
      <c r="CM130" s="25"/>
      <c r="CN130" s="25"/>
      <c r="CO130" s="25"/>
      <c r="CP130" s="25"/>
      <c r="CQ130" s="25"/>
      <c r="CR130" s="25"/>
      <c r="CS130" s="25"/>
      <c r="CT130" s="25"/>
      <c r="CU130" s="25"/>
    </row>
    <row r="131" spans="21:102" ht="15" customHeight="1" x14ac:dyDescent="0.3">
      <c r="U131" s="19" t="s">
        <v>331</v>
      </c>
      <c r="V131" s="173"/>
      <c r="W131" s="173"/>
      <c r="X131" s="173"/>
      <c r="Y131" s="173"/>
      <c r="Z131" s="173"/>
      <c r="AA131" s="173"/>
      <c r="AB131" s="173"/>
      <c r="AC131" s="173"/>
      <c r="BS131" s="63"/>
      <c r="BT131" s="63"/>
      <c r="BU131" s="60"/>
      <c r="BV131" s="60"/>
      <c r="BW131" s="60"/>
      <c r="BX131" s="67"/>
      <c r="BY131" s="67"/>
      <c r="BZ131" s="68"/>
      <c r="CA131" s="55"/>
      <c r="CM131" s="47"/>
      <c r="CN131" s="48"/>
      <c r="CO131" s="48"/>
      <c r="CP131" s="48"/>
      <c r="CQ131" s="48"/>
      <c r="CR131" s="25"/>
      <c r="CS131" s="25"/>
      <c r="CU131" s="25"/>
      <c r="CX131" s="93" t="s">
        <v>418</v>
      </c>
    </row>
    <row r="132" spans="21:102" x14ac:dyDescent="0.3">
      <c r="U132" s="19" t="s">
        <v>332</v>
      </c>
      <c r="V132" s="173"/>
      <c r="W132" s="173"/>
      <c r="X132" s="173"/>
      <c r="Y132" s="173"/>
      <c r="Z132" s="173"/>
      <c r="AA132" s="173"/>
      <c r="AB132" s="173"/>
      <c r="AC132" s="173"/>
      <c r="BS132" s="72"/>
      <c r="BT132" s="60"/>
      <c r="BU132" s="60"/>
      <c r="BV132" s="60"/>
      <c r="BW132" s="60"/>
      <c r="BX132" s="67"/>
      <c r="BY132" s="67"/>
      <c r="BZ132" s="68"/>
      <c r="CA132" s="55"/>
      <c r="CM132" s="47"/>
      <c r="CN132" s="49"/>
      <c r="CO132" s="49"/>
      <c r="CP132" s="49"/>
      <c r="CQ132" s="49"/>
      <c r="CR132" s="47"/>
      <c r="CS132" s="47"/>
      <c r="CT132" s="47"/>
      <c r="CU132" s="25"/>
      <c r="CX132" s="93" t="s">
        <v>419</v>
      </c>
    </row>
    <row r="133" spans="21:102" x14ac:dyDescent="0.3">
      <c r="U133" s="173"/>
      <c r="V133" s="173"/>
      <c r="W133" s="173"/>
      <c r="X133" s="173"/>
      <c r="Y133" s="173"/>
      <c r="Z133" s="173"/>
      <c r="AA133" s="173"/>
      <c r="AB133" s="173"/>
      <c r="AC133" s="173"/>
      <c r="BS133" s="72"/>
      <c r="BT133" s="60"/>
      <c r="BU133" s="60"/>
      <c r="BV133" s="60"/>
      <c r="BW133" s="60"/>
      <c r="BX133" s="67"/>
      <c r="BY133" s="67"/>
      <c r="BZ133" s="68"/>
      <c r="CA133" s="55"/>
      <c r="CM133" s="25"/>
      <c r="CN133" s="49"/>
      <c r="CO133" s="49"/>
      <c r="CP133" s="49"/>
      <c r="CQ133" s="49"/>
      <c r="CR133" s="25"/>
      <c r="CS133" s="83"/>
      <c r="CT133" s="83"/>
      <c r="CU133" s="25"/>
      <c r="CX133" s="93"/>
    </row>
    <row r="134" spans="21:102" x14ac:dyDescent="0.3">
      <c r="V134" s="173"/>
      <c r="W134" s="173"/>
      <c r="X134" s="173"/>
      <c r="Y134" s="173"/>
      <c r="Z134" s="173"/>
      <c r="AA134" s="173"/>
      <c r="AB134" s="173"/>
      <c r="AC134" s="173"/>
      <c r="BS134" s="47"/>
      <c r="BT134" s="49"/>
      <c r="BU134" s="49"/>
      <c r="BV134" s="49"/>
      <c r="BW134" s="49"/>
      <c r="BX134" s="67"/>
      <c r="BY134" s="67"/>
      <c r="BZ134" s="68"/>
      <c r="CA134" s="55"/>
      <c r="CM134" s="47"/>
      <c r="CN134" s="49"/>
      <c r="CO134" s="49"/>
      <c r="CP134" s="49"/>
      <c r="CQ134" s="49"/>
      <c r="CR134" s="25"/>
      <c r="CS134" s="25"/>
      <c r="CU134" s="25"/>
    </row>
    <row r="135" spans="21:102" x14ac:dyDescent="0.3">
      <c r="U135" s="173"/>
      <c r="V135" s="173"/>
      <c r="W135" s="173"/>
      <c r="X135" s="173"/>
      <c r="Y135" s="173"/>
      <c r="Z135" s="173"/>
      <c r="AA135" s="173"/>
      <c r="AB135" s="173"/>
      <c r="AC135" s="173"/>
      <c r="BS135" s="47"/>
      <c r="BT135" s="49"/>
      <c r="BU135" s="49"/>
      <c r="BV135" s="49"/>
      <c r="BW135" s="49"/>
      <c r="BX135" s="67"/>
      <c r="BY135" s="67"/>
      <c r="BZ135" s="68"/>
      <c r="CA135" s="55"/>
      <c r="CN135" s="49"/>
      <c r="CO135" s="49"/>
      <c r="CP135" s="49"/>
      <c r="CQ135" s="49"/>
      <c r="CR135" s="25"/>
      <c r="CS135" s="25"/>
      <c r="CU135" s="25"/>
    </row>
    <row r="136" spans="21:102" x14ac:dyDescent="0.3">
      <c r="U136" s="173"/>
      <c r="V136" s="173"/>
      <c r="W136" s="173"/>
      <c r="X136" s="173"/>
      <c r="Y136" s="173"/>
      <c r="Z136" s="173"/>
      <c r="AA136" s="173"/>
      <c r="AB136" s="173"/>
      <c r="AC136" s="173"/>
      <c r="CM136" s="47"/>
      <c r="CN136" s="49"/>
      <c r="CO136" s="49"/>
      <c r="CP136" s="49"/>
      <c r="CQ136" s="49"/>
      <c r="CR136" s="25"/>
      <c r="CS136" s="25"/>
      <c r="CU136" s="25"/>
    </row>
    <row r="137" spans="21:102" x14ac:dyDescent="0.3">
      <c r="U137" s="173"/>
      <c r="V137" s="173"/>
      <c r="W137" s="173"/>
      <c r="X137" s="173"/>
      <c r="Y137" s="173"/>
      <c r="Z137" s="173"/>
      <c r="AA137" s="173"/>
      <c r="AB137" s="173"/>
      <c r="AC137" s="173"/>
      <c r="BS137" s="104"/>
      <c r="BT137" s="104"/>
      <c r="BU137" s="104"/>
      <c r="BV137" s="104"/>
      <c r="BW137" s="104"/>
      <c r="BX137" s="104"/>
      <c r="BY137" s="104"/>
      <c r="BZ137" s="104"/>
      <c r="CA137" s="104"/>
      <c r="CM137" s="47"/>
      <c r="CN137" s="49"/>
      <c r="CO137" s="49"/>
      <c r="CP137" s="49"/>
      <c r="CQ137" s="49"/>
      <c r="CR137" s="25"/>
      <c r="CS137" s="25"/>
      <c r="CU137" s="25"/>
      <c r="CX137" s="93"/>
    </row>
    <row r="138" spans="21:102" x14ac:dyDescent="0.3">
      <c r="U138" s="173"/>
      <c r="V138" s="173"/>
      <c r="W138" s="173"/>
      <c r="X138" s="173"/>
      <c r="Y138" s="173"/>
      <c r="Z138" s="173"/>
      <c r="AA138" s="173"/>
      <c r="AB138" s="173"/>
      <c r="AC138" s="173"/>
      <c r="BS138" s="104"/>
      <c r="BT138" s="104"/>
      <c r="BU138" s="104"/>
      <c r="BV138" s="104"/>
      <c r="BW138" s="104"/>
      <c r="BX138" s="104"/>
      <c r="BY138" s="104"/>
      <c r="BZ138" s="104"/>
      <c r="CA138" s="104"/>
      <c r="CM138" s="47"/>
      <c r="CN138" s="49"/>
      <c r="CO138" s="49"/>
      <c r="CP138" s="49"/>
      <c r="CQ138" s="49"/>
      <c r="CR138" s="25"/>
      <c r="CS138" s="25"/>
      <c r="CU138" s="25"/>
      <c r="CX138" s="93"/>
    </row>
    <row r="139" spans="21:102" x14ac:dyDescent="0.3">
      <c r="BS139" s="104"/>
      <c r="BT139" s="104"/>
      <c r="BU139" s="104"/>
      <c r="BV139" s="104"/>
      <c r="BW139" s="104"/>
      <c r="BX139" s="104"/>
      <c r="BY139" s="104"/>
      <c r="BZ139" s="104"/>
      <c r="CA139" s="104"/>
      <c r="CM139" s="49"/>
      <c r="CN139" s="49"/>
      <c r="CO139" s="49"/>
      <c r="CP139" s="49"/>
      <c r="CQ139" s="49"/>
      <c r="CR139" s="58"/>
      <c r="CS139" s="58"/>
      <c r="CU139" s="25"/>
      <c r="CX139" s="93"/>
    </row>
    <row r="140" spans="21:102" x14ac:dyDescent="0.3">
      <c r="BS140" s="104"/>
      <c r="BT140" s="104"/>
      <c r="BU140" s="104"/>
      <c r="BV140" s="104"/>
      <c r="BW140" s="104"/>
      <c r="BX140" s="104"/>
      <c r="BY140" s="104"/>
      <c r="BZ140" s="104"/>
      <c r="CA140" s="104"/>
      <c r="CM140" s="60"/>
      <c r="CN140" s="49"/>
      <c r="CO140" s="49"/>
      <c r="CP140" s="49"/>
      <c r="CQ140" s="49"/>
      <c r="CR140" s="58"/>
      <c r="CS140" s="58"/>
      <c r="CU140" s="25"/>
      <c r="CX140" s="93"/>
    </row>
    <row r="141" spans="21:102" x14ac:dyDescent="0.3">
      <c r="BS141" s="104"/>
      <c r="BT141" s="104"/>
      <c r="BU141" s="104"/>
      <c r="BV141" s="104"/>
      <c r="BW141" s="104"/>
      <c r="BX141" s="104"/>
      <c r="BY141" s="104"/>
      <c r="BZ141" s="104"/>
      <c r="CA141" s="104"/>
      <c r="CM141" s="47"/>
      <c r="CN141" s="49"/>
      <c r="CO141" s="49"/>
      <c r="CP141" s="49"/>
      <c r="CQ141" s="49"/>
      <c r="CR141" s="58"/>
      <c r="CS141" s="58"/>
      <c r="CU141" s="25"/>
      <c r="CX141" s="93"/>
    </row>
    <row r="142" spans="21:102" x14ac:dyDescent="0.3">
      <c r="BS142" s="41"/>
      <c r="BT142" s="41"/>
      <c r="BU142" s="41"/>
      <c r="BV142" s="41"/>
      <c r="BW142" s="41"/>
      <c r="BX142" s="41"/>
      <c r="BY142" s="41"/>
      <c r="BZ142" s="41"/>
      <c r="CA142" s="41"/>
      <c r="CM142" s="60"/>
      <c r="CN142" s="49"/>
      <c r="CO142" s="49"/>
      <c r="CP142" s="49"/>
      <c r="CQ142" s="49"/>
      <c r="CR142" s="58"/>
      <c r="CS142" s="58"/>
      <c r="CU142" s="25"/>
      <c r="CX142" s="93"/>
    </row>
    <row r="143" spans="21:102" x14ac:dyDescent="0.3">
      <c r="BS143" s="41"/>
      <c r="BT143" s="41"/>
      <c r="BU143" s="41"/>
      <c r="BV143" s="41"/>
      <c r="BW143" s="41"/>
      <c r="BX143" s="41"/>
      <c r="BY143" s="41"/>
      <c r="BZ143" s="41"/>
      <c r="CA143" s="41"/>
      <c r="CM143" s="63"/>
      <c r="CN143" s="63"/>
      <c r="CO143" s="60"/>
      <c r="CP143" s="60"/>
      <c r="CQ143" s="60"/>
      <c r="CR143" s="67"/>
      <c r="CS143" s="67"/>
      <c r="CT143" s="68"/>
      <c r="CU143" s="55"/>
      <c r="CX143" s="93"/>
    </row>
    <row r="144" spans="21:102" x14ac:dyDescent="0.3">
      <c r="BS144" s="41"/>
      <c r="BT144" s="41"/>
      <c r="BU144" s="41"/>
      <c r="BV144" s="41"/>
      <c r="BW144" s="41"/>
      <c r="BX144" s="41"/>
      <c r="BY144" s="41"/>
      <c r="BZ144" s="41"/>
      <c r="CA144" s="41"/>
      <c r="CM144" s="72"/>
      <c r="CN144" s="60"/>
      <c r="CO144" s="60"/>
      <c r="CP144" s="60"/>
      <c r="CQ144" s="60"/>
      <c r="CR144" s="67"/>
      <c r="CS144" s="67"/>
      <c r="CT144" s="68"/>
      <c r="CU144" s="55"/>
    </row>
    <row r="145" spans="91:99" x14ac:dyDescent="0.3">
      <c r="CM145" s="72"/>
      <c r="CN145" s="60"/>
      <c r="CO145" s="60"/>
      <c r="CP145" s="60"/>
      <c r="CQ145" s="60"/>
      <c r="CR145" s="67"/>
      <c r="CS145" s="67"/>
      <c r="CT145" s="68"/>
      <c r="CU145" s="55"/>
    </row>
    <row r="146" spans="91:99" x14ac:dyDescent="0.3">
      <c r="CM146" s="47"/>
      <c r="CN146" s="49"/>
      <c r="CO146" s="49"/>
      <c r="CP146" s="49"/>
      <c r="CQ146" s="49"/>
      <c r="CR146" s="67"/>
      <c r="CS146" s="67"/>
      <c r="CT146" s="68"/>
      <c r="CU146" s="55"/>
    </row>
    <row r="147" spans="91:99" x14ac:dyDescent="0.3">
      <c r="CM147" s="47"/>
      <c r="CN147" s="49"/>
      <c r="CO147" s="49"/>
      <c r="CP147" s="49"/>
      <c r="CQ147" s="49"/>
      <c r="CR147" s="67"/>
      <c r="CS147" s="67"/>
      <c r="CT147" s="68"/>
      <c r="CU147" s="55"/>
    </row>
    <row r="149" spans="91:99" x14ac:dyDescent="0.3">
      <c r="CN149" s="48"/>
      <c r="CO149" s="48"/>
      <c r="CP149" s="48"/>
      <c r="CQ149" s="48"/>
      <c r="CR149" s="48"/>
      <c r="CS149" s="48"/>
      <c r="CT149" s="47"/>
      <c r="CU149" s="47"/>
    </row>
    <row r="150" spans="91:99" x14ac:dyDescent="0.3">
      <c r="CM150" s="25"/>
      <c r="CN150" s="25"/>
      <c r="CO150" s="25"/>
      <c r="CP150" s="25"/>
      <c r="CQ150" s="25"/>
      <c r="CR150" s="25"/>
      <c r="CS150" s="25"/>
      <c r="CT150" s="25"/>
      <c r="CU150" s="25"/>
    </row>
    <row r="151" spans="91:99" x14ac:dyDescent="0.3">
      <c r="CM151" s="47"/>
      <c r="CN151" s="48"/>
      <c r="CO151" s="48"/>
      <c r="CP151" s="48"/>
      <c r="CQ151" s="48"/>
      <c r="CR151" s="25"/>
      <c r="CS151" s="25"/>
      <c r="CU151" s="25"/>
    </row>
    <row r="152" spans="91:99" x14ac:dyDescent="0.3">
      <c r="CM152" s="47"/>
      <c r="CN152" s="49"/>
      <c r="CO152" s="49"/>
      <c r="CP152" s="49"/>
      <c r="CQ152" s="49"/>
      <c r="CR152" s="47"/>
      <c r="CS152" s="47"/>
      <c r="CT152" s="47"/>
      <c r="CU152" s="25"/>
    </row>
    <row r="153" spans="91:99" x14ac:dyDescent="0.3">
      <c r="CM153" s="25"/>
      <c r="CN153" s="49"/>
      <c r="CO153" s="49"/>
      <c r="CP153" s="49"/>
      <c r="CQ153" s="49"/>
      <c r="CR153" s="25"/>
      <c r="CS153" s="83"/>
      <c r="CT153" s="83"/>
      <c r="CU153" s="25"/>
    </row>
    <row r="154" spans="91:99" x14ac:dyDescent="0.3">
      <c r="CM154" s="47"/>
      <c r="CN154" s="49"/>
      <c r="CO154" s="49"/>
      <c r="CP154" s="49"/>
      <c r="CQ154" s="49"/>
      <c r="CR154" s="25"/>
      <c r="CS154" s="25"/>
      <c r="CU154" s="25"/>
    </row>
    <row r="155" spans="91:99" x14ac:dyDescent="0.3">
      <c r="CN155" s="49"/>
      <c r="CO155" s="49"/>
      <c r="CP155" s="49"/>
      <c r="CQ155" s="49"/>
      <c r="CR155" s="25"/>
      <c r="CS155" s="25"/>
      <c r="CU155" s="25"/>
    </row>
    <row r="156" spans="91:99" x14ac:dyDescent="0.3">
      <c r="CM156" s="47"/>
      <c r="CN156" s="49"/>
      <c r="CO156" s="49"/>
      <c r="CP156" s="49"/>
      <c r="CQ156" s="49"/>
      <c r="CR156" s="25"/>
      <c r="CS156" s="25"/>
      <c r="CU156" s="25"/>
    </row>
    <row r="157" spans="91:99" x14ac:dyDescent="0.3">
      <c r="CM157" s="47"/>
      <c r="CN157" s="49"/>
      <c r="CO157" s="49"/>
      <c r="CP157" s="49"/>
      <c r="CQ157" s="49"/>
      <c r="CR157" s="25"/>
      <c r="CS157" s="25"/>
      <c r="CU157" s="25"/>
    </row>
    <row r="158" spans="91:99" x14ac:dyDescent="0.3">
      <c r="CM158" s="47"/>
      <c r="CN158" s="49"/>
      <c r="CO158" s="49"/>
      <c r="CP158" s="49"/>
      <c r="CQ158" s="49"/>
      <c r="CR158" s="25"/>
      <c r="CS158" s="25"/>
      <c r="CU158" s="25"/>
    </row>
    <row r="159" spans="91:99" x14ac:dyDescent="0.3">
      <c r="CM159" s="49"/>
      <c r="CN159" s="49"/>
      <c r="CO159" s="49"/>
      <c r="CP159" s="49"/>
      <c r="CQ159" s="49"/>
      <c r="CR159" s="58"/>
      <c r="CS159" s="58"/>
      <c r="CU159" s="25"/>
    </row>
    <row r="160" spans="91:99" x14ac:dyDescent="0.3">
      <c r="CM160" s="60"/>
      <c r="CN160" s="49"/>
      <c r="CO160" s="49"/>
      <c r="CP160" s="49"/>
      <c r="CQ160" s="49"/>
      <c r="CR160" s="58"/>
      <c r="CS160" s="58"/>
      <c r="CU160" s="25"/>
    </row>
    <row r="161" spans="91:99" x14ac:dyDescent="0.3">
      <c r="CM161" s="47"/>
      <c r="CN161" s="49"/>
      <c r="CO161" s="49"/>
      <c r="CP161" s="49"/>
      <c r="CQ161" s="49"/>
      <c r="CR161" s="58"/>
      <c r="CS161" s="58"/>
      <c r="CU161" s="25"/>
    </row>
    <row r="162" spans="91:99" x14ac:dyDescent="0.3">
      <c r="CM162" s="60"/>
      <c r="CN162" s="49"/>
      <c r="CO162" s="49"/>
      <c r="CP162" s="49"/>
      <c r="CQ162" s="49"/>
      <c r="CR162" s="58"/>
      <c r="CS162" s="58"/>
      <c r="CU162" s="25"/>
    </row>
    <row r="163" spans="91:99" x14ac:dyDescent="0.3">
      <c r="CM163" s="63"/>
      <c r="CN163" s="63"/>
      <c r="CO163" s="60"/>
      <c r="CP163" s="60"/>
      <c r="CQ163" s="60"/>
      <c r="CR163" s="67"/>
      <c r="CS163" s="67"/>
      <c r="CT163" s="68"/>
      <c r="CU163" s="55"/>
    </row>
    <row r="164" spans="91:99" x14ac:dyDescent="0.3">
      <c r="CM164" s="72"/>
      <c r="CN164" s="60"/>
      <c r="CO164" s="60"/>
      <c r="CP164" s="60"/>
      <c r="CQ164" s="60"/>
      <c r="CR164" s="67"/>
      <c r="CS164" s="67"/>
      <c r="CT164" s="68"/>
      <c r="CU164" s="55"/>
    </row>
    <row r="165" spans="91:99" x14ac:dyDescent="0.3">
      <c r="CM165" s="72"/>
      <c r="CN165" s="60"/>
      <c r="CO165" s="60"/>
      <c r="CP165" s="60"/>
      <c r="CQ165" s="60"/>
      <c r="CR165" s="67"/>
      <c r="CS165" s="67"/>
      <c r="CT165" s="68"/>
      <c r="CU165" s="55"/>
    </row>
    <row r="166" spans="91:99" x14ac:dyDescent="0.3">
      <c r="CM166" s="47"/>
      <c r="CN166" s="49"/>
      <c r="CO166" s="49"/>
      <c r="CP166" s="49"/>
      <c r="CQ166" s="49"/>
      <c r="CR166" s="67"/>
      <c r="CS166" s="67"/>
      <c r="CT166" s="68"/>
      <c r="CU166" s="55"/>
    </row>
    <row r="167" spans="91:99" x14ac:dyDescent="0.3">
      <c r="CM167" s="47"/>
      <c r="CN167" s="49"/>
      <c r="CO167" s="49"/>
      <c r="CP167" s="49"/>
      <c r="CQ167" s="49"/>
      <c r="CR167" s="67"/>
      <c r="CS167" s="67"/>
      <c r="CT167" s="68"/>
      <c r="CU167" s="55"/>
    </row>
  </sheetData>
  <sheetProtection algorithmName="SHA-512" hashValue="JmURts3oyNZAHNjtiOM45Jnv/e/orrj5fjRSiCBD4c9K8Ci2RP6cpC9hNMMqdEFT9sShlOTbG5fLdVU531GF1Q==" saltValue="HojPSDnzc9U2GqaNdeglCg==" spinCount="100000" sheet="1" scenarios="1"/>
  <protectedRanges>
    <protectedRange sqref="BO75 BO78:BO79 BO82 BN89 BO91:BO93 BO102:BO103 BO105" name="Helmet"/>
    <protectedRange sqref="C1 C2 D4 F4 H4 C5 C6 A8 C8 E8 G8 M9 M10 D25" name="Title Block"/>
    <protectedRange sqref="G60:G61 G64 G66:G67 G71:G73 G78 G79:G81 G84:G85 G101 G102 G104:G105 G109 G111:G113" name="AI and FB"/>
    <protectedRange sqref="Q73 Q76 Q79 Q82 Q64:Q66" name="FH"/>
    <protectedRange sqref="AA90:AA92 AA99 AA102:AA104 AA108 AA112:AA114 AA123:AA125" name="FBHS and FHB"/>
    <protectedRange sqref="AK71 AK72:AK73 AK77 AK79:AK81 AK89:AK91" name="SIS"/>
    <protectedRange sqref="AU74:AU75 AU82 AU84:AU86 AU95 AU102:AU104 AU111 AU112 AU116:AU117 AU120 AU124:AU125" name="MH and SH"/>
    <protectedRange sqref="BE77:BE78 BE81 BE85:BE87 BE95:BE97" name="MHB and MHBS"/>
    <protectedRange sqref="CR92 CT81 CS83:CS85 CS94:CS96 CS101 CS102:CS104 CS106:CS108" name="Tube Rear Impact"/>
    <protectedRange sqref="CI69:CI71" name="Tube Trac Side"/>
    <protectedRange sqref="BY69:BY71" name="Tube Acc Side"/>
  </protectedRanges>
  <mergeCells count="299">
    <mergeCell ref="AP126:AT126"/>
    <mergeCell ref="BI124:BJ125"/>
    <mergeCell ref="BK124:BQ125"/>
    <mergeCell ref="G102:H102"/>
    <mergeCell ref="G103:H103"/>
    <mergeCell ref="A106:I106"/>
    <mergeCell ref="A108:I108"/>
    <mergeCell ref="G110:H110"/>
    <mergeCell ref="AO123:AW123"/>
    <mergeCell ref="AP124:AT124"/>
    <mergeCell ref="AP125:AT125"/>
    <mergeCell ref="AP116:AT116"/>
    <mergeCell ref="V102:Z102"/>
    <mergeCell ref="BS117:BT117"/>
    <mergeCell ref="BU117:BW117"/>
    <mergeCell ref="BT118:BW118"/>
    <mergeCell ref="BT119:BW119"/>
    <mergeCell ref="BT120:BW120"/>
    <mergeCell ref="BT121:BW121"/>
    <mergeCell ref="BI126:BJ127"/>
    <mergeCell ref="BK126:BQ127"/>
    <mergeCell ref="BI114:BJ115"/>
    <mergeCell ref="BK114:BQ115"/>
    <mergeCell ref="BT122:BW122"/>
    <mergeCell ref="BT123:BX123"/>
    <mergeCell ref="BI118:BJ119"/>
    <mergeCell ref="BI116:BJ117"/>
    <mergeCell ref="AE87:AM87"/>
    <mergeCell ref="AA122:AB122"/>
    <mergeCell ref="G109:H109"/>
    <mergeCell ref="BI122:BJ123"/>
    <mergeCell ref="BK122:BQ123"/>
    <mergeCell ref="AU101:AV101"/>
    <mergeCell ref="A100:I100"/>
    <mergeCell ref="AO94:AW94"/>
    <mergeCell ref="AP95:AT95"/>
    <mergeCell ref="AO97:AW97"/>
    <mergeCell ref="AP92:AV92"/>
    <mergeCell ref="A99:I99"/>
    <mergeCell ref="A89:I92"/>
    <mergeCell ref="BI108:BQ109"/>
    <mergeCell ref="BI111:BQ112"/>
    <mergeCell ref="AA89:AB89"/>
    <mergeCell ref="U121:AC121"/>
    <mergeCell ref="U107:AC107"/>
    <mergeCell ref="V108:Z108"/>
    <mergeCell ref="U101:AC101"/>
    <mergeCell ref="U110:AC110"/>
    <mergeCell ref="V105:AB105"/>
    <mergeCell ref="V120:AA120"/>
    <mergeCell ref="U104:Z104"/>
    <mergeCell ref="BT113:BW113"/>
    <mergeCell ref="BT114:BW114"/>
    <mergeCell ref="BT115:BW115"/>
    <mergeCell ref="BT116:BW116"/>
    <mergeCell ref="CS93:CT93"/>
    <mergeCell ref="BT110:BW110"/>
    <mergeCell ref="BT111:BW111"/>
    <mergeCell ref="CS101:CT101"/>
    <mergeCell ref="BS102:BX102"/>
    <mergeCell ref="BS103:BU103"/>
    <mergeCell ref="BV103:BX103"/>
    <mergeCell ref="BY103:CA103"/>
    <mergeCell ref="BW109:BX109"/>
    <mergeCell ref="BY109:BZ109"/>
    <mergeCell ref="BT93:BW93"/>
    <mergeCell ref="BX93:BY93"/>
    <mergeCell ref="BS100:BX100"/>
    <mergeCell ref="BS101:BX101"/>
    <mergeCell ref="BS94:BW94"/>
    <mergeCell ref="BX94:BY94"/>
    <mergeCell ref="BS95:BX95"/>
    <mergeCell ref="BY95:BZ95"/>
    <mergeCell ref="CN92:CQ92"/>
    <mergeCell ref="CR92:CS92"/>
    <mergeCell ref="BT112:BW112"/>
    <mergeCell ref="BT77:BW77"/>
    <mergeCell ref="CD77:CG77"/>
    <mergeCell ref="BT78:BW78"/>
    <mergeCell ref="CD78:CG78"/>
    <mergeCell ref="CM91:CU91"/>
    <mergeCell ref="BS96:BX96"/>
    <mergeCell ref="BS97:BX97"/>
    <mergeCell ref="BS98:BX98"/>
    <mergeCell ref="BS99:BX99"/>
    <mergeCell ref="BT79:BW79"/>
    <mergeCell ref="CD79:CG79"/>
    <mergeCell ref="BS80:BT80"/>
    <mergeCell ref="BU80:BW80"/>
    <mergeCell ref="CM80:CU80"/>
    <mergeCell ref="BS90:CA90"/>
    <mergeCell ref="BS92:CA92"/>
    <mergeCell ref="CS82:CT82"/>
    <mergeCell ref="BT81:BW81"/>
    <mergeCell ref="CD81:CG81"/>
    <mergeCell ref="BT82:BW82"/>
    <mergeCell ref="CD82:CG82"/>
    <mergeCell ref="BT83:BW83"/>
    <mergeCell ref="CD83:CG83"/>
    <mergeCell ref="BT84:BW84"/>
    <mergeCell ref="CD84:CG84"/>
    <mergeCell ref="CC85:CK85"/>
    <mergeCell ref="AK71:AL71"/>
    <mergeCell ref="AK78:AL78"/>
    <mergeCell ref="AU83:AV83"/>
    <mergeCell ref="AU82:AV82"/>
    <mergeCell ref="BI77:BQ77"/>
    <mergeCell ref="BJ78:BN78"/>
    <mergeCell ref="AZ81:BD81"/>
    <mergeCell ref="AO81:AW81"/>
    <mergeCell ref="AO71:AW71"/>
    <mergeCell ref="AY76:BG76"/>
    <mergeCell ref="AZ77:BD77"/>
    <mergeCell ref="AZ75:BF75"/>
    <mergeCell ref="BJ79:BN79"/>
    <mergeCell ref="BI81:BQ81"/>
    <mergeCell ref="BJ82:BN82"/>
    <mergeCell ref="BI84:BQ86"/>
    <mergeCell ref="L82:P82"/>
    <mergeCell ref="K81:S81"/>
    <mergeCell ref="L79:P79"/>
    <mergeCell ref="L76:P76"/>
    <mergeCell ref="K75:S75"/>
    <mergeCell ref="L73:P73"/>
    <mergeCell ref="K72:S72"/>
    <mergeCell ref="K56:L57"/>
    <mergeCell ref="M56:S57"/>
    <mergeCell ref="K62:S62"/>
    <mergeCell ref="U65:U67"/>
    <mergeCell ref="AK88:AL88"/>
    <mergeCell ref="BK118:BQ119"/>
    <mergeCell ref="BI120:BJ121"/>
    <mergeCell ref="BK120:BQ121"/>
    <mergeCell ref="AZ78:BD78"/>
    <mergeCell ref="AU72:AV72"/>
    <mergeCell ref="AK77:AL77"/>
    <mergeCell ref="AA111:AB111"/>
    <mergeCell ref="AP99:AV99"/>
    <mergeCell ref="AO100:AW100"/>
    <mergeCell ref="AO119:AW119"/>
    <mergeCell ref="AP120:AT120"/>
    <mergeCell ref="AO110:AW110"/>
    <mergeCell ref="AO115:AW115"/>
    <mergeCell ref="AP117:AT117"/>
    <mergeCell ref="AP112:AT112"/>
    <mergeCell ref="AP111:AT111"/>
    <mergeCell ref="AP113:AV113"/>
    <mergeCell ref="BK116:BQ117"/>
    <mergeCell ref="U103:Z103"/>
    <mergeCell ref="U98:AC98"/>
    <mergeCell ref="V99:Z99"/>
    <mergeCell ref="BE94:BF94"/>
    <mergeCell ref="CW19:CX19"/>
    <mergeCell ref="AY80:BG80"/>
    <mergeCell ref="BI88:BQ88"/>
    <mergeCell ref="AY55:BG55"/>
    <mergeCell ref="AY56:AZ57"/>
    <mergeCell ref="BA56:BG57"/>
    <mergeCell ref="AY58:BG59"/>
    <mergeCell ref="CW41:CZ42"/>
    <mergeCell ref="CW70:CY71"/>
    <mergeCell ref="CW84:DC85"/>
    <mergeCell ref="CC66:CK66"/>
    <mergeCell ref="BS67:CA67"/>
    <mergeCell ref="CC67:CK67"/>
    <mergeCell ref="CC80:CD80"/>
    <mergeCell ref="CE80:CG80"/>
    <mergeCell ref="BT76:BW76"/>
    <mergeCell ref="CD76:CG76"/>
    <mergeCell ref="BS33:BU33"/>
    <mergeCell ref="CC39:CK40"/>
    <mergeCell ref="BS39:CA40"/>
    <mergeCell ref="BI56:BJ57"/>
    <mergeCell ref="CW21:CY22"/>
    <mergeCell ref="BI55:BQ55"/>
    <mergeCell ref="BK56:BQ57"/>
    <mergeCell ref="BJ89:BM89"/>
    <mergeCell ref="BN89:BP89"/>
    <mergeCell ref="BE84:BF84"/>
    <mergeCell ref="AY93:BG93"/>
    <mergeCell ref="AY83:BG83"/>
    <mergeCell ref="BO90:BP90"/>
    <mergeCell ref="BI58:BQ59"/>
    <mergeCell ref="BI74:BQ74"/>
    <mergeCell ref="BJ75:BN75"/>
    <mergeCell ref="BY68:BZ68"/>
    <mergeCell ref="CM39:CU40"/>
    <mergeCell ref="CM41:CU42"/>
    <mergeCell ref="BS55:CA55"/>
    <mergeCell ref="CC55:CK55"/>
    <mergeCell ref="CM55:CU55"/>
    <mergeCell ref="BS56:BT57"/>
    <mergeCell ref="BU56:CA57"/>
    <mergeCell ref="CC56:CD57"/>
    <mergeCell ref="CE56:CK57"/>
    <mergeCell ref="CM56:CN57"/>
    <mergeCell ref="CO56:CU57"/>
    <mergeCell ref="CI68:CJ68"/>
    <mergeCell ref="A69:I69"/>
    <mergeCell ref="A93:I96"/>
    <mergeCell ref="B101:F101"/>
    <mergeCell ref="K78:S78"/>
    <mergeCell ref="AE70:AM70"/>
    <mergeCell ref="U88:AC88"/>
    <mergeCell ref="U61:U62"/>
    <mergeCell ref="D4:E4"/>
    <mergeCell ref="F4:G4"/>
    <mergeCell ref="H4:I4"/>
    <mergeCell ref="L83:R83"/>
    <mergeCell ref="G78:H78"/>
    <mergeCell ref="U58:AC59"/>
    <mergeCell ref="M10:AA10"/>
    <mergeCell ref="AE76:AM76"/>
    <mergeCell ref="A33:C33"/>
    <mergeCell ref="C56:I57"/>
    <mergeCell ref="A56:B57"/>
    <mergeCell ref="A63:I63"/>
    <mergeCell ref="G70:H70"/>
    <mergeCell ref="Q63:R63"/>
    <mergeCell ref="B60:F60"/>
    <mergeCell ref="B61:F61"/>
    <mergeCell ref="A97:I98"/>
    <mergeCell ref="U63:U64"/>
    <mergeCell ref="U55:AC55"/>
    <mergeCell ref="K55:S55"/>
    <mergeCell ref="U41:AC42"/>
    <mergeCell ref="K39:S40"/>
    <mergeCell ref="AG11:AO12"/>
    <mergeCell ref="AO56:AP57"/>
    <mergeCell ref="AQ56:AW57"/>
    <mergeCell ref="AO58:AW59"/>
    <mergeCell ref="AE55:AM55"/>
    <mergeCell ref="AG56:AM57"/>
    <mergeCell ref="W56:AC57"/>
    <mergeCell ref="U56:V57"/>
    <mergeCell ref="AE39:AM40"/>
    <mergeCell ref="B64:F64"/>
    <mergeCell ref="B65:H65"/>
    <mergeCell ref="B66:F66"/>
    <mergeCell ref="B67:F67"/>
    <mergeCell ref="C2:J2"/>
    <mergeCell ref="C5:J5"/>
    <mergeCell ref="C6:J6"/>
    <mergeCell ref="D3:E3"/>
    <mergeCell ref="F3:G3"/>
    <mergeCell ref="H3:I3"/>
    <mergeCell ref="A59:I59"/>
    <mergeCell ref="E7:F7"/>
    <mergeCell ref="A7:B7"/>
    <mergeCell ref="C7:D7"/>
    <mergeCell ref="G7:J7"/>
    <mergeCell ref="D25:K26"/>
    <mergeCell ref="A25:C26"/>
    <mergeCell ref="D10:I11"/>
    <mergeCell ref="A10:C11"/>
    <mergeCell ref="J10:K11"/>
    <mergeCell ref="A18:C24"/>
    <mergeCell ref="AF9:AP10"/>
    <mergeCell ref="AG13:AO14"/>
    <mergeCell ref="U39:AC40"/>
    <mergeCell ref="AU13:BC14"/>
    <mergeCell ref="BH9:BR10"/>
    <mergeCell ref="BH15:BR16"/>
    <mergeCell ref="C1:J1"/>
    <mergeCell ref="A55:I55"/>
    <mergeCell ref="A38:I39"/>
    <mergeCell ref="C8:D8"/>
    <mergeCell ref="E8:F8"/>
    <mergeCell ref="A9:J9"/>
    <mergeCell ref="G8:J8"/>
    <mergeCell ref="A8:B8"/>
    <mergeCell ref="AU11:BC12"/>
    <mergeCell ref="M2:AA2"/>
    <mergeCell ref="BH13:BR14"/>
    <mergeCell ref="BH11:BR12"/>
    <mergeCell ref="CW1:DF6"/>
    <mergeCell ref="FJ1:FQ2"/>
    <mergeCell ref="EM1:ES2"/>
    <mergeCell ref="EU1:FI2"/>
    <mergeCell ref="AO55:AW55"/>
    <mergeCell ref="AE56:AF57"/>
    <mergeCell ref="DH1:ED2"/>
    <mergeCell ref="CI9:CU10"/>
    <mergeCell ref="CI11:CU12"/>
    <mergeCell ref="CI13:CU14"/>
    <mergeCell ref="CI15:CU16"/>
    <mergeCell ref="BU9:CG10"/>
    <mergeCell ref="BU11:CG12"/>
    <mergeCell ref="BU13:CG14"/>
    <mergeCell ref="BU15:CG16"/>
    <mergeCell ref="EE1:EL2"/>
    <mergeCell ref="AT9:BD10"/>
    <mergeCell ref="AE41:AM42"/>
    <mergeCell ref="AY41:BG42"/>
    <mergeCell ref="AO39:AW40"/>
    <mergeCell ref="AY39:BG40"/>
    <mergeCell ref="BI39:BQ40"/>
    <mergeCell ref="AF15:AP16"/>
    <mergeCell ref="AT15:BD16"/>
  </mergeCells>
  <conditionalFormatting sqref="J10">
    <cfRule type="expression" dxfId="137" priority="849">
      <formula>$A$18="REJECT"</formula>
    </cfRule>
    <cfRule type="expression" dxfId="136" priority="850">
      <formula>$A$18="BLANK"</formula>
    </cfRule>
    <cfRule type="expression" dxfId="135" priority="851">
      <formula>$A$18="CHECK"</formula>
    </cfRule>
    <cfRule type="expression" dxfId="134" priority="852">
      <formula>$A$18="EQ"</formula>
    </cfRule>
  </conditionalFormatting>
  <conditionalFormatting sqref="BI126">
    <cfRule type="expression" dxfId="133" priority="81">
      <formula>$A$18="REJECT"</formula>
    </cfRule>
    <cfRule type="expression" dxfId="132" priority="82">
      <formula>$A$18="BLANK"</formula>
    </cfRule>
    <cfRule type="expression" dxfId="131" priority="83">
      <formula>$A$18="CHECK"</formula>
    </cfRule>
    <cfRule type="expression" dxfId="130" priority="84">
      <formula>$A$18="EQ"</formula>
    </cfRule>
  </conditionalFormatting>
  <conditionalFormatting sqref="BU68:CC68 A118:E119 A120:I1048576 J112:U112 H118:I119 A27:XFD58 BS61:CK67 W112:BR112 BS68 CE68:CK68 J113:BR1048576 CL59:XFD1048576 BS69:CK1048576 CE60:CK60 CF59:CK59 A59:BR67 J68:BR111 A68:I77 A88:I117 A79:G79 I79 CV8:XFD26 CH1:CH26 A1:BT26 CV1:CW1 CV2:CV7 DG1:XFD7">
    <cfRule type="beginsWith" dxfId="129" priority="709" operator="beginsWith" text="REJECT">
      <formula>LEFT(A1,LEN("REJECT"))="REJECT"</formula>
    </cfRule>
    <cfRule type="beginsWith" dxfId="128" priority="710" operator="beginsWith" text="CHECK">
      <formula>LEFT(A1,LEN("CHECK"))="CHECK"</formula>
    </cfRule>
    <cfRule type="beginsWith" dxfId="127" priority="711" operator="beginsWith" text="EQ">
      <formula>LEFT(A1,LEN("EQ"))="EQ"</formula>
    </cfRule>
    <cfRule type="beginsWith" dxfId="126" priority="712" operator="beginsWith" text="BLANK">
      <formula>LEFT(A1,LEN("BLANK"))="BLANK"</formula>
    </cfRule>
  </conditionalFormatting>
  <conditionalFormatting sqref="BT68">
    <cfRule type="beginsWith" dxfId="125" priority="69" operator="beginsWith" text="REJECT">
      <formula>LEFT(BT68,LEN("REJECT"))="REJECT"</formula>
    </cfRule>
    <cfRule type="beginsWith" dxfId="124" priority="70" operator="beginsWith" text="CHECK">
      <formula>LEFT(BT68,LEN("CHECK"))="CHECK"</formula>
    </cfRule>
    <cfRule type="beginsWith" dxfId="123" priority="71" operator="beginsWith" text="EQ">
      <formula>LEFT(BT68,LEN("EQ"))="EQ"</formula>
    </cfRule>
    <cfRule type="beginsWith" dxfId="122" priority="72" operator="beginsWith" text="BLANK">
      <formula>LEFT(BT68,LEN("BLANK"))="BLANK"</formula>
    </cfRule>
  </conditionalFormatting>
  <conditionalFormatting sqref="CD68">
    <cfRule type="beginsWith" dxfId="121" priority="65" operator="beginsWith" text="REJECT">
      <formula>LEFT(CD68,LEN("REJECT"))="REJECT"</formula>
    </cfRule>
    <cfRule type="beginsWith" dxfId="120" priority="66" operator="beginsWith" text="CHECK">
      <formula>LEFT(CD68,LEN("CHECK"))="CHECK"</formula>
    </cfRule>
    <cfRule type="beginsWith" dxfId="119" priority="67" operator="beginsWith" text="EQ">
      <formula>LEFT(CD68,LEN("EQ"))="EQ"</formula>
    </cfRule>
    <cfRule type="beginsWith" dxfId="118" priority="68" operator="beginsWith" text="BLANK">
      <formula>LEFT(CD68,LEN("BLANK"))="BLANK"</formula>
    </cfRule>
  </conditionalFormatting>
  <conditionalFormatting sqref="BT60:CB60 CD60 BZ59:CD59 BS59:BX59">
    <cfRule type="beginsWith" dxfId="117" priority="57" operator="beginsWith" text="REJECT">
      <formula>LEFT(BS59,LEN("REJECT"))="REJECT"</formula>
    </cfRule>
    <cfRule type="beginsWith" dxfId="116" priority="58" operator="beginsWith" text="CHECK">
      <formula>LEFT(BS59,LEN("CHECK"))="CHECK"</formula>
    </cfRule>
    <cfRule type="beginsWith" dxfId="115" priority="59" operator="beginsWith" text="EQ">
      <formula>LEFT(BS59,LEN("EQ"))="EQ"</formula>
    </cfRule>
    <cfRule type="beginsWith" dxfId="114" priority="60" operator="beginsWith" text="BLANK">
      <formula>LEFT(BS59,LEN("BLANK"))="BLANK"</formula>
    </cfRule>
  </conditionalFormatting>
  <conditionalFormatting sqref="CE59">
    <cfRule type="beginsWith" dxfId="113" priority="53" operator="beginsWith" text="REJECT">
      <formula>LEFT(CE59,LEN("REJECT"))="REJECT"</formula>
    </cfRule>
    <cfRule type="beginsWith" dxfId="112" priority="54" operator="beginsWith" text="CHECK">
      <formula>LEFT(CE59,LEN("CHECK"))="CHECK"</formula>
    </cfRule>
    <cfRule type="beginsWith" dxfId="111" priority="55" operator="beginsWith" text="EQ">
      <formula>LEFT(CE59,LEN("EQ"))="EQ"</formula>
    </cfRule>
    <cfRule type="beginsWith" dxfId="110" priority="56" operator="beginsWith" text="BLANK">
      <formula>LEFT(CE59,LEN("BLANK"))="BLANK"</formula>
    </cfRule>
  </conditionalFormatting>
  <conditionalFormatting sqref="I78">
    <cfRule type="beginsWith" dxfId="109" priority="41" operator="beginsWith" text="REJECT">
      <formula>LEFT(I78,LEN("REJECT"))="REJECT"</formula>
    </cfRule>
    <cfRule type="beginsWith" dxfId="108" priority="42" operator="beginsWith" text="CHECK">
      <formula>LEFT(I78,LEN("CHECK"))="CHECK"</formula>
    </cfRule>
    <cfRule type="beginsWith" dxfId="107" priority="43" operator="beginsWith" text="EQ">
      <formula>LEFT(I78,LEN("EQ"))="EQ"</formula>
    </cfRule>
    <cfRule type="beginsWith" dxfId="106" priority="44" operator="beginsWith" text="BLANK">
      <formula>LEFT(I78,LEN("BLANK"))="BLANK"</formula>
    </cfRule>
  </conditionalFormatting>
  <conditionalFormatting sqref="A80:I81 A78:F78 B82:I82 A87:G87 I86:I87 A83:I85 B86:G86">
    <cfRule type="beginsWith" dxfId="105" priority="45" operator="beginsWith" text="REJECT">
      <formula>LEFT(A78,LEN("REJECT"))="REJECT"</formula>
    </cfRule>
    <cfRule type="beginsWith" dxfId="104" priority="46" operator="beginsWith" text="CHECK">
      <formula>LEFT(A78,LEN("CHECK"))="CHECK"</formula>
    </cfRule>
    <cfRule type="beginsWith" dxfId="103" priority="47" operator="beginsWith" text="EQ">
      <formula>LEFT(A78,LEN("EQ"))="EQ"</formula>
    </cfRule>
    <cfRule type="beginsWith" dxfId="102" priority="48" operator="beginsWith" text="BLANK">
      <formula>LEFT(A78,LEN("BLANK"))="BLANK"</formula>
    </cfRule>
  </conditionalFormatting>
  <conditionalFormatting sqref="G78:H78">
    <cfRule type="beginsWith" dxfId="101" priority="37" operator="beginsWith" text="REJECT">
      <formula>LEFT(G78,LEN("REJECT"))="REJECT"</formula>
    </cfRule>
    <cfRule type="beginsWith" dxfId="100" priority="38" operator="beginsWith" text="CHECK">
      <formula>LEFT(G78,LEN("CHECK"))="CHECK"</formula>
    </cfRule>
    <cfRule type="beginsWith" dxfId="99" priority="39" operator="beginsWith" text="EQ">
      <formula>LEFT(G78,LEN("EQ"))="EQ"</formula>
    </cfRule>
    <cfRule type="beginsWith" dxfId="98" priority="40" operator="beginsWith" text="BLANK">
      <formula>LEFT(G78,LEN("BLANK"))="BLANK"</formula>
    </cfRule>
  </conditionalFormatting>
  <conditionalFormatting sqref="H79">
    <cfRule type="beginsWith" dxfId="97" priority="33" operator="beginsWith" text="REJECT">
      <formula>LEFT(H79,LEN("REJECT"))="REJECT"</formula>
    </cfRule>
    <cfRule type="beginsWith" dxfId="96" priority="34" operator="beginsWith" text="CHECK">
      <formula>LEFT(H79,LEN("CHECK"))="CHECK"</formula>
    </cfRule>
    <cfRule type="beginsWith" dxfId="95" priority="35" operator="beginsWith" text="EQ">
      <formula>LEFT(H79,LEN("EQ"))="EQ"</formula>
    </cfRule>
    <cfRule type="beginsWith" dxfId="94" priority="36" operator="beginsWith" text="BLANK">
      <formula>LEFT(H79,LEN("BLANK"))="BLANK"</formula>
    </cfRule>
  </conditionalFormatting>
  <conditionalFormatting sqref="A82">
    <cfRule type="beginsWith" dxfId="93" priority="29" operator="beginsWith" text="REJECT">
      <formula>LEFT(A82,LEN("REJECT"))="REJECT"</formula>
    </cfRule>
    <cfRule type="beginsWith" dxfId="92" priority="30" operator="beginsWith" text="CHECK">
      <formula>LEFT(A82,LEN("CHECK"))="CHECK"</formula>
    </cfRule>
    <cfRule type="beginsWith" dxfId="91" priority="31" operator="beginsWith" text="EQ">
      <formula>LEFT(A82,LEN("EQ"))="EQ"</formula>
    </cfRule>
    <cfRule type="beginsWith" dxfId="90" priority="32" operator="beginsWith" text="BLANK">
      <formula>LEFT(A82,LEN("BLANK"))="BLANK"</formula>
    </cfRule>
  </conditionalFormatting>
  <conditionalFormatting sqref="H86:H87">
    <cfRule type="beginsWith" dxfId="89" priority="21" operator="beginsWith" text="REJECT">
      <formula>LEFT(H86,LEN("REJECT"))="REJECT"</formula>
    </cfRule>
    <cfRule type="beginsWith" dxfId="88" priority="22" operator="beginsWith" text="CHECK">
      <formula>LEFT(H86,LEN("CHECK"))="CHECK"</formula>
    </cfRule>
    <cfRule type="beginsWith" dxfId="87" priority="23" operator="beginsWith" text="EQ">
      <formula>LEFT(H86,LEN("EQ"))="EQ"</formula>
    </cfRule>
    <cfRule type="beginsWith" dxfId="86" priority="24" operator="beginsWith" text="BLANK">
      <formula>LEFT(H86,LEN("BLANK"))="BLANK"</formula>
    </cfRule>
  </conditionalFormatting>
  <conditionalFormatting sqref="A86">
    <cfRule type="beginsWith" dxfId="85" priority="17" operator="beginsWith" text="REJECT">
      <formula>LEFT(A86,LEN("REJECT"))="REJECT"</formula>
    </cfRule>
    <cfRule type="beginsWith" dxfId="84" priority="18" operator="beginsWith" text="CHECK">
      <formula>LEFT(A86,LEN("CHECK"))="CHECK"</formula>
    </cfRule>
    <cfRule type="beginsWith" dxfId="83" priority="19" operator="beginsWith" text="EQ">
      <formula>LEFT(A86,LEN("EQ"))="EQ"</formula>
    </cfRule>
    <cfRule type="beginsWith" dxfId="82" priority="20" operator="beginsWith" text="BLANK">
      <formula>LEFT(A86,LEN("BLANK"))="BLANK"</formula>
    </cfRule>
  </conditionalFormatting>
  <conditionalFormatting sqref="CI9:CU10">
    <cfRule type="beginsWith" dxfId="81" priority="13" operator="beginsWith" text="REJECT">
      <formula>LEFT(CI9,LEN("REJECT"))="REJECT"</formula>
    </cfRule>
    <cfRule type="beginsWith" dxfId="80" priority="14" operator="beginsWith" text="CHECK">
      <formula>LEFT(CI9,LEN("CHECK"))="CHECK"</formula>
    </cfRule>
    <cfRule type="beginsWith" dxfId="79" priority="15" operator="beginsWith" text="EQ">
      <formula>LEFT(CI9,LEN("EQ"))="EQ"</formula>
    </cfRule>
    <cfRule type="beginsWith" dxfId="78" priority="16" operator="beginsWith" text="BLANK">
      <formula>LEFT(CI9,LEN("BLANK"))="BLANK"</formula>
    </cfRule>
  </conditionalFormatting>
  <conditionalFormatting sqref="CI1:CU26">
    <cfRule type="beginsWith" dxfId="77" priority="9" operator="beginsWith" text="REJECT">
      <formula>LEFT(CI1,LEN("REJECT"))="REJECT"</formula>
    </cfRule>
    <cfRule type="beginsWith" dxfId="76" priority="10" operator="beginsWith" text="CHECK">
      <formula>LEFT(CI1,LEN("CHECK"))="CHECK"</formula>
    </cfRule>
    <cfRule type="beginsWith" dxfId="75" priority="11" operator="beginsWith" text="EQ">
      <formula>LEFT(CI1,LEN("EQ"))="EQ"</formula>
    </cfRule>
    <cfRule type="beginsWith" dxfId="74" priority="12" operator="beginsWith" text="BLANK">
      <formula>LEFT(CI1,LEN("BLANK"))="BLANK"</formula>
    </cfRule>
  </conditionalFormatting>
  <conditionalFormatting sqref="BU1:CG26">
    <cfRule type="beginsWith" dxfId="73" priority="1" operator="beginsWith" text="REJECT">
      <formula>LEFT(BU1,LEN("REJECT"))="REJECT"</formula>
    </cfRule>
    <cfRule type="beginsWith" dxfId="72" priority="2" operator="beginsWith" text="CHECK">
      <formula>LEFT(BU1,LEN("CHECK"))="CHECK"</formula>
    </cfRule>
    <cfRule type="beginsWith" dxfId="71" priority="3" operator="beginsWith" text="EQ">
      <formula>LEFT(BU1,LEN("EQ"))="EQ"</formula>
    </cfRule>
    <cfRule type="beginsWith" dxfId="70" priority="4" operator="beginsWith" text="BLANK">
      <formula>LEFT(BU1,LEN("BLANK"))="BLANK"</formula>
    </cfRule>
  </conditionalFormatting>
  <conditionalFormatting sqref="BU9:CG10">
    <cfRule type="beginsWith" dxfId="69" priority="5" operator="beginsWith" text="REJECT">
      <formula>LEFT(BU9,LEN("REJECT"))="REJECT"</formula>
    </cfRule>
    <cfRule type="beginsWith" dxfId="68" priority="6" operator="beginsWith" text="CHECK">
      <formula>LEFT(BU9,LEN("CHECK"))="CHECK"</formula>
    </cfRule>
    <cfRule type="beginsWith" dxfId="67" priority="7" operator="beginsWith" text="EQ">
      <formula>LEFT(BU9,LEN("EQ"))="EQ"</formula>
    </cfRule>
    <cfRule type="beginsWith" dxfId="66" priority="8" operator="beginsWith" text="BLANK">
      <formula>LEFT(BU9,LEN("BLANK"))="BLANK"</formula>
    </cfRule>
  </conditionalFormatting>
  <dataValidations count="23">
    <dataValidation type="list" allowBlank="1" showInputMessage="1" showErrorMessage="1" sqref="CH3 M10:AC10" xr:uid="{EE3AADC3-683B-4490-98CB-05A3E261D1E2}">
      <formula1>"Cells with drop down lists are highlighted with a thick border. An initial setting is shown., Drop down options can be identified by the heavy border. Delete will clear the entry."</formula1>
    </dataValidation>
    <dataValidation type="list" allowBlank="1" showInputMessage="1" showErrorMessage="1" sqref="G60" xr:uid="{2EA0F4DA-6F54-4319-911B-756E97D0FFB3}">
      <formula1>"Steel, Aluminum"</formula1>
    </dataValidation>
    <dataValidation type="list" allowBlank="1" showInputMessage="1" showErrorMessage="1" sqref="G64" xr:uid="{F1B65FDB-53EC-441A-B9DD-26A60EC4AF31}">
      <formula1>"Welded, Bolted"</formula1>
    </dataValidation>
    <dataValidation type="list" allowBlank="1" showInputMessage="1" showErrorMessage="1" sqref="G71 AA90 Q64 G111 AK79 AA123 AU84 AU102 AK89 BE85 AA112 BE95 CR134:CS134 CR154:CS154 CS94 BY69 CI69 CS83 BO91" xr:uid="{0D05C727-6B6F-4BCC-8041-59CB7FBA84F7}">
      <formula1>"Round, Square"</formula1>
    </dataValidation>
    <dataValidation type="list" allowBlank="1" showInputMessage="1" showErrorMessage="1" sqref="G101" xr:uid="{6EE522C5-474D-4E86-9C86-6A84E1688A8B}">
      <formula1>"Standard, Custom"</formula1>
    </dataValidation>
    <dataValidation type="list" allowBlank="1" showInputMessage="1" showErrorMessage="1" sqref="AA103" xr:uid="{CF4426C8-94F5-4114-BB6F-6D15A41A611A}">
      <formula1>"Above, Below"</formula1>
    </dataValidation>
    <dataValidation type="list" allowBlank="1" showInputMessage="1" showErrorMessage="1" sqref="AA102" xr:uid="{13A9A602-DCCC-44A6-8B98-751A95C80524}">
      <formula1>"A, B, C"</formula1>
    </dataValidation>
    <dataValidation type="list" allowBlank="1" showInputMessage="1" showErrorMessage="1" sqref="AU111 AU116 BE77 BO78" xr:uid="{8D31A27F-876A-4B03-A09B-4FC7757176A6}">
      <formula1>"Rearward, Forward"</formula1>
    </dataValidation>
    <dataValidation type="list" allowBlank="1" showInputMessage="1" showErrorMessage="1" sqref="AK77:AL77" xr:uid="{5E74E888-E4EB-4120-B010-7D393438875B}">
      <formula1>"Straight, Bent / Multi Tube"</formula1>
    </dataValidation>
    <dataValidation type="list" showInputMessage="1" showErrorMessage="1" sqref="E8:F8" xr:uid="{E2D7A804-846A-4747-A54C-01EACD9CEDA4}">
      <formula1>"Select, All Steel Tube, Other Equivalence"</formula1>
    </dataValidation>
    <dataValidation type="list" showInputMessage="1" showErrorMessage="1" sqref="G8:J8" xr:uid="{2ADC9C6B-E00D-412D-B018-274E63790F59}">
      <formula1>"Select, IC - Internal Combustion, EV - Steel Accumulator Container, EV - Aluminum Accumulator Container, EV - Other Equivalence"</formula1>
    </dataValidation>
    <dataValidation type="list" allowBlank="1" showInputMessage="1" showErrorMessage="1" sqref="D25" xr:uid="{187A201D-DD73-4DB7-90DC-651E9627400E}">
      <formula1>"mm, Inch"</formula1>
    </dataValidation>
    <dataValidation type="list" allowBlank="1" showInputMessage="1" showErrorMessage="1" sqref="G102:H102" xr:uid="{99F5CEDD-ADF5-47BF-A4C8-AFDCBB414C7C}">
      <formula1>"304mm (12in), 355mm (14in), &gt;= 100mm (4in)"</formula1>
    </dataValidation>
    <dataValidation type="list" allowBlank="1" showInputMessage="1" showErrorMessage="1" sqref="G109:H109" xr:uid="{6E564DFC-0929-4532-A024-948378431BB6}">
      <formula1>"Tube, IA/AI Test"</formula1>
    </dataValidation>
    <dataValidation type="list" allowBlank="1" showInputMessage="1" showErrorMessage="1" sqref="AK71:AL71" xr:uid="{D0A94F0F-4D6C-4000-B76F-72B0EA4EB5FF}">
      <formula1>"2020 SIS Height, 2019 SIS Height"</formula1>
    </dataValidation>
    <dataValidation type="list" allowBlank="1" showInputMessage="1" showErrorMessage="1" sqref="AU82:AV82" xr:uid="{47F7541C-35D1-4856-BFC4-63E5DE818E12}">
      <formula1>"Straight, Bent Round Tube"</formula1>
    </dataValidation>
    <dataValidation type="list" allowBlank="1" showInputMessage="1" showErrorMessage="1" sqref="BN89:BP89" xr:uid="{0CB9BEA7-D5B3-4A2A-B30D-3C586C4B1CA0}">
      <formula1>"Select drop down:, No rear wing., Wing not mounted to MHB or MH., Wing mounted to MHB nodes, Mounted on MHB with Brace."</formula1>
    </dataValidation>
    <dataValidation type="list" allowBlank="1" showInputMessage="1" showErrorMessage="1" sqref="CT81" xr:uid="{66D03F53-58A3-4A42-A886-1A804742448C}">
      <formula1>"Yes, No"</formula1>
    </dataValidation>
    <dataValidation type="list" allowBlank="1" showInputMessage="1" showErrorMessage="1" sqref="CR92:CS92" xr:uid="{0046BAF7-2047-489D-A3A1-CB33DA6039C9}">
      <formula1>"Tube, Differential Mounts"</formula1>
    </dataValidation>
    <dataValidation type="list" allowBlank="1" showInputMessage="1" showErrorMessage="1" sqref="BY95:BZ95 CI95:CJ95" xr:uid="{0371640A-4DC6-474B-94A1-E0AFC50AFAE2}">
      <formula1>$AE$9:$AE$13</formula1>
    </dataValidation>
    <dataValidation type="list" allowBlank="1" showInputMessage="1" showErrorMessage="1" sqref="CR151:CS151 CR131:CS131" xr:uid="{640D0152-1C47-4F2C-94F8-87935071424D}">
      <formula1>"Tube, Composite"</formula1>
    </dataValidation>
    <dataValidation type="list" allowBlank="1" showInputMessage="1" showErrorMessage="1" sqref="CS133:CT133 CS153:CT153" xr:uid="{438DBAB3-0C9F-494D-AF58-DFE0D54467A4}">
      <formula1>"Steel, Welded Aluminum, Titanium, Magnesium"</formula1>
    </dataValidation>
    <dataValidation type="list" allowBlank="1" showInputMessage="1" showErrorMessage="1" sqref="G78:H78" xr:uid="{C6D9D5FE-D048-4F72-9669-F082C10E510F}">
      <formula1>"Centerline Inserts, Offset Tab"</formula1>
    </dataValidation>
  </dataValidations>
  <pageMargins left="0.7" right="0.7" top="0.75" bottom="0.75" header="0.3" footer="0.3"/>
  <pageSetup paperSize="24" scale="1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D512-121B-4C1E-8769-7770E4B9098C}">
  <sheetPr>
    <pageSetUpPr fitToPage="1"/>
  </sheetPr>
  <dimension ref="A1:EL201"/>
  <sheetViews>
    <sheetView zoomScale="50" zoomScaleNormal="50" workbookViewId="0">
      <selection activeCell="E5" sqref="E5:F5"/>
    </sheetView>
  </sheetViews>
  <sheetFormatPr baseColWidth="10" defaultColWidth="9.109375" defaultRowHeight="14.4" x14ac:dyDescent="0.3"/>
  <cols>
    <col min="1" max="20" width="9.109375" style="19"/>
    <col min="21" max="30" width="9.109375" style="19" customWidth="1"/>
    <col min="31" max="31" width="9.109375" style="47" customWidth="1"/>
    <col min="32" max="32" width="9.109375" style="46" customWidth="1"/>
    <col min="33" max="33" width="9.33203125" style="19" bestFit="1" customWidth="1"/>
    <col min="34" max="35" width="9.109375" style="19"/>
    <col min="36" max="38" width="9.109375" style="19" customWidth="1"/>
    <col min="39" max="76" width="9.109375" style="19"/>
    <col min="77" max="77" width="9.109375" style="19" customWidth="1"/>
    <col min="78" max="16384" width="9.109375" style="19"/>
  </cols>
  <sheetData>
    <row r="1" spans="1:142" ht="17.25" customHeight="1" x14ac:dyDescent="0.3">
      <c r="A1" s="283" t="s">
        <v>601</v>
      </c>
      <c r="B1" s="283"/>
      <c r="C1" s="283"/>
      <c r="D1" s="138"/>
      <c r="E1" s="296" t="str">
        <f>IF($P$25="mm","Note: Forces are given in Pa, not Mpa or Gpa.","Note: Forces are given in psi, not ksi.")</f>
        <v>Note: Forces are given in psi, not ksi.</v>
      </c>
      <c r="F1" s="296"/>
      <c r="G1" s="296"/>
      <c r="H1" s="296"/>
      <c r="I1" s="296"/>
      <c r="J1" s="296"/>
      <c r="K1" s="296"/>
      <c r="L1" s="296"/>
      <c r="M1" s="47"/>
      <c r="N1" s="93"/>
      <c r="O1" s="93"/>
      <c r="P1" s="93"/>
      <c r="Q1" s="66"/>
      <c r="S1" s="66"/>
      <c r="T1" s="66"/>
      <c r="U1" s="66"/>
      <c r="V1" s="66"/>
      <c r="W1" s="66"/>
      <c r="X1" s="66"/>
      <c r="Y1" s="66"/>
      <c r="Z1" s="66"/>
      <c r="AA1" s="66"/>
      <c r="AC1" s="326" t="s">
        <v>602</v>
      </c>
      <c r="AD1" s="326"/>
      <c r="AE1" s="326"/>
      <c r="AF1" s="326"/>
      <c r="AG1" s="326"/>
      <c r="AH1" s="326"/>
      <c r="AI1" s="326"/>
      <c r="AJ1" s="326"/>
      <c r="AK1" s="326"/>
      <c r="AL1" s="326"/>
      <c r="AM1" s="66"/>
      <c r="AN1" s="66"/>
      <c r="AO1" s="138"/>
      <c r="AP1" s="19" t="s">
        <v>603</v>
      </c>
      <c r="AR1" s="41"/>
      <c r="AS1" s="41"/>
      <c r="AT1" s="41"/>
      <c r="AU1" s="41"/>
      <c r="AX1" s="23"/>
      <c r="AY1" s="27"/>
      <c r="AZ1" s="27"/>
      <c r="BA1" s="27"/>
      <c r="BB1" s="27"/>
      <c r="BC1" s="27"/>
      <c r="BD1" s="27"/>
      <c r="BE1" s="27"/>
      <c r="BF1" s="27"/>
      <c r="BG1" s="27"/>
      <c r="BH1" s="27"/>
      <c r="BI1" s="27"/>
      <c r="BJ1" s="27"/>
      <c r="BK1" s="27"/>
      <c r="BL1" s="23"/>
      <c r="BM1" s="27"/>
      <c r="BN1" s="27"/>
      <c r="BO1" s="27"/>
      <c r="BP1" s="27"/>
      <c r="BQ1" s="27"/>
      <c r="BR1" s="27"/>
      <c r="BS1" s="27"/>
      <c r="BT1" s="27"/>
      <c r="BU1" s="27"/>
      <c r="BV1" s="27"/>
      <c r="BW1" s="27"/>
      <c r="BX1" s="27"/>
      <c r="BY1" s="27"/>
      <c r="BZ1" s="23"/>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P1" s="24"/>
      <c r="DQ1" s="25"/>
      <c r="DR1" s="25"/>
      <c r="DS1" s="25"/>
      <c r="DT1" s="25"/>
      <c r="DU1" s="25"/>
      <c r="DV1" s="25"/>
      <c r="DW1" s="25"/>
      <c r="DX1" s="25"/>
      <c r="DY1" s="25"/>
      <c r="DZ1" s="25"/>
      <c r="EA1" s="25"/>
      <c r="EB1" s="25"/>
      <c r="EC1" s="25"/>
      <c r="ED1" s="25"/>
      <c r="EE1" s="24"/>
      <c r="EF1" s="24"/>
      <c r="EG1" s="24"/>
      <c r="EH1" s="24"/>
      <c r="EI1" s="24"/>
      <c r="EJ1" s="24"/>
      <c r="EK1" s="24"/>
      <c r="EL1" s="24"/>
    </row>
    <row r="2" spans="1:142" ht="15.75" customHeight="1" x14ac:dyDescent="0.3">
      <c r="A2" s="283"/>
      <c r="B2" s="283"/>
      <c r="C2" s="283"/>
      <c r="E2" s="296" t="s">
        <v>604</v>
      </c>
      <c r="F2" s="296"/>
      <c r="G2" s="296" t="str">
        <f>IF($P$25="mm","E (Pa)","E (psi)")</f>
        <v>E (psi)</v>
      </c>
      <c r="H2" s="296"/>
      <c r="I2" s="296" t="str">
        <f>IF($P$25="mm","S_Ultimate (Pa)","S_Ultimate (psi)")</f>
        <v>S_Ultimate (psi)</v>
      </c>
      <c r="J2" s="296"/>
      <c r="K2" s="296" t="str">
        <f>IF($P$25="mm","Shear (Pa)","Shear (psi)")</f>
        <v>Shear (psi)</v>
      </c>
      <c r="L2" s="296"/>
      <c r="P2" s="93"/>
      <c r="Q2" s="66"/>
      <c r="R2" s="46" t="s">
        <v>605</v>
      </c>
      <c r="S2" s="66"/>
      <c r="T2" s="66"/>
      <c r="U2" s="66"/>
      <c r="V2" s="66"/>
      <c r="W2" s="66"/>
      <c r="X2" s="66"/>
      <c r="Y2" s="66"/>
      <c r="Z2" s="66"/>
      <c r="AA2" s="66"/>
      <c r="AC2" s="326"/>
      <c r="AD2" s="326"/>
      <c r="AE2" s="326"/>
      <c r="AF2" s="326"/>
      <c r="AG2" s="326"/>
      <c r="AH2" s="326"/>
      <c r="AI2" s="326"/>
      <c r="AJ2" s="326"/>
      <c r="AK2" s="326"/>
      <c r="AL2" s="326"/>
      <c r="AM2" s="66"/>
      <c r="AN2" s="66"/>
      <c r="AQ2" s="41"/>
      <c r="AR2" s="324" t="str">
        <f>HYPERLINK("http://mkweb.bcgsc.ca/colorblind/","http://mkweb.bcgsc.ca/colorblind/")</f>
        <v>http://mkweb.bcgsc.ca/colorblind/</v>
      </c>
      <c r="AS2" s="324"/>
      <c r="AT2" s="324"/>
      <c r="AU2" s="324"/>
      <c r="AX2" s="23"/>
      <c r="AY2" s="29"/>
      <c r="AZ2" s="27"/>
      <c r="BA2" s="27"/>
      <c r="BB2" s="27"/>
      <c r="BC2" s="27"/>
      <c r="BD2" s="27"/>
      <c r="BE2" s="27"/>
      <c r="BF2" s="27"/>
      <c r="BG2" s="27"/>
      <c r="BH2" s="27"/>
      <c r="BI2" s="27"/>
      <c r="BJ2" s="27"/>
      <c r="BK2" s="27"/>
      <c r="BL2" s="23"/>
      <c r="BM2" s="27"/>
      <c r="BN2" s="27"/>
      <c r="BO2" s="27"/>
      <c r="BP2" s="27"/>
      <c r="BQ2" s="27"/>
      <c r="BR2" s="27"/>
      <c r="BS2" s="27"/>
      <c r="BT2" s="27"/>
      <c r="BU2" s="27"/>
      <c r="BV2" s="27"/>
      <c r="BW2" s="27"/>
      <c r="BX2" s="27"/>
      <c r="BY2" s="27"/>
      <c r="BZ2" s="23"/>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P2" s="25"/>
      <c r="DQ2" s="25"/>
      <c r="DR2" s="25"/>
      <c r="DS2" s="25"/>
      <c r="DT2" s="25"/>
      <c r="DU2" s="25"/>
      <c r="DV2" s="25"/>
      <c r="DW2" s="25"/>
      <c r="DX2" s="25"/>
      <c r="DY2" s="25"/>
      <c r="DZ2" s="25"/>
      <c r="EA2" s="25"/>
      <c r="EB2" s="25"/>
      <c r="EC2" s="25"/>
      <c r="ED2" s="25"/>
      <c r="EE2" s="24"/>
      <c r="EF2" s="24"/>
      <c r="EG2" s="24"/>
      <c r="EH2" s="24"/>
      <c r="EI2" s="24"/>
      <c r="EJ2" s="24"/>
      <c r="EK2" s="24"/>
      <c r="EL2" s="24"/>
    </row>
    <row r="3" spans="1:142" ht="15.75" customHeight="1" x14ac:dyDescent="0.3">
      <c r="A3" s="325" t="str">
        <f>IF($A$25="mm","Note: Forces are given in Pa, not Mpa or Gpa.","Note: Forces are given in psi, not ksi.")</f>
        <v>Note: Forces are given in Pa, not Mpa or Gpa.</v>
      </c>
      <c r="B3" s="325"/>
      <c r="C3" s="325"/>
      <c r="E3" s="296" t="s">
        <v>606</v>
      </c>
      <c r="F3" s="296"/>
      <c r="G3" s="317">
        <f>IF($A$25="mm",200*10^9,29*10^6)</f>
        <v>200000000000</v>
      </c>
      <c r="H3" s="317"/>
      <c r="I3" s="317">
        <f>IF($A$25="mm",365*10^6,52.9*10^3)</f>
        <v>365000000</v>
      </c>
      <c r="J3" s="317"/>
      <c r="K3" s="317">
        <f>I3*0.577</f>
        <v>210604999.99999997</v>
      </c>
      <c r="L3" s="317"/>
      <c r="P3" s="72"/>
      <c r="Q3" s="66"/>
      <c r="R3" s="19" t="s">
        <v>607</v>
      </c>
      <c r="S3" s="66"/>
      <c r="T3" s="66"/>
      <c r="U3" s="66"/>
      <c r="V3" s="66"/>
      <c r="W3" s="66"/>
      <c r="X3" s="66"/>
      <c r="Y3" s="66"/>
      <c r="Z3" s="66"/>
      <c r="AA3" s="66"/>
      <c r="AC3" s="46" t="s">
        <v>608</v>
      </c>
      <c r="AD3" s="25"/>
      <c r="AE3" s="25"/>
      <c r="AF3" s="25"/>
      <c r="AG3" s="25"/>
      <c r="AH3" s="25"/>
      <c r="AI3" s="25"/>
      <c r="AJ3" s="25"/>
      <c r="AK3" s="65"/>
      <c r="AL3" s="66"/>
      <c r="AM3" s="66"/>
      <c r="AN3" s="66"/>
      <c r="AO3" s="27" t="s">
        <v>609</v>
      </c>
      <c r="AP3" s="27"/>
      <c r="AQ3" s="27"/>
      <c r="AR3" s="27"/>
      <c r="AS3" s="27"/>
      <c r="AT3" s="27"/>
      <c r="AU3" s="139"/>
      <c r="AV3" s="27"/>
      <c r="AW3" s="27"/>
      <c r="AX3" s="23"/>
      <c r="AY3" s="29"/>
      <c r="AZ3" s="27"/>
      <c r="BA3" s="27"/>
      <c r="BB3" s="27"/>
      <c r="BC3" s="27"/>
      <c r="BD3" s="27"/>
      <c r="BE3" s="27"/>
      <c r="BF3" s="27"/>
      <c r="BG3" s="27"/>
      <c r="BH3" s="27"/>
      <c r="BI3" s="27"/>
      <c r="BJ3" s="27"/>
      <c r="BK3" s="27"/>
      <c r="BL3" s="23"/>
      <c r="BM3" s="27"/>
      <c r="BN3" s="27"/>
      <c r="BO3" s="27"/>
      <c r="BP3" s="27"/>
      <c r="BQ3" s="27"/>
      <c r="BR3" s="27"/>
      <c r="BS3" s="27"/>
      <c r="BT3" s="27"/>
      <c r="BU3" s="27"/>
      <c r="BV3" s="27"/>
      <c r="BW3" s="27"/>
      <c r="BX3" s="27"/>
      <c r="BY3" s="27"/>
      <c r="BZ3" s="23"/>
    </row>
    <row r="4" spans="1:142" ht="15.75" customHeight="1" x14ac:dyDescent="0.3">
      <c r="A4" s="325"/>
      <c r="B4" s="325"/>
      <c r="C4" s="325"/>
      <c r="E4" s="296" t="s">
        <v>610</v>
      </c>
      <c r="F4" s="296"/>
      <c r="G4" s="319">
        <f>IF($A$25="mm",200*10^9,29*10^6)</f>
        <v>200000000000</v>
      </c>
      <c r="H4" s="319"/>
      <c r="I4" s="319">
        <f>IF($A$25="mm",300*10^6,43.5*10^3)</f>
        <v>300000000</v>
      </c>
      <c r="J4" s="319"/>
      <c r="K4" s="319">
        <f>0.577*I4</f>
        <v>173100000</v>
      </c>
      <c r="L4" s="319"/>
      <c r="M4" s="55"/>
      <c r="N4" s="55"/>
      <c r="O4" s="55"/>
      <c r="P4" s="55"/>
      <c r="Q4" s="66"/>
      <c r="R4" s="19" t="s">
        <v>611</v>
      </c>
      <c r="S4" s="66"/>
      <c r="T4" s="66"/>
      <c r="U4" s="66"/>
      <c r="V4" s="66"/>
      <c r="W4" s="66"/>
      <c r="X4" s="66"/>
      <c r="Y4" s="66"/>
      <c r="Z4" s="66"/>
      <c r="AA4" s="66"/>
      <c r="AC4" s="19" t="s">
        <v>612</v>
      </c>
      <c r="AD4" s="25"/>
      <c r="AE4" s="25"/>
      <c r="AF4" s="25"/>
      <c r="AG4" s="25"/>
      <c r="AH4" s="25"/>
      <c r="AI4" s="25"/>
      <c r="AJ4" s="25"/>
      <c r="AK4" s="65"/>
      <c r="AL4" s="66"/>
      <c r="AM4" s="66"/>
      <c r="AN4" s="66"/>
      <c r="AO4" s="27"/>
      <c r="AP4" s="27"/>
      <c r="AQ4" s="27"/>
      <c r="AR4" s="27"/>
      <c r="AS4" s="27"/>
      <c r="AT4" s="27"/>
      <c r="AU4" s="27"/>
      <c r="AV4" s="27"/>
      <c r="AW4" s="27"/>
      <c r="AX4" s="23"/>
      <c r="AY4" s="29"/>
      <c r="AZ4" s="27"/>
      <c r="BA4" s="27"/>
      <c r="BB4" s="27"/>
      <c r="BC4" s="27"/>
      <c r="BD4" s="27"/>
      <c r="BE4" s="27"/>
      <c r="BF4" s="27"/>
      <c r="BG4" s="27"/>
      <c r="BH4" s="27"/>
      <c r="BI4" s="27"/>
      <c r="BJ4" s="27"/>
      <c r="BK4" s="27"/>
      <c r="BL4" s="23"/>
      <c r="BM4" s="27"/>
      <c r="BN4" s="27"/>
      <c r="BO4" s="27"/>
      <c r="BP4" s="27"/>
      <c r="BQ4" s="27"/>
      <c r="BR4" s="27"/>
      <c r="BS4" s="27"/>
      <c r="BT4" s="27"/>
      <c r="BU4" s="27"/>
      <c r="BV4" s="27"/>
      <c r="BW4" s="27"/>
      <c r="BX4" s="27"/>
      <c r="BY4" s="27"/>
      <c r="BZ4" s="23"/>
    </row>
    <row r="5" spans="1:142" ht="15.75" customHeight="1" x14ac:dyDescent="0.3">
      <c r="A5" s="297" t="s">
        <v>613</v>
      </c>
      <c r="B5" s="297"/>
      <c r="C5" s="297"/>
      <c r="E5" s="241" t="s">
        <v>614</v>
      </c>
      <c r="F5" s="241"/>
      <c r="G5" s="322"/>
      <c r="H5" s="322"/>
      <c r="I5" s="322"/>
      <c r="J5" s="322"/>
      <c r="K5" s="322"/>
      <c r="L5" s="322"/>
      <c r="M5" s="72" t="s">
        <v>615</v>
      </c>
      <c r="N5" s="72" t="s">
        <v>616</v>
      </c>
      <c r="O5" s="47" t="s">
        <v>617</v>
      </c>
      <c r="P5" s="55"/>
      <c r="Q5" s="66"/>
      <c r="R5" s="19" t="s">
        <v>618</v>
      </c>
      <c r="S5" s="66"/>
      <c r="T5" s="66"/>
      <c r="U5" s="66"/>
      <c r="V5" s="66"/>
      <c r="W5" s="66"/>
      <c r="X5" s="66"/>
      <c r="Y5" s="66"/>
      <c r="Z5" s="66"/>
      <c r="AA5" s="66"/>
      <c r="AC5" s="19" t="s">
        <v>619</v>
      </c>
      <c r="AD5" s="25"/>
      <c r="AE5" s="25"/>
      <c r="AF5" s="25"/>
      <c r="AG5" s="25"/>
      <c r="AH5" s="25"/>
      <c r="AI5" s="25"/>
      <c r="AJ5" s="25"/>
      <c r="AK5" s="65"/>
      <c r="AL5" s="66"/>
      <c r="AM5" s="66"/>
      <c r="AN5" s="66"/>
      <c r="AO5" s="27"/>
      <c r="AP5" s="27"/>
      <c r="AQ5" s="27"/>
      <c r="AR5" s="27"/>
      <c r="AS5" s="27"/>
      <c r="AT5" s="27"/>
      <c r="AU5" s="27"/>
      <c r="AV5" s="27"/>
      <c r="AW5" s="27"/>
      <c r="AX5" s="23"/>
      <c r="AY5" s="29"/>
      <c r="AZ5" s="27"/>
      <c r="BA5" s="27"/>
      <c r="BB5" s="27"/>
      <c r="BC5" s="27"/>
      <c r="BD5" s="27"/>
      <c r="BE5" s="27"/>
      <c r="BF5" s="27"/>
      <c r="BG5" s="27"/>
      <c r="BH5" s="27"/>
      <c r="BI5" s="27"/>
      <c r="BJ5" s="27"/>
      <c r="BK5" s="27"/>
      <c r="BL5" s="23"/>
      <c r="BM5" s="27"/>
      <c r="BN5" s="27"/>
      <c r="BO5" s="27"/>
      <c r="BP5" s="27"/>
      <c r="BQ5" s="27"/>
      <c r="BR5" s="27"/>
      <c r="BS5" s="27"/>
      <c r="BT5" s="27"/>
      <c r="BU5" s="27"/>
      <c r="BV5" s="27"/>
      <c r="BW5" s="27"/>
      <c r="BX5" s="27"/>
      <c r="BY5" s="27"/>
      <c r="BZ5" s="23"/>
    </row>
    <row r="6" spans="1:142" ht="15.75" customHeight="1" x14ac:dyDescent="0.3">
      <c r="A6" s="297"/>
      <c r="B6" s="297"/>
      <c r="C6" s="297"/>
      <c r="E6" s="241" t="s">
        <v>620</v>
      </c>
      <c r="F6" s="241"/>
      <c r="G6" s="323"/>
      <c r="H6" s="323"/>
      <c r="I6" s="323"/>
      <c r="J6" s="323"/>
      <c r="K6" s="323"/>
      <c r="L6" s="323"/>
      <c r="M6" s="25" t="str">
        <f>IF($P$25="mm","mm","in")</f>
        <v>in</v>
      </c>
      <c r="N6" s="25" t="str">
        <f>IF($P$25="mm","mm","in")</f>
        <v>in</v>
      </c>
      <c r="O6" s="25" t="str">
        <f>IF($P$25="mm","mm","in")</f>
        <v>in</v>
      </c>
      <c r="P6" s="55"/>
      <c r="Q6" s="93"/>
      <c r="R6" s="19" t="s">
        <v>621</v>
      </c>
      <c r="S6" s="93"/>
      <c r="T6" s="93"/>
      <c r="U6" s="93"/>
      <c r="V6" s="93"/>
      <c r="W6" s="93"/>
      <c r="X6" s="93"/>
      <c r="Y6" s="93"/>
      <c r="Z6" s="93"/>
      <c r="AA6" s="93"/>
      <c r="AC6" s="19" t="s">
        <v>622</v>
      </c>
      <c r="AD6" s="140"/>
      <c r="AE6" s="140"/>
      <c r="AF6" s="140"/>
      <c r="AG6" s="140"/>
      <c r="AH6" s="140"/>
      <c r="AI6" s="140"/>
      <c r="AJ6" s="25"/>
      <c r="AK6" s="65"/>
      <c r="AL6" s="93"/>
      <c r="AM6" s="93"/>
      <c r="AN6" s="93"/>
      <c r="AO6" s="27"/>
      <c r="AP6" s="27"/>
      <c r="AQ6" s="27"/>
      <c r="AR6" s="27"/>
      <c r="AS6" s="27"/>
      <c r="AT6" s="27"/>
      <c r="AU6" s="27"/>
      <c r="AV6" s="27"/>
      <c r="AW6" s="27"/>
      <c r="AX6" s="23"/>
      <c r="AY6" s="29"/>
      <c r="AZ6" s="27"/>
      <c r="BA6" s="27"/>
      <c r="BB6" s="27"/>
      <c r="BC6" s="27"/>
      <c r="BD6" s="27"/>
      <c r="BE6" s="27"/>
      <c r="BF6" s="27"/>
      <c r="BG6" s="27"/>
      <c r="BH6" s="27"/>
      <c r="BI6" s="27"/>
      <c r="BJ6" s="27"/>
      <c r="BK6" s="27"/>
      <c r="BL6" s="23"/>
      <c r="BM6" s="27"/>
      <c r="BN6" s="27"/>
      <c r="BO6" s="27"/>
      <c r="BP6" s="27"/>
      <c r="BQ6" s="27"/>
      <c r="BR6" s="27"/>
      <c r="BS6" s="27"/>
      <c r="BT6" s="27"/>
      <c r="BU6" s="27"/>
      <c r="BV6" s="27"/>
      <c r="BW6" s="27"/>
      <c r="BX6" s="27"/>
      <c r="BY6" s="27"/>
      <c r="BZ6" s="23"/>
    </row>
    <row r="7" spans="1:142" ht="15.75" customHeight="1" x14ac:dyDescent="0.3">
      <c r="A7" s="297"/>
      <c r="B7" s="297"/>
      <c r="C7" s="297"/>
      <c r="E7" s="241"/>
      <c r="F7" s="241"/>
      <c r="G7" s="316" t="str">
        <f t="shared" ref="G7:G19" ca="1" si="0">IF($E7="","",
IF($A$25="mm",INDIRECT("'"&amp;$E7&amp;"'!$AK$75"),INDIRECT("'"&amp;$E7&amp;"'!$AK$76")))</f>
        <v/>
      </c>
      <c r="H7" s="317"/>
      <c r="I7" s="317" t="str">
        <f t="shared" ref="I7:I19" ca="1" si="1">IF($E7="","",
IF($A$25="mm",INDIRECT("'"&amp;$E7&amp;"'!$AK$78"),INDIRECT("'"&amp;$E7&amp;"'!$AK$79")))</f>
        <v/>
      </c>
      <c r="J7" s="317"/>
      <c r="K7" s="317" t="str">
        <f t="shared" ref="K7:K19" ca="1" si="2">IF($E7="","",
IF($A$25="mm",INDIRECT("'"&amp;$E7&amp;"'!$AY$62"),INDIRECT("'"&amp;$E7&amp;"'!$AY$63")))</f>
        <v/>
      </c>
      <c r="L7" s="317"/>
      <c r="M7" s="55" t="str">
        <f t="shared" ref="M7:M19" ca="1" si="3">IF($E7="","",
ROUND(IF($A$25="mm",1,1/25.4)*INDIRECT("'"&amp;$E7&amp;"'!$AK$61"),3))</f>
        <v/>
      </c>
      <c r="N7" s="55" t="str">
        <f t="shared" ref="N7:N19" ca="1" si="4">IF($E7="","",
ROUND(IF($A$25="mm",1,1/25.4)*INDIRECT("'"&amp;$E7&amp;"'!$AK$62"),3))</f>
        <v/>
      </c>
      <c r="O7" s="55" t="str">
        <f t="shared" ref="O7:O19" ca="1" si="5">IF($E7="","",
ROUND(IF($A$25="mm",1,1/25.4)*INDIRECT("'"&amp;$E7&amp;"'!$AK$63"),3))</f>
        <v/>
      </c>
      <c r="P7" s="55"/>
      <c r="Q7" s="141"/>
      <c r="R7" s="19" t="s">
        <v>623</v>
      </c>
      <c r="S7" s="141"/>
      <c r="T7" s="141"/>
      <c r="U7" s="141"/>
      <c r="V7" s="141"/>
      <c r="W7" s="141"/>
      <c r="X7" s="141"/>
      <c r="Y7" s="141"/>
      <c r="Z7" s="141"/>
      <c r="AA7" s="141"/>
      <c r="AC7" s="19" t="s">
        <v>624</v>
      </c>
      <c r="AD7" s="25"/>
      <c r="AE7" s="25"/>
      <c r="AF7" s="25"/>
      <c r="AG7" s="25"/>
      <c r="AH7" s="25"/>
      <c r="AI7" s="25"/>
      <c r="AJ7" s="25"/>
      <c r="AK7" s="65"/>
      <c r="AL7" s="141"/>
      <c r="AM7" s="141"/>
      <c r="AN7" s="46"/>
      <c r="AO7" s="27"/>
      <c r="AP7" s="27"/>
      <c r="AQ7" s="27"/>
      <c r="AR7" s="27"/>
      <c r="AS7" s="27"/>
      <c r="AT7" s="27"/>
      <c r="AU7" s="27"/>
      <c r="AV7" s="27"/>
      <c r="AW7" s="27"/>
      <c r="AX7" s="23"/>
      <c r="AY7" s="29"/>
      <c r="AZ7" s="27"/>
      <c r="BA7" s="27"/>
      <c r="BB7" s="27"/>
      <c r="BC7" s="27"/>
      <c r="BD7" s="27"/>
      <c r="BE7" s="27"/>
      <c r="BF7" s="27"/>
      <c r="BG7" s="27"/>
      <c r="BH7" s="27"/>
      <c r="BI7" s="27"/>
      <c r="BJ7" s="27"/>
      <c r="BK7" s="27"/>
      <c r="BL7" s="23"/>
      <c r="BM7" s="27"/>
      <c r="BN7" s="27"/>
      <c r="BO7" s="27"/>
      <c r="BP7" s="27"/>
      <c r="BQ7" s="27"/>
      <c r="BR7" s="27"/>
      <c r="BS7" s="27"/>
      <c r="BT7" s="27"/>
      <c r="BU7" s="27"/>
      <c r="BV7" s="27"/>
      <c r="BW7" s="27"/>
      <c r="BX7" s="27"/>
      <c r="BY7" s="27"/>
      <c r="BZ7" s="23"/>
    </row>
    <row r="8" spans="1:142" ht="15.75" customHeight="1" x14ac:dyDescent="0.3">
      <c r="A8" s="47"/>
      <c r="B8" s="47"/>
      <c r="C8" s="47"/>
      <c r="D8" s="138"/>
      <c r="E8" s="241"/>
      <c r="F8" s="241"/>
      <c r="G8" s="318" t="str">
        <f t="shared" ca="1" si="0"/>
        <v/>
      </c>
      <c r="H8" s="319"/>
      <c r="I8" s="319" t="str">
        <f t="shared" ca="1" si="1"/>
        <v/>
      </c>
      <c r="J8" s="319"/>
      <c r="K8" s="319" t="str">
        <f t="shared" ca="1" si="2"/>
        <v/>
      </c>
      <c r="L8" s="319"/>
      <c r="M8" s="142" t="str">
        <f t="shared" ca="1" si="3"/>
        <v/>
      </c>
      <c r="N8" s="142" t="str">
        <f t="shared" ca="1" si="4"/>
        <v/>
      </c>
      <c r="O8" s="142" t="str">
        <f t="shared" ca="1" si="5"/>
        <v/>
      </c>
      <c r="P8" s="55"/>
      <c r="Q8" s="141"/>
      <c r="S8" s="141"/>
      <c r="T8" s="141"/>
      <c r="U8" s="141"/>
      <c r="V8" s="141"/>
      <c r="W8" s="141"/>
      <c r="X8" s="141"/>
      <c r="Y8" s="141"/>
      <c r="Z8" s="141"/>
      <c r="AA8" s="141"/>
      <c r="AC8" s="19" t="s">
        <v>625</v>
      </c>
      <c r="AD8" s="140"/>
      <c r="AE8" s="140"/>
      <c r="AF8" s="140"/>
      <c r="AG8" s="140"/>
      <c r="AH8" s="140"/>
      <c r="AI8" s="140"/>
      <c r="AJ8" s="25"/>
      <c r="AK8" s="65"/>
      <c r="AL8" s="141"/>
      <c r="AM8" s="141"/>
      <c r="AO8" s="26"/>
      <c r="AP8" s="26"/>
      <c r="AQ8" s="27"/>
      <c r="AR8" s="27"/>
      <c r="AS8" s="27"/>
      <c r="AT8" s="27"/>
      <c r="AU8" s="27"/>
      <c r="AV8" s="27"/>
      <c r="AW8" s="27"/>
      <c r="AX8" s="23"/>
      <c r="AY8" s="27"/>
      <c r="AZ8" s="27"/>
      <c r="BA8" s="27"/>
      <c r="BB8" s="27"/>
      <c r="BC8" s="27"/>
      <c r="BD8" s="27"/>
      <c r="BE8" s="27"/>
      <c r="BF8" s="27"/>
      <c r="BG8" s="27"/>
      <c r="BH8" s="27"/>
      <c r="BI8" s="27"/>
      <c r="BJ8" s="27"/>
      <c r="BK8" s="27"/>
      <c r="BL8" s="23"/>
      <c r="BM8" s="27"/>
      <c r="BN8" s="27"/>
      <c r="BO8" s="27"/>
      <c r="BP8" s="27"/>
      <c r="BQ8" s="27"/>
      <c r="BR8" s="27"/>
      <c r="BS8" s="27"/>
      <c r="BT8" s="27"/>
      <c r="BU8" s="27"/>
      <c r="BV8" s="27"/>
      <c r="BW8" s="27"/>
      <c r="BX8" s="27"/>
      <c r="BY8" s="27"/>
      <c r="BZ8" s="23"/>
    </row>
    <row r="9" spans="1:142" ht="15.75" customHeight="1" x14ac:dyDescent="0.3">
      <c r="A9" s="47"/>
      <c r="B9" s="47"/>
      <c r="C9" s="47"/>
      <c r="D9" s="138"/>
      <c r="E9" s="241"/>
      <c r="F9" s="241"/>
      <c r="G9" s="316" t="str">
        <f t="shared" ca="1" si="0"/>
        <v/>
      </c>
      <c r="H9" s="317"/>
      <c r="I9" s="317" t="str">
        <f t="shared" ca="1" si="1"/>
        <v/>
      </c>
      <c r="J9" s="317"/>
      <c r="K9" s="317" t="str">
        <f t="shared" ca="1" si="2"/>
        <v/>
      </c>
      <c r="L9" s="317"/>
      <c r="M9" s="55" t="str">
        <f t="shared" ca="1" si="3"/>
        <v/>
      </c>
      <c r="N9" s="55" t="str">
        <f t="shared" ca="1" si="4"/>
        <v/>
      </c>
      <c r="O9" s="55" t="str">
        <f t="shared" ca="1" si="5"/>
        <v/>
      </c>
      <c r="P9" s="55"/>
      <c r="Q9" s="141"/>
      <c r="R9" s="19" t="s">
        <v>626</v>
      </c>
      <c r="S9" s="141"/>
      <c r="T9" s="141"/>
      <c r="U9" s="141"/>
      <c r="V9" s="141"/>
      <c r="W9" s="141"/>
      <c r="X9" s="141"/>
      <c r="Y9" s="141"/>
      <c r="Z9" s="141"/>
      <c r="AA9" s="141"/>
      <c r="AB9" s="25"/>
      <c r="AC9" s="19" t="s">
        <v>627</v>
      </c>
      <c r="AE9" s="19"/>
      <c r="AF9" s="19"/>
      <c r="AL9" s="141"/>
      <c r="AM9" s="141"/>
      <c r="AO9" s="26"/>
      <c r="AP9" s="26"/>
      <c r="AQ9" s="27"/>
      <c r="AR9" s="27"/>
      <c r="AS9" s="27"/>
      <c r="AT9" s="27"/>
      <c r="AU9" s="27"/>
      <c r="AV9" s="27"/>
      <c r="AW9" s="27"/>
      <c r="AX9" s="23"/>
      <c r="AY9" s="239" t="s">
        <v>628</v>
      </c>
      <c r="AZ9" s="239"/>
      <c r="BA9" s="239"/>
      <c r="BB9" s="239"/>
      <c r="BC9" s="239"/>
      <c r="BD9" s="239"/>
      <c r="BE9" s="239"/>
      <c r="BF9" s="239"/>
      <c r="BG9" s="239"/>
      <c r="BH9" s="239"/>
      <c r="BI9" s="239"/>
      <c r="BJ9" s="239"/>
      <c r="BK9" s="239"/>
      <c r="BL9" s="23"/>
      <c r="BM9" s="239" t="s">
        <v>629</v>
      </c>
      <c r="BN9" s="239"/>
      <c r="BO9" s="239"/>
      <c r="BP9" s="239"/>
      <c r="BQ9" s="239"/>
      <c r="BR9" s="239"/>
      <c r="BS9" s="239"/>
      <c r="BT9" s="239"/>
      <c r="BU9" s="239"/>
      <c r="BV9" s="239"/>
      <c r="BW9" s="239"/>
      <c r="BX9" s="239"/>
      <c r="BY9" s="239"/>
      <c r="BZ9" s="23"/>
    </row>
    <row r="10" spans="1:142" ht="15.75" customHeight="1" x14ac:dyDescent="0.3">
      <c r="A10" s="320">
        <f>'F.3.1-4 Tube Chassis'!$M$1</f>
        <v>2020</v>
      </c>
      <c r="B10" s="320"/>
      <c r="C10" s="320"/>
      <c r="D10" s="138"/>
      <c r="E10" s="241"/>
      <c r="F10" s="241"/>
      <c r="G10" s="318" t="str">
        <f t="shared" ca="1" si="0"/>
        <v/>
      </c>
      <c r="H10" s="319"/>
      <c r="I10" s="319" t="str">
        <f t="shared" ca="1" si="1"/>
        <v/>
      </c>
      <c r="J10" s="319"/>
      <c r="K10" s="319" t="str">
        <f t="shared" ca="1" si="2"/>
        <v/>
      </c>
      <c r="L10" s="319"/>
      <c r="M10" s="142" t="str">
        <f t="shared" ca="1" si="3"/>
        <v/>
      </c>
      <c r="N10" s="142" t="str">
        <f t="shared" ca="1" si="4"/>
        <v/>
      </c>
      <c r="O10" s="142" t="str">
        <f t="shared" ca="1" si="5"/>
        <v/>
      </c>
      <c r="P10" s="55"/>
      <c r="Q10" s="143"/>
      <c r="R10" s="19" t="s">
        <v>630</v>
      </c>
      <c r="S10" s="143"/>
      <c r="T10" s="143"/>
      <c r="U10" s="143"/>
      <c r="V10" s="143"/>
      <c r="W10" s="143"/>
      <c r="X10" s="143"/>
      <c r="Y10" s="143"/>
      <c r="Z10" s="143"/>
      <c r="AA10" s="143"/>
      <c r="AB10" s="25"/>
      <c r="AD10" s="25"/>
      <c r="AE10" s="25"/>
      <c r="AF10" s="25"/>
      <c r="AG10" s="25"/>
      <c r="AH10" s="25"/>
      <c r="AI10" s="25"/>
      <c r="AJ10" s="25"/>
      <c r="AK10" s="65"/>
      <c r="AL10" s="143"/>
      <c r="AM10" s="143"/>
      <c r="AO10" s="26"/>
      <c r="AP10" s="26"/>
      <c r="AQ10" s="27"/>
      <c r="AR10" s="27"/>
      <c r="AS10" s="27"/>
      <c r="AT10" s="27"/>
      <c r="AU10" s="27"/>
      <c r="AV10" s="27"/>
      <c r="AW10" s="27"/>
      <c r="AX10" s="23"/>
      <c r="AY10" s="239"/>
      <c r="AZ10" s="239"/>
      <c r="BA10" s="239"/>
      <c r="BB10" s="239"/>
      <c r="BC10" s="239"/>
      <c r="BD10" s="239"/>
      <c r="BE10" s="239"/>
      <c r="BF10" s="239"/>
      <c r="BG10" s="239"/>
      <c r="BH10" s="239"/>
      <c r="BI10" s="239"/>
      <c r="BJ10" s="239"/>
      <c r="BK10" s="239"/>
      <c r="BL10" s="23"/>
      <c r="BM10" s="239"/>
      <c r="BN10" s="239"/>
      <c r="BO10" s="239"/>
      <c r="BP10" s="239"/>
      <c r="BQ10" s="239"/>
      <c r="BR10" s="239"/>
      <c r="BS10" s="239"/>
      <c r="BT10" s="239"/>
      <c r="BU10" s="239"/>
      <c r="BV10" s="239"/>
      <c r="BW10" s="239"/>
      <c r="BX10" s="239"/>
      <c r="BY10" s="239"/>
      <c r="BZ10" s="23"/>
    </row>
    <row r="11" spans="1:142" ht="15.75" customHeight="1" x14ac:dyDescent="0.3">
      <c r="A11" s="321">
        <f>'F.3.1-4 Tube Chassis'!$C$1</f>
        <v>0</v>
      </c>
      <c r="B11" s="321"/>
      <c r="C11" s="321"/>
      <c r="D11" s="138"/>
      <c r="E11" s="241"/>
      <c r="F11" s="241"/>
      <c r="G11" s="316" t="str">
        <f t="shared" ca="1" si="0"/>
        <v/>
      </c>
      <c r="H11" s="317"/>
      <c r="I11" s="317" t="str">
        <f t="shared" ca="1" si="1"/>
        <v/>
      </c>
      <c r="J11" s="317"/>
      <c r="K11" s="317" t="str">
        <f t="shared" ca="1" si="2"/>
        <v/>
      </c>
      <c r="L11" s="317"/>
      <c r="M11" s="55" t="str">
        <f t="shared" ca="1" si="3"/>
        <v/>
      </c>
      <c r="N11" s="55" t="str">
        <f t="shared" ca="1" si="4"/>
        <v/>
      </c>
      <c r="O11" s="55" t="str">
        <f t="shared" ca="1" si="5"/>
        <v/>
      </c>
      <c r="P11" s="55"/>
      <c r="Q11" s="141"/>
      <c r="R11" s="19" t="s">
        <v>631</v>
      </c>
      <c r="S11" s="141"/>
      <c r="T11" s="141"/>
      <c r="U11" s="141"/>
      <c r="V11" s="141"/>
      <c r="W11" s="141"/>
      <c r="X11" s="141"/>
      <c r="Y11" s="141"/>
      <c r="Z11" s="141"/>
      <c r="AA11" s="141"/>
      <c r="AC11" s="46" t="s">
        <v>632</v>
      </c>
      <c r="AD11" s="25"/>
      <c r="AE11" s="25"/>
      <c r="AF11" s="25"/>
      <c r="AG11" s="25"/>
      <c r="AH11" s="25"/>
      <c r="AI11" s="25"/>
      <c r="AJ11" s="47"/>
      <c r="AK11" s="93"/>
      <c r="AL11" s="141"/>
      <c r="AM11" s="141"/>
      <c r="AO11" s="26"/>
      <c r="AP11" s="26"/>
      <c r="AQ11" s="27"/>
      <c r="AR11" s="27"/>
      <c r="AS11" s="27"/>
      <c r="AT11" s="27"/>
      <c r="AU11" s="27"/>
      <c r="AV11" s="27"/>
      <c r="AW11" s="27"/>
      <c r="AX11" s="23"/>
      <c r="AY11" s="27"/>
      <c r="AZ11" s="27"/>
      <c r="BA11" s="239" t="s">
        <v>69</v>
      </c>
      <c r="BB11" s="239"/>
      <c r="BC11" s="239"/>
      <c r="BD11" s="239"/>
      <c r="BE11" s="239"/>
      <c r="BF11" s="239"/>
      <c r="BG11" s="239"/>
      <c r="BH11" s="239"/>
      <c r="BI11" s="239"/>
      <c r="BJ11" s="27"/>
      <c r="BK11" s="27"/>
      <c r="BL11" s="23"/>
      <c r="BM11" s="27"/>
      <c r="BN11" s="27"/>
      <c r="BO11" s="239" t="s">
        <v>69</v>
      </c>
      <c r="BP11" s="239"/>
      <c r="BQ11" s="239"/>
      <c r="BR11" s="239"/>
      <c r="BS11" s="239"/>
      <c r="BT11" s="239"/>
      <c r="BU11" s="239"/>
      <c r="BV11" s="239"/>
      <c r="BW11" s="239"/>
      <c r="BX11" s="27"/>
      <c r="BY11" s="27"/>
      <c r="BZ11" s="23"/>
    </row>
    <row r="12" spans="1:142" ht="15.75" customHeight="1" x14ac:dyDescent="0.3">
      <c r="A12" s="310">
        <f>'F.3.1-4 Tube Chassis'!$C$2</f>
        <v>0</v>
      </c>
      <c r="B12" s="310"/>
      <c r="C12" s="310"/>
      <c r="D12" s="138"/>
      <c r="E12" s="241"/>
      <c r="F12" s="241"/>
      <c r="G12" s="318" t="str">
        <f t="shared" ca="1" si="0"/>
        <v/>
      </c>
      <c r="H12" s="319"/>
      <c r="I12" s="319" t="str">
        <f t="shared" ca="1" si="1"/>
        <v/>
      </c>
      <c r="J12" s="319"/>
      <c r="K12" s="319" t="str">
        <f t="shared" ca="1" si="2"/>
        <v/>
      </c>
      <c r="L12" s="319"/>
      <c r="M12" s="142" t="str">
        <f t="shared" ca="1" si="3"/>
        <v/>
      </c>
      <c r="N12" s="142" t="str">
        <f t="shared" ca="1" si="4"/>
        <v/>
      </c>
      <c r="O12" s="142" t="str">
        <f t="shared" ca="1" si="5"/>
        <v/>
      </c>
      <c r="P12" s="55"/>
      <c r="Q12" s="143"/>
      <c r="R12" s="19" t="s">
        <v>633</v>
      </c>
      <c r="S12" s="143"/>
      <c r="T12" s="143"/>
      <c r="U12" s="143"/>
      <c r="V12" s="143"/>
      <c r="W12" s="143"/>
      <c r="X12" s="143"/>
      <c r="Y12" s="143"/>
      <c r="Z12" s="143"/>
      <c r="AA12" s="143"/>
      <c r="AC12" s="19" t="s">
        <v>634</v>
      </c>
      <c r="AD12" s="25"/>
      <c r="AE12" s="25"/>
      <c r="AF12" s="25"/>
      <c r="AG12" s="25"/>
      <c r="AH12" s="25"/>
      <c r="AI12" s="25"/>
      <c r="AJ12" s="47"/>
      <c r="AK12" s="93"/>
      <c r="AL12" s="143"/>
      <c r="AM12" s="143"/>
      <c r="AN12" s="143"/>
      <c r="AO12" s="26"/>
      <c r="AP12" s="26"/>
      <c r="AQ12" s="27"/>
      <c r="AR12" s="27"/>
      <c r="AS12" s="27"/>
      <c r="AT12" s="27"/>
      <c r="AU12" s="27"/>
      <c r="AV12" s="27"/>
      <c r="AW12" s="27"/>
      <c r="AX12" s="23"/>
      <c r="AY12" s="27"/>
      <c r="AZ12" s="27"/>
      <c r="BA12" s="239"/>
      <c r="BB12" s="239"/>
      <c r="BC12" s="239"/>
      <c r="BD12" s="239"/>
      <c r="BE12" s="239"/>
      <c r="BF12" s="239"/>
      <c r="BG12" s="239"/>
      <c r="BH12" s="239"/>
      <c r="BI12" s="239"/>
      <c r="BJ12" s="27"/>
      <c r="BK12" s="27"/>
      <c r="BL12" s="23"/>
      <c r="BM12" s="27"/>
      <c r="BN12" s="27"/>
      <c r="BO12" s="239"/>
      <c r="BP12" s="239"/>
      <c r="BQ12" s="239"/>
      <c r="BR12" s="239"/>
      <c r="BS12" s="239"/>
      <c r="BT12" s="239"/>
      <c r="BU12" s="239"/>
      <c r="BV12" s="239"/>
      <c r="BW12" s="239"/>
      <c r="BX12" s="27"/>
      <c r="BY12" s="27"/>
      <c r="BZ12" s="23"/>
    </row>
    <row r="13" spans="1:142" ht="15.75" customHeight="1" x14ac:dyDescent="0.3">
      <c r="A13" s="37" t="str">
        <f>IF('F.3.1-4 Tube Chassis'!$D$4,'F.3.1-4 Tube Chassis'!$D$3,"")</f>
        <v/>
      </c>
      <c r="B13" s="37" t="str">
        <f>IF('F.3.1-4 Tube Chassis'!$F$4,'F.3.1-4 Tube Chassis'!$F$3,"")</f>
        <v/>
      </c>
      <c r="C13" s="37" t="str">
        <f>IF('F.3.1-4 Tube Chassis'!$H$4,'F.3.1-4 Tube Chassis'!$H$3,"")</f>
        <v/>
      </c>
      <c r="D13" s="138"/>
      <c r="E13" s="241"/>
      <c r="F13" s="241"/>
      <c r="G13" s="316" t="str">
        <f t="shared" ca="1" si="0"/>
        <v/>
      </c>
      <c r="H13" s="317"/>
      <c r="I13" s="317" t="str">
        <f t="shared" ca="1" si="1"/>
        <v/>
      </c>
      <c r="J13" s="317"/>
      <c r="K13" s="317" t="str">
        <f t="shared" ca="1" si="2"/>
        <v/>
      </c>
      <c r="L13" s="317"/>
      <c r="M13" s="55" t="str">
        <f t="shared" ca="1" si="3"/>
        <v/>
      </c>
      <c r="N13" s="55" t="str">
        <f t="shared" ca="1" si="4"/>
        <v/>
      </c>
      <c r="O13" s="55" t="str">
        <f t="shared" ca="1" si="5"/>
        <v/>
      </c>
      <c r="P13" s="55"/>
      <c r="Q13" s="93"/>
      <c r="R13" s="19" t="s">
        <v>635</v>
      </c>
      <c r="S13" s="93"/>
      <c r="T13" s="93"/>
      <c r="U13" s="93"/>
      <c r="V13" s="93"/>
      <c r="W13" s="93"/>
      <c r="X13" s="93"/>
      <c r="Y13" s="93"/>
      <c r="Z13" s="93"/>
      <c r="AA13" s="93"/>
      <c r="AC13" s="19" t="s">
        <v>636</v>
      </c>
      <c r="AD13" s="144"/>
      <c r="AE13" s="144"/>
      <c r="AF13" s="144"/>
      <c r="AG13" s="144"/>
      <c r="AH13" s="144"/>
      <c r="AI13" s="144"/>
      <c r="AJ13" s="47"/>
      <c r="AK13" s="93"/>
      <c r="AL13" s="93"/>
      <c r="AM13" s="93"/>
      <c r="AN13" s="93"/>
      <c r="AO13" s="26"/>
      <c r="AP13" s="26"/>
      <c r="AQ13" s="27"/>
      <c r="AR13" s="27"/>
      <c r="AS13" s="27"/>
      <c r="AT13" s="27"/>
      <c r="AU13" s="27"/>
      <c r="AV13" s="27"/>
      <c r="AW13" s="27"/>
      <c r="AX13" s="23"/>
      <c r="AY13" s="27"/>
      <c r="AZ13" s="27"/>
      <c r="BA13" s="239" t="s">
        <v>70</v>
      </c>
      <c r="BB13" s="239"/>
      <c r="BC13" s="239"/>
      <c r="BD13" s="239"/>
      <c r="BE13" s="239"/>
      <c r="BF13" s="239"/>
      <c r="BG13" s="239"/>
      <c r="BH13" s="239"/>
      <c r="BI13" s="239"/>
      <c r="BJ13" s="27"/>
      <c r="BK13" s="27"/>
      <c r="BL13" s="23"/>
      <c r="BM13" s="27"/>
      <c r="BN13" s="27"/>
      <c r="BO13" s="239" t="s">
        <v>70</v>
      </c>
      <c r="BP13" s="239"/>
      <c r="BQ13" s="239"/>
      <c r="BR13" s="239"/>
      <c r="BS13" s="239"/>
      <c r="BT13" s="239"/>
      <c r="BU13" s="239"/>
      <c r="BV13" s="239"/>
      <c r="BW13" s="239"/>
      <c r="BX13" s="27"/>
      <c r="BY13" s="27"/>
      <c r="BZ13" s="23"/>
    </row>
    <row r="14" spans="1:142" ht="15.75" customHeight="1" x14ac:dyDescent="0.3">
      <c r="A14" s="37" t="str">
        <f>IF('F.3.1-4 Tube Chassis'!$D$4,'F.3.1-4 Tube Chassis'!$D$4,"")</f>
        <v/>
      </c>
      <c r="B14" s="37" t="str">
        <f>IF('F.3.1-4 Tube Chassis'!$F$4,'F.3.1-4 Tube Chassis'!$F$4,"")</f>
        <v/>
      </c>
      <c r="C14" s="37" t="str">
        <f>IF('F.3.1-4 Tube Chassis'!$H$4,'F.3.1-4 Tube Chassis'!$H$4,"")</f>
        <v/>
      </c>
      <c r="D14" s="138"/>
      <c r="E14" s="241"/>
      <c r="F14" s="241"/>
      <c r="G14" s="318" t="str">
        <f t="shared" ca="1" si="0"/>
        <v/>
      </c>
      <c r="H14" s="319"/>
      <c r="I14" s="319" t="str">
        <f t="shared" ca="1" si="1"/>
        <v/>
      </c>
      <c r="J14" s="319"/>
      <c r="K14" s="319" t="str">
        <f t="shared" ca="1" si="2"/>
        <v/>
      </c>
      <c r="L14" s="319"/>
      <c r="M14" s="142" t="str">
        <f t="shared" ca="1" si="3"/>
        <v/>
      </c>
      <c r="N14" s="142" t="str">
        <f t="shared" ca="1" si="4"/>
        <v/>
      </c>
      <c r="O14" s="142" t="str">
        <f t="shared" ca="1" si="5"/>
        <v/>
      </c>
      <c r="P14" s="55"/>
      <c r="Q14" s="66"/>
      <c r="R14" s="19" t="s">
        <v>637</v>
      </c>
      <c r="S14" s="66"/>
      <c r="T14" s="66"/>
      <c r="U14" s="66"/>
      <c r="V14" s="66"/>
      <c r="W14" s="66"/>
      <c r="X14" s="66"/>
      <c r="Y14" s="66"/>
      <c r="Z14" s="66"/>
      <c r="AA14" s="66"/>
      <c r="AC14" s="19" t="s">
        <v>638</v>
      </c>
      <c r="AD14" s="145"/>
      <c r="AE14" s="145"/>
      <c r="AF14" s="145"/>
      <c r="AG14" s="145"/>
      <c r="AH14" s="145"/>
      <c r="AI14" s="145"/>
      <c r="AJ14" s="47"/>
      <c r="AK14" s="93"/>
      <c r="AL14" s="66"/>
      <c r="AM14" s="66"/>
      <c r="AN14" s="66"/>
      <c r="AO14" s="26"/>
      <c r="AP14" s="26"/>
      <c r="AQ14" s="27"/>
      <c r="AR14" s="27"/>
      <c r="AS14" s="27"/>
      <c r="AT14" s="27"/>
      <c r="AU14" s="27"/>
      <c r="AV14" s="27"/>
      <c r="AW14" s="27"/>
      <c r="AX14" s="23"/>
      <c r="AY14" s="27"/>
      <c r="AZ14" s="27"/>
      <c r="BA14" s="239"/>
      <c r="BB14" s="239"/>
      <c r="BC14" s="239"/>
      <c r="BD14" s="239"/>
      <c r="BE14" s="239"/>
      <c r="BF14" s="239"/>
      <c r="BG14" s="239"/>
      <c r="BH14" s="239"/>
      <c r="BI14" s="239"/>
      <c r="BJ14" s="27"/>
      <c r="BK14" s="27"/>
      <c r="BL14" s="23"/>
      <c r="BM14" s="27"/>
      <c r="BN14" s="27"/>
      <c r="BO14" s="239"/>
      <c r="BP14" s="239"/>
      <c r="BQ14" s="239"/>
      <c r="BR14" s="239"/>
      <c r="BS14" s="239"/>
      <c r="BT14" s="239"/>
      <c r="BU14" s="239"/>
      <c r="BV14" s="239"/>
      <c r="BW14" s="239"/>
      <c r="BX14" s="27"/>
      <c r="BY14" s="27"/>
      <c r="BZ14" s="23"/>
    </row>
    <row r="15" spans="1:142" ht="15.75" customHeight="1" x14ac:dyDescent="0.3">
      <c r="A15" s="37" t="str">
        <f>IF('F.3.1-4 Tube Chassis'!$E$8="All Steel Tube","Steel","Comp.")</f>
        <v>Comp.</v>
      </c>
      <c r="B15" s="37" t="str">
        <f>IF('F.3.1-4 Tube Chassis'!$G$8="IC - Internal Combustion","IC","EV")</f>
        <v>EV</v>
      </c>
      <c r="C15" s="37" t="str">
        <f>IF('F.3.1-4 Tube Chassis'!$G$8="IC - Internal Combustion","",
IF('F.3.1-4 Tube Chassis'!$G$8="EV - Other Equivalence","Comp Acc","Sheet Acc"))</f>
        <v>Sheet Acc</v>
      </c>
      <c r="D15" s="138"/>
      <c r="E15" s="241"/>
      <c r="F15" s="241"/>
      <c r="G15" s="316" t="str">
        <f t="shared" ca="1" si="0"/>
        <v/>
      </c>
      <c r="H15" s="317"/>
      <c r="I15" s="317" t="str">
        <f t="shared" ca="1" si="1"/>
        <v/>
      </c>
      <c r="J15" s="317"/>
      <c r="K15" s="317" t="str">
        <f t="shared" ca="1" si="2"/>
        <v/>
      </c>
      <c r="L15" s="317"/>
      <c r="M15" s="55" t="str">
        <f t="shared" ca="1" si="3"/>
        <v/>
      </c>
      <c r="N15" s="55" t="str">
        <f t="shared" ca="1" si="4"/>
        <v/>
      </c>
      <c r="O15" s="55" t="str">
        <f t="shared" ca="1" si="5"/>
        <v/>
      </c>
      <c r="P15" s="55"/>
      <c r="Q15" s="66"/>
      <c r="R15" s="19" t="s">
        <v>639</v>
      </c>
      <c r="S15" s="66"/>
      <c r="T15" s="66"/>
      <c r="U15" s="66"/>
      <c r="V15" s="66"/>
      <c r="W15" s="66"/>
      <c r="X15" s="66"/>
      <c r="Y15" s="66"/>
      <c r="Z15" s="66"/>
      <c r="AA15" s="66"/>
      <c r="AB15" s="25"/>
      <c r="AD15" s="144"/>
      <c r="AE15" s="144"/>
      <c r="AF15" s="144"/>
      <c r="AG15" s="144"/>
      <c r="AH15" s="144"/>
      <c r="AI15" s="144"/>
      <c r="AJ15" s="47"/>
      <c r="AK15" s="93"/>
      <c r="AL15" s="66"/>
      <c r="AM15" s="66"/>
      <c r="AN15" s="66"/>
      <c r="AO15" s="26"/>
      <c r="AP15" s="26"/>
      <c r="AQ15" s="27"/>
      <c r="AR15" s="27"/>
      <c r="AS15" s="27"/>
      <c r="AT15" s="27"/>
      <c r="AU15" s="27"/>
      <c r="AV15" s="27"/>
      <c r="AW15" s="27"/>
      <c r="AX15" s="23"/>
      <c r="AY15" s="239" t="s">
        <v>599</v>
      </c>
      <c r="AZ15" s="239"/>
      <c r="BA15" s="239"/>
      <c r="BB15" s="239"/>
      <c r="BC15" s="239"/>
      <c r="BD15" s="239"/>
      <c r="BE15" s="239"/>
      <c r="BF15" s="239"/>
      <c r="BG15" s="239"/>
      <c r="BH15" s="239"/>
      <c r="BI15" s="239"/>
      <c r="BJ15" s="239"/>
      <c r="BK15" s="239"/>
      <c r="BL15" s="23"/>
      <c r="BM15" s="239" t="s">
        <v>599</v>
      </c>
      <c r="BN15" s="239"/>
      <c r="BO15" s="239"/>
      <c r="BP15" s="239"/>
      <c r="BQ15" s="239"/>
      <c r="BR15" s="239"/>
      <c r="BS15" s="239"/>
      <c r="BT15" s="239"/>
      <c r="BU15" s="239"/>
      <c r="BV15" s="239"/>
      <c r="BW15" s="239"/>
      <c r="BX15" s="239"/>
      <c r="BY15" s="239"/>
      <c r="BZ15" s="23"/>
    </row>
    <row r="16" spans="1:142" ht="15.75" customHeight="1" x14ac:dyDescent="0.3">
      <c r="A16" s="146"/>
      <c r="B16" s="146"/>
      <c r="D16" s="138"/>
      <c r="E16" s="241"/>
      <c r="F16" s="241"/>
      <c r="G16" s="318" t="str">
        <f t="shared" ca="1" si="0"/>
        <v/>
      </c>
      <c r="H16" s="319"/>
      <c r="I16" s="319" t="str">
        <f t="shared" ca="1" si="1"/>
        <v/>
      </c>
      <c r="J16" s="319"/>
      <c r="K16" s="319" t="str">
        <f t="shared" ca="1" si="2"/>
        <v/>
      </c>
      <c r="L16" s="319"/>
      <c r="M16" s="142" t="str">
        <f t="shared" ca="1" si="3"/>
        <v/>
      </c>
      <c r="N16" s="142" t="str">
        <f t="shared" ca="1" si="4"/>
        <v/>
      </c>
      <c r="O16" s="142" t="str">
        <f t="shared" ca="1" si="5"/>
        <v/>
      </c>
      <c r="P16" s="55"/>
      <c r="Q16" s="66"/>
      <c r="R16" s="46"/>
      <c r="S16" s="66"/>
      <c r="T16" s="66"/>
      <c r="U16" s="66"/>
      <c r="V16" s="66"/>
      <c r="W16" s="66"/>
      <c r="X16" s="66"/>
      <c r="Y16" s="66"/>
      <c r="Z16" s="66"/>
      <c r="AA16" s="66"/>
      <c r="AB16" s="25"/>
      <c r="AC16" s="46" t="s">
        <v>640</v>
      </c>
      <c r="AD16" s="46"/>
      <c r="AE16" s="46"/>
      <c r="AG16" s="46"/>
      <c r="AH16" s="46"/>
      <c r="AI16" s="46"/>
      <c r="AJ16" s="47"/>
      <c r="AK16" s="65"/>
      <c r="AL16" s="66"/>
      <c r="AM16" s="66"/>
      <c r="AN16" s="66"/>
      <c r="AO16" s="26"/>
      <c r="AP16" s="26"/>
      <c r="AQ16" s="27"/>
      <c r="AR16" s="27"/>
      <c r="AS16" s="27"/>
      <c r="AT16" s="27"/>
      <c r="AU16" s="27"/>
      <c r="AV16" s="27"/>
      <c r="AW16" s="27"/>
      <c r="AX16" s="23"/>
      <c r="AY16" s="239"/>
      <c r="AZ16" s="239"/>
      <c r="BA16" s="239"/>
      <c r="BB16" s="239"/>
      <c r="BC16" s="239"/>
      <c r="BD16" s="239"/>
      <c r="BE16" s="239"/>
      <c r="BF16" s="239"/>
      <c r="BG16" s="239"/>
      <c r="BH16" s="239"/>
      <c r="BI16" s="239"/>
      <c r="BJ16" s="239"/>
      <c r="BK16" s="239"/>
      <c r="BL16" s="23"/>
      <c r="BM16" s="239"/>
      <c r="BN16" s="239"/>
      <c r="BO16" s="239"/>
      <c r="BP16" s="239"/>
      <c r="BQ16" s="239"/>
      <c r="BR16" s="239"/>
      <c r="BS16" s="239"/>
      <c r="BT16" s="239"/>
      <c r="BU16" s="239"/>
      <c r="BV16" s="239"/>
      <c r="BW16" s="239"/>
      <c r="BX16" s="239"/>
      <c r="BY16" s="239"/>
      <c r="BZ16" s="23"/>
    </row>
    <row r="17" spans="1:120" ht="15.75" customHeight="1" x14ac:dyDescent="0.3">
      <c r="A17" s="268" t="str">
        <f>IF(B15="IC","N/A",
IF(OR(F21="BLANK",R21="BLANK",COUNTIF(U56:DH57,"BLANK")),"BLANK",
IF(COUNTIF(U56:DH57,"REJECT"),"REJECT",
IF(COUNTIF(U56:DH57,"CHECK"),"CHECK","EQ"))))</f>
        <v>BLANK</v>
      </c>
      <c r="B17" s="268"/>
      <c r="C17" s="268"/>
      <c r="D17" s="138"/>
      <c r="E17" s="241"/>
      <c r="F17" s="241"/>
      <c r="G17" s="316" t="str">
        <f t="shared" ca="1" si="0"/>
        <v/>
      </c>
      <c r="H17" s="317"/>
      <c r="I17" s="317" t="str">
        <f t="shared" ca="1" si="1"/>
        <v/>
      </c>
      <c r="J17" s="317"/>
      <c r="K17" s="317" t="str">
        <f t="shared" ca="1" si="2"/>
        <v/>
      </c>
      <c r="L17" s="317"/>
      <c r="M17" s="55" t="str">
        <f t="shared" ca="1" si="3"/>
        <v/>
      </c>
      <c r="N17" s="55" t="str">
        <f t="shared" ca="1" si="4"/>
        <v/>
      </c>
      <c r="O17" s="55" t="str">
        <f t="shared" ca="1" si="5"/>
        <v/>
      </c>
      <c r="P17" s="55"/>
      <c r="Q17" s="66"/>
      <c r="R17" s="46" t="s">
        <v>641</v>
      </c>
      <c r="S17" s="66"/>
      <c r="T17" s="66"/>
      <c r="U17" s="66"/>
      <c r="V17" s="66"/>
      <c r="W17" s="66"/>
      <c r="X17" s="66"/>
      <c r="Y17" s="66"/>
      <c r="Z17" s="66"/>
      <c r="AA17" s="66"/>
      <c r="AC17" s="19" t="s">
        <v>642</v>
      </c>
      <c r="AE17" s="19"/>
      <c r="AF17" s="19"/>
      <c r="AJ17" s="47"/>
      <c r="AK17" s="65"/>
      <c r="AL17" s="66"/>
      <c r="AM17" s="66"/>
      <c r="AN17" s="66"/>
      <c r="AO17" s="26"/>
      <c r="AP17" s="26"/>
      <c r="AQ17" s="27"/>
      <c r="AR17" s="27"/>
      <c r="AS17" s="27"/>
      <c r="AT17" s="27"/>
      <c r="AU17" s="27"/>
      <c r="AV17" s="27"/>
      <c r="AW17" s="27"/>
      <c r="AX17" s="23"/>
      <c r="AY17" s="27"/>
      <c r="AZ17" s="27"/>
      <c r="BA17" s="27"/>
      <c r="BB17" s="27"/>
      <c r="BC17" s="27"/>
      <c r="BD17" s="27"/>
      <c r="BE17" s="27"/>
      <c r="BF17" s="27"/>
      <c r="BG17" s="27"/>
      <c r="BH17" s="27"/>
      <c r="BI17" s="27"/>
      <c r="BJ17" s="27"/>
      <c r="BK17" s="27"/>
      <c r="BL17" s="23"/>
      <c r="BM17" s="27"/>
      <c r="BN17" s="27"/>
      <c r="BO17" s="27"/>
      <c r="BP17" s="27"/>
      <c r="BQ17" s="27"/>
      <c r="BR17" s="27"/>
      <c r="BS17" s="27"/>
      <c r="BT17" s="27"/>
      <c r="BU17" s="27"/>
      <c r="BV17" s="27"/>
      <c r="BW17" s="27"/>
      <c r="BX17" s="27"/>
      <c r="BY17" s="27"/>
      <c r="BZ17" s="23"/>
    </row>
    <row r="18" spans="1:120" ht="15.75" customHeight="1" x14ac:dyDescent="0.3">
      <c r="A18" s="268"/>
      <c r="B18" s="268"/>
      <c r="C18" s="268"/>
      <c r="D18" s="138"/>
      <c r="E18" s="241"/>
      <c r="F18" s="241"/>
      <c r="G18" s="318" t="str">
        <f t="shared" ca="1" si="0"/>
        <v/>
      </c>
      <c r="H18" s="319"/>
      <c r="I18" s="319" t="str">
        <f t="shared" ca="1" si="1"/>
        <v/>
      </c>
      <c r="J18" s="319"/>
      <c r="K18" s="319" t="str">
        <f t="shared" ca="1" si="2"/>
        <v/>
      </c>
      <c r="L18" s="319"/>
      <c r="M18" s="142" t="str">
        <f t="shared" ca="1" si="3"/>
        <v/>
      </c>
      <c r="N18" s="142" t="str">
        <f t="shared" ca="1" si="4"/>
        <v/>
      </c>
      <c r="O18" s="142" t="str">
        <f t="shared" ca="1" si="5"/>
        <v/>
      </c>
      <c r="P18" s="55"/>
      <c r="Q18" s="66"/>
      <c r="R18" s="19" t="s">
        <v>643</v>
      </c>
      <c r="S18" s="66"/>
      <c r="T18" s="66"/>
      <c r="U18" s="66"/>
      <c r="V18" s="66"/>
      <c r="W18" s="66"/>
      <c r="X18" s="66"/>
      <c r="Y18" s="66"/>
      <c r="Z18" s="66"/>
      <c r="AA18" s="66"/>
      <c r="AC18" s="19" t="s">
        <v>644</v>
      </c>
      <c r="AD18" s="46"/>
      <c r="AE18" s="46"/>
      <c r="AG18" s="46"/>
      <c r="AH18" s="46"/>
      <c r="AI18" s="46"/>
      <c r="AJ18" s="47"/>
      <c r="AK18" s="65"/>
      <c r="AM18" s="66"/>
      <c r="AN18" s="66"/>
      <c r="AO18" s="26"/>
      <c r="AP18" s="26"/>
      <c r="AQ18" s="27"/>
      <c r="AR18" s="27"/>
      <c r="AS18" s="27"/>
      <c r="AT18" s="27"/>
      <c r="AU18" s="27"/>
      <c r="AV18" s="27"/>
      <c r="AW18" s="27"/>
      <c r="AX18" s="23"/>
      <c r="AY18" s="27"/>
      <c r="AZ18" s="27"/>
      <c r="BA18" s="27"/>
      <c r="BB18" s="27"/>
      <c r="BC18" s="27"/>
      <c r="BD18" s="27"/>
      <c r="BE18" s="27"/>
      <c r="BF18" s="27"/>
      <c r="BG18" s="27"/>
      <c r="BH18" s="27"/>
      <c r="BI18" s="27"/>
      <c r="BJ18" s="27"/>
      <c r="BK18" s="27"/>
      <c r="BL18" s="23"/>
      <c r="BM18" s="27"/>
      <c r="BN18" s="27"/>
      <c r="BO18" s="27"/>
      <c r="BP18" s="27"/>
      <c r="BQ18" s="27"/>
      <c r="BR18" s="27"/>
      <c r="BS18" s="27"/>
      <c r="BT18" s="27"/>
      <c r="BU18" s="27"/>
      <c r="BV18" s="27"/>
      <c r="BW18" s="27"/>
      <c r="BX18" s="27"/>
      <c r="BY18" s="27"/>
      <c r="BZ18" s="23"/>
    </row>
    <row r="19" spans="1:120" ht="15.75" customHeight="1" x14ac:dyDescent="0.3">
      <c r="A19" s="268"/>
      <c r="B19" s="268"/>
      <c r="C19" s="268"/>
      <c r="D19" s="138"/>
      <c r="E19" s="241"/>
      <c r="F19" s="241"/>
      <c r="G19" s="316" t="str">
        <f t="shared" ca="1" si="0"/>
        <v/>
      </c>
      <c r="H19" s="317"/>
      <c r="I19" s="317" t="str">
        <f t="shared" ca="1" si="1"/>
        <v/>
      </c>
      <c r="J19" s="317"/>
      <c r="K19" s="317" t="str">
        <f t="shared" ca="1" si="2"/>
        <v/>
      </c>
      <c r="L19" s="317"/>
      <c r="M19" s="55" t="str">
        <f t="shared" ca="1" si="3"/>
        <v/>
      </c>
      <c r="N19" s="55" t="str">
        <f t="shared" ca="1" si="4"/>
        <v/>
      </c>
      <c r="O19" s="55" t="str">
        <f t="shared" ca="1" si="5"/>
        <v/>
      </c>
      <c r="P19" s="55"/>
      <c r="Q19" s="66"/>
      <c r="R19" s="19" t="s">
        <v>645</v>
      </c>
      <c r="S19" s="66"/>
      <c r="T19" s="66"/>
      <c r="U19" s="66"/>
      <c r="V19" s="66"/>
      <c r="W19" s="66"/>
      <c r="X19" s="66"/>
      <c r="Y19" s="66"/>
      <c r="Z19" s="66"/>
      <c r="AA19" s="66"/>
      <c r="AE19" s="19"/>
      <c r="AF19" s="19"/>
      <c r="AM19" s="66"/>
      <c r="AN19" s="66"/>
      <c r="AO19" s="26"/>
      <c r="AP19" s="26"/>
      <c r="AQ19" s="27"/>
      <c r="AR19" s="27"/>
      <c r="AS19" s="27"/>
      <c r="AT19" s="27"/>
      <c r="AU19" s="27"/>
      <c r="AV19" s="27"/>
      <c r="AW19" s="27"/>
      <c r="AX19" s="23"/>
      <c r="AY19" s="27"/>
      <c r="AZ19" s="27"/>
      <c r="BA19" s="27"/>
      <c r="BB19" s="27"/>
      <c r="BC19" s="27"/>
      <c r="BD19" s="27"/>
      <c r="BE19" s="27"/>
      <c r="BF19" s="27"/>
      <c r="BG19" s="27"/>
      <c r="BH19" s="27"/>
      <c r="BI19" s="27"/>
      <c r="BJ19" s="27"/>
      <c r="BK19" s="27"/>
      <c r="BL19" s="23"/>
      <c r="BM19" s="27"/>
      <c r="BN19" s="27"/>
      <c r="BO19" s="27"/>
      <c r="BP19" s="27"/>
      <c r="BQ19" s="27"/>
      <c r="BR19" s="27"/>
      <c r="BS19" s="27"/>
      <c r="BT19" s="27"/>
      <c r="BU19" s="27"/>
      <c r="BV19" s="27"/>
      <c r="BW19" s="27"/>
      <c r="BX19" s="27"/>
      <c r="BY19" s="27"/>
      <c r="BZ19" s="23"/>
    </row>
    <row r="20" spans="1:120" ht="15.75" customHeight="1" x14ac:dyDescent="0.3">
      <c r="A20" s="268"/>
      <c r="B20" s="268"/>
      <c r="C20" s="268"/>
      <c r="D20" s="138"/>
      <c r="J20" s="25" t="s">
        <v>646</v>
      </c>
      <c r="O20" s="138"/>
      <c r="P20" s="93"/>
      <c r="Q20" s="93"/>
      <c r="R20" s="19" t="s">
        <v>647</v>
      </c>
      <c r="S20" s="93"/>
      <c r="T20" s="93"/>
      <c r="U20" s="93"/>
      <c r="V20" s="93"/>
      <c r="W20" s="93"/>
      <c r="X20" s="93"/>
      <c r="Y20" s="93"/>
      <c r="Z20" s="93"/>
      <c r="AA20" s="93"/>
      <c r="AC20" s="46" t="s">
        <v>648</v>
      </c>
      <c r="AE20" s="19"/>
      <c r="AF20" s="19"/>
      <c r="AM20" s="93"/>
      <c r="AN20" s="93"/>
      <c r="AO20" s="26"/>
      <c r="AP20" s="26"/>
      <c r="AQ20" s="27"/>
      <c r="AR20" s="27"/>
      <c r="AS20" s="27"/>
      <c r="AT20" s="27"/>
      <c r="AU20" s="27"/>
      <c r="AV20" s="27"/>
      <c r="AW20" s="27"/>
      <c r="AX20" s="23"/>
      <c r="AY20" s="27"/>
      <c r="AZ20" s="27"/>
      <c r="BA20" s="27"/>
      <c r="BB20" s="27"/>
      <c r="BC20" s="27"/>
      <c r="BD20" s="27"/>
      <c r="BE20" s="27"/>
      <c r="BF20" s="27"/>
      <c r="BG20" s="27"/>
      <c r="BH20" s="27"/>
      <c r="BI20" s="27"/>
      <c r="BJ20" s="27"/>
      <c r="BK20" s="27"/>
      <c r="BL20" s="23"/>
      <c r="BM20" s="27"/>
      <c r="BN20" s="27"/>
      <c r="BO20" s="27"/>
      <c r="BP20" s="27"/>
      <c r="BQ20" s="27"/>
      <c r="BR20" s="27"/>
      <c r="BS20" s="27"/>
      <c r="BT20" s="27"/>
      <c r="BU20" s="27"/>
      <c r="BV20" s="27"/>
      <c r="BW20" s="27"/>
      <c r="BX20" s="27"/>
      <c r="BY20" s="27"/>
      <c r="BZ20" s="23"/>
    </row>
    <row r="21" spans="1:120" ht="15.75" customHeight="1" thickBot="1" x14ac:dyDescent="0.35">
      <c r="A21" s="268"/>
      <c r="B21" s="268"/>
      <c r="C21" s="268"/>
      <c r="D21" s="138"/>
      <c r="F21" s="272" t="str">
        <f>IF(COUNTIF(N22:N23,"BLANK"),"BLANK",IF(COUNTIF(N22:N23,"REJECT"),"REJECT",IF(COUNTIF(N22:N23,"CHECK"),"CHECK","EQ")))</f>
        <v>BLANK</v>
      </c>
      <c r="G21" s="272"/>
      <c r="H21" s="272"/>
      <c r="I21" s="272"/>
      <c r="J21" s="272"/>
      <c r="K21" s="272"/>
      <c r="L21" s="272"/>
      <c r="M21" s="272"/>
      <c r="N21" s="272"/>
      <c r="O21" s="138"/>
      <c r="P21" s="66"/>
      <c r="Q21" s="66"/>
      <c r="R21" s="272" t="str">
        <f>IF(COUNTIF(AA22:AA25,"BLANK"),"BLANK",IF(COUNTIF(AA22:AA25,"REJECT"),"REJECT",IF(COUNTIF(AA22:AA25,"CHECK"),"CHECK","EQ")))</f>
        <v>BLANK</v>
      </c>
      <c r="S21" s="272"/>
      <c r="T21" s="272"/>
      <c r="U21" s="272"/>
      <c r="V21" s="272"/>
      <c r="W21" s="272"/>
      <c r="X21" s="272"/>
      <c r="Y21" s="272"/>
      <c r="Z21" s="272"/>
      <c r="AA21" s="272"/>
      <c r="AC21" s="19" t="s">
        <v>649</v>
      </c>
      <c r="AE21" s="19"/>
      <c r="AF21" s="19"/>
      <c r="AM21" s="66"/>
      <c r="AN21" s="66"/>
      <c r="AO21" s="26"/>
      <c r="AP21" s="26"/>
      <c r="AQ21" s="27"/>
      <c r="AR21" s="27"/>
      <c r="AS21" s="27"/>
      <c r="AT21" s="27"/>
      <c r="AU21" s="27"/>
      <c r="AV21" s="27"/>
      <c r="AW21" s="27"/>
      <c r="AX21" s="23"/>
      <c r="AY21" s="27"/>
      <c r="AZ21" s="27"/>
      <c r="BA21" s="27"/>
      <c r="BB21" s="27"/>
      <c r="BC21" s="27"/>
      <c r="BD21" s="27"/>
      <c r="BE21" s="27"/>
      <c r="BF21" s="27"/>
      <c r="BG21" s="27"/>
      <c r="BH21" s="27"/>
      <c r="BI21" s="27"/>
      <c r="BJ21" s="27"/>
      <c r="BK21" s="27"/>
      <c r="BL21" s="23"/>
      <c r="BM21" s="27"/>
      <c r="BN21" s="27"/>
      <c r="BO21" s="27"/>
      <c r="BP21" s="27"/>
      <c r="BQ21" s="27"/>
      <c r="BR21" s="27"/>
      <c r="BS21" s="27"/>
      <c r="BT21" s="27"/>
      <c r="BU21" s="27"/>
      <c r="BV21" s="27"/>
      <c r="BW21" s="27"/>
      <c r="BX21" s="27"/>
      <c r="BY21" s="27"/>
      <c r="BZ21" s="23"/>
    </row>
    <row r="22" spans="1:120" ht="15.75" customHeight="1" thickBot="1" x14ac:dyDescent="0.35">
      <c r="A22" s="268"/>
      <c r="B22" s="268"/>
      <c r="C22" s="268"/>
      <c r="D22" s="138"/>
      <c r="F22" s="25"/>
      <c r="G22" s="49"/>
      <c r="H22" s="49"/>
      <c r="I22" s="49"/>
      <c r="J22" s="49"/>
      <c r="K22" s="49" t="s">
        <v>650</v>
      </c>
      <c r="L22" s="56"/>
      <c r="M22" s="19" t="str">
        <f>IF($A$25="mm","kg","lbs")</f>
        <v>kg</v>
      </c>
      <c r="N22" s="25" t="str">
        <f>IF(L22="","BLANK","EQ")</f>
        <v>BLANK</v>
      </c>
      <c r="O22" s="138"/>
      <c r="P22" s="66"/>
      <c r="Q22" s="66"/>
      <c r="R22" s="49"/>
      <c r="S22" s="49"/>
      <c r="T22" s="49" t="s">
        <v>651</v>
      </c>
      <c r="U22" s="243"/>
      <c r="V22" s="244"/>
      <c r="X22" s="66"/>
      <c r="Y22" s="66"/>
      <c r="Z22" s="66"/>
      <c r="AA22" s="25" t="str">
        <f>IF(U22="","BLANK","EQ")</f>
        <v>BLANK</v>
      </c>
      <c r="AC22" s="19" t="s">
        <v>652</v>
      </c>
      <c r="AE22" s="19"/>
      <c r="AF22" s="19"/>
      <c r="AM22" s="66"/>
      <c r="AN22" s="66"/>
      <c r="AO22" s="26"/>
      <c r="AP22" s="26"/>
      <c r="AQ22" s="27"/>
      <c r="AR22" s="27"/>
      <c r="AS22" s="27"/>
      <c r="AT22" s="27"/>
      <c r="AU22" s="27"/>
      <c r="AV22" s="27"/>
      <c r="AW22" s="27"/>
      <c r="AX22" s="23"/>
      <c r="AY22" s="27"/>
      <c r="AZ22" s="27"/>
      <c r="BA22" s="27"/>
      <c r="BB22" s="27"/>
      <c r="BC22" s="27"/>
      <c r="BD22" s="27"/>
      <c r="BE22" s="27"/>
      <c r="BF22" s="27"/>
      <c r="BG22" s="27"/>
      <c r="BH22" s="27"/>
      <c r="BI22" s="27"/>
      <c r="BJ22" s="27"/>
      <c r="BK22" s="27"/>
      <c r="BL22" s="23"/>
      <c r="BM22" s="27"/>
      <c r="BN22" s="27"/>
      <c r="BO22" s="27"/>
      <c r="BP22" s="27"/>
      <c r="BQ22" s="27"/>
      <c r="BR22" s="27"/>
      <c r="BS22" s="27"/>
      <c r="BT22" s="27"/>
      <c r="BU22" s="27"/>
      <c r="BV22" s="27"/>
      <c r="BW22" s="27"/>
      <c r="BX22" s="27"/>
      <c r="BY22" s="27"/>
      <c r="BZ22" s="23"/>
    </row>
    <row r="23" spans="1:120" ht="15.75" customHeight="1" thickBot="1" x14ac:dyDescent="0.35">
      <c r="A23" s="268"/>
      <c r="B23" s="268"/>
      <c r="C23" s="268"/>
      <c r="D23" s="138"/>
      <c r="F23" s="25"/>
      <c r="G23" s="49"/>
      <c r="H23" s="49"/>
      <c r="I23" s="49"/>
      <c r="J23" s="49"/>
      <c r="K23" s="49" t="s">
        <v>653</v>
      </c>
      <c r="L23" s="50"/>
      <c r="M23" s="19" t="str">
        <f>IF($A$25="mm","kg","lbs")</f>
        <v>kg</v>
      </c>
      <c r="N23" s="25" t="str">
        <f>IF(L23="","BLANK",IF(L23&lt;L22,"REJECT","EQ"))</f>
        <v>BLANK</v>
      </c>
      <c r="O23" s="138"/>
      <c r="P23" s="66"/>
      <c r="Q23" s="66"/>
      <c r="R23" s="49"/>
      <c r="S23" s="49"/>
      <c r="T23" s="49" t="s">
        <v>654</v>
      </c>
      <c r="U23" s="25">
        <f>IF(U22="Corner Attachment",L24,L25)</f>
        <v>15000</v>
      </c>
      <c r="V23" s="19" t="str">
        <f>IF($A$25="mm","N","lbs")</f>
        <v>N</v>
      </c>
      <c r="X23" s="66"/>
      <c r="Y23" s="66"/>
      <c r="Z23" s="66"/>
      <c r="AA23" s="25" t="str">
        <f t="shared" ref="AA23:AA25" si="6">IF(U23="","BLANK","EQ")</f>
        <v>EQ</v>
      </c>
      <c r="AC23" s="19" t="s">
        <v>655</v>
      </c>
      <c r="AE23" s="19"/>
      <c r="AF23" s="19"/>
      <c r="AM23" s="66"/>
      <c r="AN23" s="66"/>
      <c r="AO23" s="26"/>
      <c r="AP23" s="26"/>
      <c r="AQ23" s="27"/>
      <c r="AR23" s="27"/>
      <c r="AS23" s="27"/>
      <c r="AT23" s="27"/>
      <c r="AU23" s="27"/>
      <c r="AV23" s="27"/>
      <c r="AW23" s="27"/>
      <c r="AX23" s="23"/>
      <c r="AY23" s="27"/>
      <c r="AZ23" s="27"/>
      <c r="BA23" s="27"/>
      <c r="BB23" s="27"/>
      <c r="BC23" s="27"/>
      <c r="BD23" s="27"/>
      <c r="BE23" s="27"/>
      <c r="BF23" s="27"/>
      <c r="BG23" s="27"/>
      <c r="BH23" s="27"/>
      <c r="BI23" s="27"/>
      <c r="BJ23" s="27"/>
      <c r="BK23" s="27"/>
      <c r="BL23" s="23"/>
      <c r="BM23" s="27"/>
      <c r="BN23" s="27"/>
      <c r="BO23" s="27"/>
      <c r="BP23" s="27"/>
      <c r="BQ23" s="27"/>
      <c r="BR23" s="27"/>
      <c r="BS23" s="27"/>
      <c r="BT23" s="27"/>
      <c r="BU23" s="27"/>
      <c r="BV23" s="27"/>
      <c r="BW23" s="27"/>
      <c r="BX23" s="27"/>
      <c r="BY23" s="27"/>
      <c r="BZ23" s="23"/>
      <c r="CA23" s="41"/>
      <c r="CB23" s="41"/>
    </row>
    <row r="24" spans="1:120" ht="15.75" customHeight="1" thickBot="1" x14ac:dyDescent="0.35">
      <c r="A24" s="268"/>
      <c r="B24" s="268"/>
      <c r="C24" s="268"/>
      <c r="D24" s="41"/>
      <c r="G24" s="49"/>
      <c r="H24" s="49"/>
      <c r="I24" s="49"/>
      <c r="J24" s="49"/>
      <c r="K24" s="49" t="s">
        <v>656</v>
      </c>
      <c r="L24" s="25">
        <f>IF($A$25="mm",L23*40*9.81/4,L23*40/4)</f>
        <v>0</v>
      </c>
      <c r="M24" s="19" t="str">
        <f>IF($A$25="mm","N","lbs")</f>
        <v>N</v>
      </c>
      <c r="N24" s="19" t="s">
        <v>657</v>
      </c>
      <c r="O24" s="41"/>
      <c r="P24" s="66"/>
      <c r="Q24" s="66"/>
      <c r="R24" s="49"/>
      <c r="S24" s="49"/>
      <c r="T24" s="49" t="s">
        <v>658</v>
      </c>
      <c r="U24" s="243"/>
      <c r="V24" s="244"/>
      <c r="W24" s="46" t="s">
        <v>659</v>
      </c>
      <c r="X24" s="66"/>
      <c r="Y24" s="66"/>
      <c r="Z24" s="66"/>
      <c r="AA24" s="25" t="str">
        <f t="shared" si="6"/>
        <v>BLANK</v>
      </c>
      <c r="AD24" s="41"/>
      <c r="AE24" s="41"/>
      <c r="AF24" s="41"/>
      <c r="AG24" s="41"/>
      <c r="AH24" s="41"/>
      <c r="AI24" s="41"/>
      <c r="AJ24" s="41"/>
      <c r="AK24" s="41"/>
      <c r="AM24" s="66"/>
      <c r="AN24" s="66"/>
      <c r="AO24" s="27"/>
      <c r="AP24" s="27"/>
      <c r="AQ24" s="27"/>
      <c r="AR24" s="27"/>
      <c r="AS24" s="27"/>
      <c r="AT24" s="27"/>
      <c r="AU24" s="27"/>
      <c r="AV24" s="27"/>
      <c r="AW24" s="27"/>
      <c r="AX24" s="23"/>
      <c r="AY24" s="27"/>
      <c r="AZ24" s="27"/>
      <c r="BA24" s="27"/>
      <c r="BB24" s="27"/>
      <c r="BC24" s="27"/>
      <c r="BD24" s="27"/>
      <c r="BE24" s="27"/>
      <c r="BF24" s="27"/>
      <c r="BG24" s="27"/>
      <c r="BH24" s="27"/>
      <c r="BI24" s="27"/>
      <c r="BJ24" s="27"/>
      <c r="BK24" s="27"/>
      <c r="BL24" s="23"/>
      <c r="BM24" s="27"/>
      <c r="BN24" s="27"/>
      <c r="BO24" s="27"/>
      <c r="BP24" s="27"/>
      <c r="BQ24" s="27"/>
      <c r="BR24" s="27"/>
      <c r="BS24" s="27"/>
      <c r="BT24" s="27"/>
      <c r="BU24" s="27"/>
      <c r="BV24" s="27"/>
      <c r="BW24" s="27"/>
      <c r="BX24" s="27"/>
      <c r="BY24" s="27"/>
      <c r="BZ24" s="23"/>
      <c r="CA24" s="41"/>
      <c r="CB24" s="41"/>
    </row>
    <row r="25" spans="1:120" ht="15.75" customHeight="1" thickBot="1" x14ac:dyDescent="0.35">
      <c r="A25" s="283" t="str">
        <f>'F.3.1-4 Tube Chassis'!D25</f>
        <v>mm</v>
      </c>
      <c r="B25" s="283"/>
      <c r="C25" s="283"/>
      <c r="D25" s="41"/>
      <c r="G25" s="49"/>
      <c r="H25" s="49"/>
      <c r="I25" s="49"/>
      <c r="J25" s="49" t="s">
        <v>660</v>
      </c>
      <c r="K25" s="49" t="str">
        <f>IF($A$25="mm",
IF(L23&lt;20,"4x at",IF(L23&lt;30,"6x at",IF(L23&lt;40,"8x at","10x at"))),
IF(L23&lt;20*2.2046,"4x at",IF(L23&lt;30*2.2046,"6x at",IF(L23&lt;40*2.2046,"8x at","10x at"))))</f>
        <v>4x at</v>
      </c>
      <c r="L25" s="25">
        <f>IF($A$25="mm",15000,3372)</f>
        <v>15000</v>
      </c>
      <c r="M25" s="19" t="str">
        <f>IF($A$25="mm","N","lbs")</f>
        <v>N</v>
      </c>
      <c r="N25" s="19" t="s">
        <v>657</v>
      </c>
      <c r="O25" s="41"/>
      <c r="P25" s="66"/>
      <c r="Q25" s="66"/>
      <c r="R25" s="93"/>
      <c r="S25" s="93"/>
      <c r="T25" s="60" t="s">
        <v>661</v>
      </c>
      <c r="U25" s="243"/>
      <c r="V25" s="244"/>
      <c r="W25" s="46" t="s">
        <v>659</v>
      </c>
      <c r="X25" s="66"/>
      <c r="Y25" s="66"/>
      <c r="Z25" s="66"/>
      <c r="AA25" s="25" t="str">
        <f t="shared" si="6"/>
        <v>BLANK</v>
      </c>
      <c r="AD25" s="25"/>
      <c r="AE25" s="25"/>
      <c r="AF25" s="25"/>
      <c r="AG25" s="25"/>
      <c r="AH25" s="25"/>
      <c r="AI25" s="25"/>
      <c r="AJ25" s="25"/>
      <c r="AK25" s="25"/>
      <c r="AL25" s="66"/>
      <c r="AM25" s="66"/>
      <c r="AN25" s="66"/>
      <c r="AO25" s="27"/>
      <c r="AP25" s="27"/>
      <c r="AQ25" s="27"/>
      <c r="AR25" s="27"/>
      <c r="AS25" s="27"/>
      <c r="AT25" s="27"/>
      <c r="AU25" s="27"/>
      <c r="AV25" s="27"/>
      <c r="AW25" s="27"/>
      <c r="AX25" s="23"/>
      <c r="AY25" s="27"/>
      <c r="AZ25" s="27"/>
      <c r="BA25" s="27"/>
      <c r="BB25" s="27"/>
      <c r="BC25" s="27"/>
      <c r="BD25" s="27"/>
      <c r="BE25" s="27"/>
      <c r="BF25" s="27"/>
      <c r="BG25" s="27"/>
      <c r="BH25" s="27"/>
      <c r="BI25" s="27"/>
      <c r="BJ25" s="27"/>
      <c r="BK25" s="27"/>
      <c r="BL25" s="23"/>
      <c r="BM25" s="27"/>
      <c r="BN25" s="27"/>
      <c r="BO25" s="27"/>
      <c r="BP25" s="27"/>
      <c r="BQ25" s="27"/>
      <c r="BR25" s="27"/>
      <c r="BS25" s="27"/>
      <c r="BT25" s="27"/>
      <c r="BU25" s="27"/>
      <c r="BV25" s="27"/>
      <c r="BW25" s="27"/>
      <c r="BX25" s="27"/>
      <c r="BY25" s="27"/>
      <c r="BZ25" s="23"/>
      <c r="CA25" s="41"/>
      <c r="CB25" s="41"/>
    </row>
    <row r="26" spans="1:120" ht="15.75" customHeight="1" x14ac:dyDescent="0.3">
      <c r="A26" s="283"/>
      <c r="B26" s="283"/>
      <c r="C26" s="283"/>
      <c r="D26" s="147"/>
      <c r="O26" s="147"/>
      <c r="P26" s="66"/>
      <c r="Q26" s="66"/>
      <c r="S26" s="66"/>
      <c r="T26" s="66"/>
      <c r="U26" s="66"/>
      <c r="V26" s="66"/>
      <c r="W26" s="66"/>
      <c r="X26" s="66"/>
      <c r="Y26" s="66"/>
      <c r="Z26" s="66"/>
      <c r="AA26" s="66"/>
      <c r="AE26" s="25"/>
      <c r="AF26" s="25"/>
      <c r="AG26" s="25"/>
      <c r="AH26" s="25"/>
      <c r="AI26" s="25"/>
      <c r="AJ26" s="47"/>
      <c r="AK26" s="65"/>
      <c r="AL26" s="66"/>
      <c r="AM26" s="66"/>
      <c r="AN26" s="66"/>
      <c r="AO26" s="27"/>
      <c r="AP26" s="27"/>
      <c r="AQ26" s="27"/>
      <c r="AR26" s="27"/>
      <c r="AS26" s="27"/>
      <c r="AT26" s="27"/>
      <c r="AU26" s="27"/>
      <c r="AV26" s="27"/>
      <c r="AW26" s="27"/>
      <c r="AX26" s="23"/>
      <c r="AY26" s="27"/>
      <c r="AZ26" s="27"/>
      <c r="BA26" s="27"/>
      <c r="BB26" s="27"/>
      <c r="BC26" s="27"/>
      <c r="BD26" s="27"/>
      <c r="BE26" s="27"/>
      <c r="BF26" s="27"/>
      <c r="BG26" s="27"/>
      <c r="BH26" s="27"/>
      <c r="BI26" s="27"/>
      <c r="BJ26" s="27"/>
      <c r="BK26" s="27"/>
      <c r="BL26" s="23"/>
      <c r="BM26" s="27"/>
      <c r="BN26" s="27"/>
      <c r="BO26" s="27"/>
      <c r="BP26" s="27"/>
      <c r="BQ26" s="27"/>
      <c r="BR26" s="27"/>
      <c r="BS26" s="27"/>
      <c r="BT26" s="27"/>
      <c r="BU26" s="27"/>
      <c r="BV26" s="27"/>
      <c r="BW26" s="27"/>
      <c r="BX26" s="27"/>
      <c r="BY26" s="27"/>
      <c r="BZ26" s="23"/>
      <c r="CA26" s="41"/>
      <c r="CB26" s="41"/>
    </row>
    <row r="27" spans="1:120" ht="15" customHeight="1" x14ac:dyDescent="0.3">
      <c r="A27" s="23"/>
      <c r="B27" s="23"/>
      <c r="C27" s="23"/>
      <c r="D27" s="23"/>
      <c r="E27" s="23"/>
      <c r="F27" s="23"/>
      <c r="G27" s="23"/>
      <c r="H27" s="23"/>
      <c r="I27" s="23"/>
      <c r="J27" s="20"/>
      <c r="K27" s="23"/>
      <c r="L27" s="23"/>
      <c r="M27" s="23"/>
      <c r="N27" s="23"/>
      <c r="O27" s="23"/>
      <c r="P27" s="23"/>
      <c r="Q27" s="23"/>
      <c r="R27" s="23"/>
      <c r="S27" s="23"/>
      <c r="T27" s="20"/>
      <c r="U27" s="20"/>
      <c r="V27" s="20"/>
      <c r="W27" s="20"/>
      <c r="X27" s="20"/>
      <c r="Y27" s="20"/>
      <c r="Z27" s="20"/>
      <c r="AA27" s="20"/>
      <c r="AB27" s="20"/>
      <c r="AC27" s="20"/>
      <c r="AD27" s="20"/>
      <c r="AE27" s="21"/>
      <c r="AF27" s="22"/>
      <c r="AG27" s="23"/>
      <c r="AH27" s="23"/>
      <c r="AI27" s="23"/>
      <c r="AJ27" s="23"/>
      <c r="AK27" s="23"/>
      <c r="AL27" s="23"/>
      <c r="AM27" s="23"/>
      <c r="AN27" s="20"/>
      <c r="AO27" s="23"/>
      <c r="AP27" s="23"/>
      <c r="AQ27" s="23"/>
      <c r="AR27" s="23"/>
      <c r="AS27" s="23"/>
      <c r="AT27" s="23"/>
      <c r="AU27" s="23"/>
      <c r="AV27" s="23"/>
      <c r="AW27" s="23"/>
      <c r="AX27" s="20"/>
      <c r="AY27" s="23"/>
      <c r="AZ27" s="23"/>
      <c r="BA27" s="23"/>
      <c r="BB27" s="23"/>
      <c r="BC27" s="23"/>
      <c r="BD27" s="23"/>
      <c r="BE27" s="23"/>
      <c r="BF27" s="23"/>
      <c r="BG27" s="23"/>
      <c r="BH27" s="20"/>
      <c r="BI27" s="23"/>
      <c r="BJ27" s="23"/>
      <c r="BK27" s="23"/>
      <c r="BL27" s="23"/>
      <c r="BM27" s="23"/>
      <c r="BN27" s="23"/>
      <c r="BO27" s="23"/>
      <c r="BP27" s="23"/>
      <c r="BQ27" s="23"/>
      <c r="BR27" s="2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20"/>
      <c r="CW27" s="23"/>
      <c r="CX27" s="23"/>
      <c r="CY27" s="23"/>
      <c r="CZ27" s="23"/>
      <c r="DA27" s="23"/>
      <c r="DB27" s="23"/>
      <c r="DC27" s="23"/>
      <c r="DD27" s="23"/>
      <c r="DE27" s="23"/>
      <c r="DF27" s="20"/>
      <c r="DG27" s="23"/>
      <c r="DH27" s="23"/>
      <c r="DI27" s="23"/>
      <c r="DJ27" s="23"/>
      <c r="DK27" s="23"/>
      <c r="DL27" s="23"/>
      <c r="DM27" s="23"/>
      <c r="DN27" s="23"/>
      <c r="DO27" s="23"/>
      <c r="DP27" s="23"/>
    </row>
    <row r="28" spans="1:120" ht="15" customHeight="1" x14ac:dyDescent="0.3">
      <c r="A28" s="27"/>
      <c r="B28" s="27"/>
      <c r="C28" s="27"/>
      <c r="D28" s="27"/>
      <c r="E28" s="27"/>
      <c r="F28" s="27"/>
      <c r="G28" s="27"/>
      <c r="H28" s="27"/>
      <c r="I28" s="27"/>
      <c r="J28" s="20"/>
      <c r="K28" s="27"/>
      <c r="L28" s="27"/>
      <c r="M28" s="27"/>
      <c r="N28" s="27"/>
      <c r="O28" s="27"/>
      <c r="P28" s="27"/>
      <c r="Q28" s="27"/>
      <c r="R28" s="27"/>
      <c r="S28" s="27"/>
      <c r="T28" s="20"/>
      <c r="U28" s="26"/>
      <c r="V28" s="26"/>
      <c r="W28" s="26"/>
      <c r="X28" s="26"/>
      <c r="Y28" s="26"/>
      <c r="Z28" s="26"/>
      <c r="AA28" s="26"/>
      <c r="AB28" s="26"/>
      <c r="AC28" s="26"/>
      <c r="AD28" s="20"/>
      <c r="AE28" s="26"/>
      <c r="AF28" s="26"/>
      <c r="AG28" s="26"/>
      <c r="AH28" s="26"/>
      <c r="AI28" s="26"/>
      <c r="AJ28" s="26"/>
      <c r="AK28" s="26"/>
      <c r="AL28" s="26"/>
      <c r="AM28" s="26"/>
      <c r="AN28" s="20"/>
      <c r="AO28" s="26"/>
      <c r="AP28" s="26"/>
      <c r="AQ28" s="26"/>
      <c r="AR28" s="26"/>
      <c r="AS28" s="26"/>
      <c r="AT28" s="26"/>
      <c r="AU28" s="26"/>
      <c r="AV28" s="26"/>
      <c r="AW28" s="26"/>
      <c r="AX28" s="20"/>
      <c r="AY28" s="27"/>
      <c r="AZ28" s="27"/>
      <c r="BA28" s="27"/>
      <c r="BB28" s="27"/>
      <c r="BC28" s="27"/>
      <c r="BD28" s="27"/>
      <c r="BE28" s="27"/>
      <c r="BF28" s="27"/>
      <c r="BG28" s="27"/>
      <c r="BH28" s="20"/>
      <c r="BI28" s="27"/>
      <c r="BJ28" s="27"/>
      <c r="BK28" s="27"/>
      <c r="BL28" s="27"/>
      <c r="BM28" s="27"/>
      <c r="BN28" s="27"/>
      <c r="BO28" s="27"/>
      <c r="BP28" s="27"/>
      <c r="BQ28" s="27"/>
      <c r="BR28" s="2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20"/>
      <c r="CW28" s="27"/>
      <c r="CX28" s="27"/>
      <c r="CY28" s="27"/>
      <c r="CZ28" s="27"/>
      <c r="DA28" s="27"/>
      <c r="DB28" s="27"/>
      <c r="DC28" s="27"/>
      <c r="DD28" s="27"/>
      <c r="DE28" s="27"/>
      <c r="DF28" s="20"/>
      <c r="DG28" s="27"/>
      <c r="DH28" s="27"/>
      <c r="DI28" s="27"/>
      <c r="DJ28" s="27"/>
      <c r="DK28" s="27"/>
      <c r="DL28" s="27"/>
      <c r="DM28" s="27"/>
      <c r="DN28" s="27"/>
      <c r="DO28" s="27"/>
      <c r="DP28" s="23"/>
    </row>
    <row r="29" spans="1:120" ht="15" customHeight="1" x14ac:dyDescent="0.3">
      <c r="A29" s="27"/>
      <c r="B29" s="27"/>
      <c r="C29" s="27"/>
      <c r="D29" s="27"/>
      <c r="E29" s="27"/>
      <c r="F29" s="27"/>
      <c r="G29" s="27"/>
      <c r="H29" s="27"/>
      <c r="I29" s="27"/>
      <c r="J29" s="20"/>
      <c r="K29" s="27"/>
      <c r="L29" s="27"/>
      <c r="M29" s="27"/>
      <c r="N29" s="27"/>
      <c r="O29" s="27"/>
      <c r="P29" s="27"/>
      <c r="Q29" s="27"/>
      <c r="R29" s="27"/>
      <c r="S29" s="27"/>
      <c r="T29" s="20"/>
      <c r="U29" s="26"/>
      <c r="V29" s="26"/>
      <c r="W29" s="26"/>
      <c r="X29" s="26"/>
      <c r="Y29" s="26"/>
      <c r="Z29" s="26"/>
      <c r="AA29" s="26"/>
      <c r="AB29" s="26"/>
      <c r="AC29" s="26"/>
      <c r="AD29" s="20"/>
      <c r="AE29" s="26"/>
      <c r="AF29" s="26"/>
      <c r="AG29" s="26"/>
      <c r="AH29" s="26"/>
      <c r="AI29" s="26"/>
      <c r="AJ29" s="26"/>
      <c r="AK29" s="26"/>
      <c r="AL29" s="26"/>
      <c r="AM29" s="26"/>
      <c r="AN29" s="20"/>
      <c r="AO29" s="26"/>
      <c r="AP29" s="26"/>
      <c r="AQ29" s="26"/>
      <c r="AR29" s="26"/>
      <c r="AS29" s="26"/>
      <c r="AT29" s="26"/>
      <c r="AU29" s="26"/>
      <c r="AV29" s="26"/>
      <c r="AW29" s="26"/>
      <c r="AX29" s="20"/>
      <c r="AY29" s="27"/>
      <c r="AZ29" s="27"/>
      <c r="BA29" s="27"/>
      <c r="BB29" s="27"/>
      <c r="BC29" s="27"/>
      <c r="BD29" s="27"/>
      <c r="BE29" s="27"/>
      <c r="BF29" s="27"/>
      <c r="BG29" s="27"/>
      <c r="BH29" s="20"/>
      <c r="BI29" s="27"/>
      <c r="BJ29" s="27"/>
      <c r="BK29" s="27"/>
      <c r="BL29" s="27"/>
      <c r="BM29" s="27"/>
      <c r="BN29" s="27"/>
      <c r="BO29" s="27"/>
      <c r="BP29" s="27"/>
      <c r="BQ29" s="27"/>
      <c r="BR29" s="2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20"/>
      <c r="CW29" s="27"/>
      <c r="CX29" s="27"/>
      <c r="CY29" s="27"/>
      <c r="CZ29" s="27"/>
      <c r="DA29" s="27"/>
      <c r="DB29" s="27"/>
      <c r="DC29" s="27"/>
      <c r="DD29" s="27"/>
      <c r="DE29" s="27"/>
      <c r="DF29" s="20"/>
      <c r="DG29" s="27"/>
      <c r="DH29" s="27"/>
      <c r="DI29" s="27"/>
      <c r="DJ29" s="27"/>
      <c r="DK29" s="27"/>
      <c r="DL29" s="27"/>
      <c r="DM29" s="27"/>
      <c r="DN29" s="27"/>
      <c r="DO29" s="27"/>
      <c r="DP29" s="23"/>
    </row>
    <row r="30" spans="1:120" ht="15" customHeight="1" x14ac:dyDescent="0.3">
      <c r="A30" s="27"/>
      <c r="B30" s="27"/>
      <c r="C30" s="27"/>
      <c r="D30" s="27"/>
      <c r="E30" s="27"/>
      <c r="F30" s="27"/>
      <c r="G30" s="27"/>
      <c r="H30" s="27"/>
      <c r="I30" s="27"/>
      <c r="J30" s="20"/>
      <c r="K30" s="27"/>
      <c r="L30" s="27"/>
      <c r="M30" s="27"/>
      <c r="N30" s="27"/>
      <c r="O30" s="27"/>
      <c r="P30" s="27"/>
      <c r="Q30" s="27"/>
      <c r="R30" s="27"/>
      <c r="S30" s="27"/>
      <c r="T30" s="20"/>
      <c r="U30" s="26"/>
      <c r="V30" s="26"/>
      <c r="W30" s="26"/>
      <c r="X30" s="26"/>
      <c r="Y30" s="26"/>
      <c r="Z30" s="26"/>
      <c r="AA30" s="26"/>
      <c r="AB30" s="26"/>
      <c r="AC30" s="26"/>
      <c r="AD30" s="20"/>
      <c r="AE30" s="26"/>
      <c r="AF30" s="26"/>
      <c r="AG30" s="26"/>
      <c r="AH30" s="26"/>
      <c r="AI30" s="26"/>
      <c r="AJ30" s="26"/>
      <c r="AK30" s="26"/>
      <c r="AL30" s="26"/>
      <c r="AM30" s="26"/>
      <c r="AN30" s="20"/>
      <c r="AO30" s="26"/>
      <c r="AP30" s="26"/>
      <c r="AQ30" s="26"/>
      <c r="AR30" s="26"/>
      <c r="AS30" s="26"/>
      <c r="AT30" s="26"/>
      <c r="AU30" s="26"/>
      <c r="AV30" s="26"/>
      <c r="AW30" s="26"/>
      <c r="AX30" s="20"/>
      <c r="AY30" s="27"/>
      <c r="AZ30" s="27"/>
      <c r="BA30" s="27"/>
      <c r="BB30" s="27"/>
      <c r="BC30" s="27"/>
      <c r="BD30" s="27"/>
      <c r="BE30" s="27"/>
      <c r="BF30" s="27"/>
      <c r="BG30" s="27"/>
      <c r="BH30" s="20"/>
      <c r="BI30" s="27"/>
      <c r="BJ30" s="27"/>
      <c r="BK30" s="27"/>
      <c r="BL30" s="27"/>
      <c r="BM30" s="27"/>
      <c r="BN30" s="27"/>
      <c r="BO30" s="27"/>
      <c r="BP30" s="27"/>
      <c r="BQ30" s="27"/>
      <c r="BR30" s="2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20"/>
      <c r="CW30" s="27"/>
      <c r="CX30" s="27"/>
      <c r="CY30" s="27"/>
      <c r="CZ30" s="27"/>
      <c r="DA30" s="27"/>
      <c r="DB30" s="27"/>
      <c r="DC30" s="27"/>
      <c r="DD30" s="27"/>
      <c r="DE30" s="27"/>
      <c r="DF30" s="20"/>
      <c r="DG30" s="27"/>
      <c r="DH30" s="27"/>
      <c r="DI30" s="27"/>
      <c r="DJ30" s="27"/>
      <c r="DK30" s="27"/>
      <c r="DL30" s="27"/>
      <c r="DM30" s="27"/>
      <c r="DN30" s="27"/>
      <c r="DO30" s="27"/>
      <c r="DP30" s="23"/>
    </row>
    <row r="31" spans="1:120" ht="15" customHeight="1" x14ac:dyDescent="0.3">
      <c r="A31" s="27"/>
      <c r="B31" s="27"/>
      <c r="C31" s="27"/>
      <c r="D31" s="27"/>
      <c r="E31" s="27"/>
      <c r="F31" s="27"/>
      <c r="G31" s="27"/>
      <c r="H31" s="27"/>
      <c r="I31" s="27"/>
      <c r="J31" s="20"/>
      <c r="K31" s="27"/>
      <c r="L31" s="27"/>
      <c r="M31" s="27"/>
      <c r="N31" s="27"/>
      <c r="O31" s="27"/>
      <c r="P31" s="27"/>
      <c r="Q31" s="27"/>
      <c r="R31" s="27"/>
      <c r="S31" s="27"/>
      <c r="T31" s="20"/>
      <c r="U31" s="26"/>
      <c r="V31" s="26"/>
      <c r="W31" s="26"/>
      <c r="X31" s="26"/>
      <c r="Y31" s="26"/>
      <c r="Z31" s="26"/>
      <c r="AA31" s="26"/>
      <c r="AB31" s="26"/>
      <c r="AC31" s="26"/>
      <c r="AD31" s="20"/>
      <c r="AE31" s="26"/>
      <c r="AF31" s="26"/>
      <c r="AG31" s="26"/>
      <c r="AH31" s="26"/>
      <c r="AI31" s="26"/>
      <c r="AJ31" s="26"/>
      <c r="AK31" s="26"/>
      <c r="AL31" s="26"/>
      <c r="AM31" s="26"/>
      <c r="AN31" s="20"/>
      <c r="AO31" s="26"/>
      <c r="AP31" s="26"/>
      <c r="AQ31" s="26"/>
      <c r="AR31" s="26"/>
      <c r="AS31" s="26"/>
      <c r="AT31" s="26"/>
      <c r="AU31" s="26"/>
      <c r="AV31" s="26"/>
      <c r="AW31" s="26"/>
      <c r="AX31" s="20"/>
      <c r="AY31" s="27"/>
      <c r="AZ31" s="27"/>
      <c r="BA31" s="27"/>
      <c r="BB31" s="27"/>
      <c r="BC31" s="27"/>
      <c r="BD31" s="27"/>
      <c r="BE31" s="27"/>
      <c r="BF31" s="27"/>
      <c r="BG31" s="27"/>
      <c r="BH31" s="20"/>
      <c r="BI31" s="27"/>
      <c r="BJ31" s="27"/>
      <c r="BK31" s="27"/>
      <c r="BL31" s="27"/>
      <c r="BM31" s="27"/>
      <c r="BN31" s="27"/>
      <c r="BO31" s="27"/>
      <c r="BP31" s="27"/>
      <c r="BQ31" s="27"/>
      <c r="BR31" s="2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20"/>
      <c r="CW31" s="27"/>
      <c r="CX31" s="27"/>
      <c r="CY31" s="27"/>
      <c r="CZ31" s="27"/>
      <c r="DA31" s="27"/>
      <c r="DB31" s="27"/>
      <c r="DC31" s="27"/>
      <c r="DD31" s="27"/>
      <c r="DE31" s="27"/>
      <c r="DF31" s="20"/>
      <c r="DG31" s="27"/>
      <c r="DH31" s="27"/>
      <c r="DI31" s="27"/>
      <c r="DJ31" s="27"/>
      <c r="DK31" s="27"/>
      <c r="DL31" s="27"/>
      <c r="DM31" s="27"/>
      <c r="DN31" s="27"/>
      <c r="DO31" s="27"/>
      <c r="DP31" s="23"/>
    </row>
    <row r="32" spans="1:120" ht="15" customHeight="1" x14ac:dyDescent="0.3">
      <c r="A32" s="27"/>
      <c r="B32" s="27"/>
      <c r="C32" s="27"/>
      <c r="D32" s="27"/>
      <c r="E32" s="27"/>
      <c r="F32" s="27"/>
      <c r="G32" s="27"/>
      <c r="H32" s="27"/>
      <c r="I32" s="27"/>
      <c r="J32" s="20"/>
      <c r="K32" s="27"/>
      <c r="L32" s="27"/>
      <c r="M32" s="27"/>
      <c r="N32" s="27"/>
      <c r="O32" s="27"/>
      <c r="P32" s="27"/>
      <c r="Q32" s="27"/>
      <c r="R32" s="27"/>
      <c r="S32" s="27"/>
      <c r="T32" s="20"/>
      <c r="U32" s="28"/>
      <c r="V32" s="26"/>
      <c r="W32" s="26"/>
      <c r="X32" s="26"/>
      <c r="Y32" s="26"/>
      <c r="Z32" s="26"/>
      <c r="AA32" s="26"/>
      <c r="AB32" s="26"/>
      <c r="AC32" s="26"/>
      <c r="AD32" s="20"/>
      <c r="AE32" s="26"/>
      <c r="AF32" s="26"/>
      <c r="AG32" s="26"/>
      <c r="AH32" s="26"/>
      <c r="AI32" s="26"/>
      <c r="AJ32" s="26"/>
      <c r="AK32" s="26"/>
      <c r="AL32" s="26"/>
      <c r="AM32" s="26"/>
      <c r="AN32" s="20"/>
      <c r="AO32" s="26"/>
      <c r="AP32" s="26"/>
      <c r="AQ32" s="26"/>
      <c r="AR32" s="26"/>
      <c r="AS32" s="26"/>
      <c r="AT32" s="26"/>
      <c r="AU32" s="26"/>
      <c r="AV32" s="26"/>
      <c r="AW32" s="26"/>
      <c r="AX32" s="20"/>
      <c r="AY32" s="27"/>
      <c r="AZ32" s="27"/>
      <c r="BA32" s="27"/>
      <c r="BB32" s="27"/>
      <c r="BC32" s="27"/>
      <c r="BD32" s="27"/>
      <c r="BE32" s="27"/>
      <c r="BF32" s="27"/>
      <c r="BG32" s="27"/>
      <c r="BH32" s="20"/>
      <c r="BI32" s="27"/>
      <c r="BJ32" s="27"/>
      <c r="BK32" s="27"/>
      <c r="BL32" s="27"/>
      <c r="BM32" s="27"/>
      <c r="BN32" s="27"/>
      <c r="BO32" s="27"/>
      <c r="BP32" s="27"/>
      <c r="BQ32" s="27"/>
      <c r="BR32" s="2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20"/>
      <c r="CW32" s="27"/>
      <c r="CX32" s="27"/>
      <c r="CY32" s="27"/>
      <c r="CZ32" s="27"/>
      <c r="DA32" s="27"/>
      <c r="DB32" s="27"/>
      <c r="DC32" s="27"/>
      <c r="DD32" s="27"/>
      <c r="DE32" s="27"/>
      <c r="DF32" s="20"/>
      <c r="DG32" s="27"/>
      <c r="DH32" s="27"/>
      <c r="DI32" s="27"/>
      <c r="DJ32" s="27"/>
      <c r="DK32" s="27"/>
      <c r="DL32" s="27"/>
      <c r="DM32" s="27"/>
      <c r="DN32" s="27"/>
      <c r="DO32" s="27"/>
      <c r="DP32" s="23"/>
    </row>
    <row r="33" spans="1:120" ht="15" customHeight="1" x14ac:dyDescent="0.3">
      <c r="A33" s="27"/>
      <c r="B33" s="27"/>
      <c r="C33" s="27"/>
      <c r="D33" s="27"/>
      <c r="E33" s="27"/>
      <c r="F33" s="27"/>
      <c r="G33" s="27"/>
      <c r="H33" s="27"/>
      <c r="I33" s="27"/>
      <c r="J33" s="20"/>
      <c r="K33" s="27"/>
      <c r="L33" s="27"/>
      <c r="M33" s="27"/>
      <c r="N33" s="27"/>
      <c r="O33" s="27"/>
      <c r="P33" s="27"/>
      <c r="Q33" s="27"/>
      <c r="R33" s="27"/>
      <c r="S33" s="27"/>
      <c r="T33" s="20"/>
      <c r="U33" s="290"/>
      <c r="V33" s="290"/>
      <c r="W33" s="290"/>
      <c r="X33" s="29"/>
      <c r="Y33" s="26"/>
      <c r="Z33" s="26"/>
      <c r="AA33" s="26"/>
      <c r="AB33" s="26"/>
      <c r="AC33" s="26"/>
      <c r="AD33" s="20"/>
      <c r="AE33" s="26"/>
      <c r="AF33" s="26"/>
      <c r="AG33" s="26"/>
      <c r="AH33" s="26"/>
      <c r="AI33" s="26"/>
      <c r="AJ33" s="26"/>
      <c r="AK33" s="26"/>
      <c r="AL33" s="26"/>
      <c r="AM33" s="26"/>
      <c r="AN33" s="20"/>
      <c r="AO33" s="26"/>
      <c r="AP33" s="26"/>
      <c r="AQ33" s="26"/>
      <c r="AR33" s="26"/>
      <c r="AS33" s="26"/>
      <c r="AT33" s="26"/>
      <c r="AU33" s="26"/>
      <c r="AV33" s="26"/>
      <c r="AW33" s="26"/>
      <c r="AX33" s="20"/>
      <c r="AY33" s="27"/>
      <c r="AZ33" s="27"/>
      <c r="BA33" s="27"/>
      <c r="BB33" s="27"/>
      <c r="BC33" s="27"/>
      <c r="BD33" s="27"/>
      <c r="BE33" s="27"/>
      <c r="BF33" s="27"/>
      <c r="BG33" s="27"/>
      <c r="BH33" s="20"/>
      <c r="BI33" s="27"/>
      <c r="BJ33" s="27"/>
      <c r="BK33" s="27"/>
      <c r="BL33" s="27"/>
      <c r="BM33" s="27"/>
      <c r="BN33" s="27"/>
      <c r="BO33" s="27"/>
      <c r="BP33" s="27"/>
      <c r="BQ33" s="27"/>
      <c r="BR33" s="23"/>
      <c r="BS33" s="290"/>
      <c r="BT33" s="290"/>
      <c r="BU33" s="290"/>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20"/>
      <c r="CW33" s="27"/>
      <c r="CX33" s="27"/>
      <c r="CY33" s="27"/>
      <c r="CZ33" s="27"/>
      <c r="DA33" s="27"/>
      <c r="DB33" s="27"/>
      <c r="DC33" s="27"/>
      <c r="DD33" s="27"/>
      <c r="DE33" s="27"/>
      <c r="DF33" s="20"/>
      <c r="DG33" s="27"/>
      <c r="DH33" s="27"/>
      <c r="DI33" s="27"/>
      <c r="DJ33" s="27"/>
      <c r="DK33" s="27"/>
      <c r="DL33" s="27"/>
      <c r="DM33" s="27"/>
      <c r="DN33" s="27"/>
      <c r="DO33" s="27"/>
      <c r="DP33" s="23"/>
    </row>
    <row r="34" spans="1:120" ht="15" customHeight="1" x14ac:dyDescent="0.3">
      <c r="A34" s="27"/>
      <c r="B34" s="27"/>
      <c r="C34" s="27"/>
      <c r="D34" s="27"/>
      <c r="E34" s="27"/>
      <c r="F34" s="27"/>
      <c r="G34" s="27"/>
      <c r="H34" s="27"/>
      <c r="I34" s="27"/>
      <c r="J34" s="20"/>
      <c r="K34" s="27"/>
      <c r="L34" s="27"/>
      <c r="M34" s="27"/>
      <c r="N34" s="27"/>
      <c r="O34" s="27"/>
      <c r="P34" s="27"/>
      <c r="Q34" s="27"/>
      <c r="R34" s="27"/>
      <c r="S34" s="27"/>
      <c r="T34" s="20"/>
      <c r="U34" s="26"/>
      <c r="V34" s="26"/>
      <c r="W34" s="26"/>
      <c r="X34" s="26"/>
      <c r="Y34" s="26"/>
      <c r="Z34" s="26"/>
      <c r="AA34" s="26"/>
      <c r="AB34" s="26"/>
      <c r="AC34" s="26"/>
      <c r="AD34" s="20"/>
      <c r="AE34" s="26"/>
      <c r="AF34" s="26"/>
      <c r="AG34" s="26"/>
      <c r="AH34" s="26"/>
      <c r="AI34" s="26"/>
      <c r="AJ34" s="26"/>
      <c r="AK34" s="26"/>
      <c r="AL34" s="26"/>
      <c r="AM34" s="26"/>
      <c r="AN34" s="20"/>
      <c r="AO34" s="26"/>
      <c r="AP34" s="26"/>
      <c r="AQ34" s="26"/>
      <c r="AR34" s="26"/>
      <c r="AS34" s="26"/>
      <c r="AT34" s="26"/>
      <c r="AU34" s="26"/>
      <c r="AV34" s="26"/>
      <c r="AW34" s="26"/>
      <c r="AX34" s="20"/>
      <c r="AY34" s="27"/>
      <c r="AZ34" s="27"/>
      <c r="BA34" s="27"/>
      <c r="BB34" s="27"/>
      <c r="BC34" s="27"/>
      <c r="BD34" s="27"/>
      <c r="BE34" s="27"/>
      <c r="BF34" s="27"/>
      <c r="BG34" s="27"/>
      <c r="BH34" s="20"/>
      <c r="BI34" s="27"/>
      <c r="BJ34" s="27"/>
      <c r="BK34" s="27"/>
      <c r="BL34" s="27"/>
      <c r="BM34" s="27"/>
      <c r="BN34" s="27"/>
      <c r="BO34" s="27"/>
      <c r="BP34" s="27"/>
      <c r="BQ34" s="27"/>
      <c r="BR34" s="2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20"/>
      <c r="CW34" s="27"/>
      <c r="CX34" s="27"/>
      <c r="CY34" s="27"/>
      <c r="CZ34" s="27"/>
      <c r="DA34" s="27"/>
      <c r="DB34" s="27"/>
      <c r="DC34" s="27"/>
      <c r="DD34" s="27"/>
      <c r="DE34" s="27"/>
      <c r="DF34" s="20"/>
      <c r="DG34" s="27"/>
      <c r="DH34" s="27"/>
      <c r="DI34" s="27"/>
      <c r="DJ34" s="27"/>
      <c r="DK34" s="27"/>
      <c r="DL34" s="27"/>
      <c r="DM34" s="27"/>
      <c r="DN34" s="27"/>
      <c r="DO34" s="27"/>
      <c r="DP34" s="23"/>
    </row>
    <row r="35" spans="1:120" ht="15" customHeight="1" x14ac:dyDescent="0.3">
      <c r="A35" s="27"/>
      <c r="B35" s="27"/>
      <c r="C35" s="27"/>
      <c r="D35" s="27"/>
      <c r="E35" s="27"/>
      <c r="F35" s="27"/>
      <c r="G35" s="27"/>
      <c r="H35" s="27"/>
      <c r="I35" s="27"/>
      <c r="J35" s="20"/>
      <c r="K35" s="27"/>
      <c r="L35" s="27"/>
      <c r="M35" s="27"/>
      <c r="N35" s="27"/>
      <c r="O35" s="27"/>
      <c r="P35" s="27"/>
      <c r="Q35" s="27"/>
      <c r="R35" s="27"/>
      <c r="S35" s="27"/>
      <c r="T35" s="20"/>
      <c r="U35" s="26"/>
      <c r="V35" s="26"/>
      <c r="W35" s="26"/>
      <c r="X35" s="26"/>
      <c r="Y35" s="26"/>
      <c r="Z35" s="26"/>
      <c r="AA35" s="26"/>
      <c r="AB35" s="26"/>
      <c r="AC35" s="26"/>
      <c r="AD35" s="20"/>
      <c r="AE35" s="26"/>
      <c r="AF35" s="26"/>
      <c r="AG35" s="26"/>
      <c r="AH35" s="26"/>
      <c r="AI35" s="26"/>
      <c r="AJ35" s="26"/>
      <c r="AK35" s="26"/>
      <c r="AL35" s="26"/>
      <c r="AM35" s="26"/>
      <c r="AN35" s="20"/>
      <c r="AO35" s="26"/>
      <c r="AP35" s="26"/>
      <c r="AQ35" s="26"/>
      <c r="AR35" s="26"/>
      <c r="AS35" s="26"/>
      <c r="AT35" s="26"/>
      <c r="AU35" s="26"/>
      <c r="AV35" s="26"/>
      <c r="AW35" s="26"/>
      <c r="AX35" s="20"/>
      <c r="AY35" s="27"/>
      <c r="AZ35" s="27"/>
      <c r="BA35" s="27"/>
      <c r="BB35" s="27"/>
      <c r="BC35" s="27"/>
      <c r="BD35" s="27"/>
      <c r="BE35" s="27"/>
      <c r="BF35" s="27"/>
      <c r="BG35" s="27"/>
      <c r="BH35" s="20"/>
      <c r="BI35" s="27"/>
      <c r="BJ35" s="27"/>
      <c r="BK35" s="27"/>
      <c r="BL35" s="27"/>
      <c r="BM35" s="27"/>
      <c r="BN35" s="27"/>
      <c r="BO35" s="27"/>
      <c r="BP35" s="27"/>
      <c r="BQ35" s="27"/>
      <c r="BR35" s="2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20"/>
      <c r="CW35" s="27"/>
      <c r="CX35" s="27"/>
      <c r="CY35" s="27"/>
      <c r="CZ35" s="27"/>
      <c r="DA35" s="27"/>
      <c r="DB35" s="27"/>
      <c r="DC35" s="27"/>
      <c r="DD35" s="27"/>
      <c r="DE35" s="27"/>
      <c r="DF35" s="20"/>
      <c r="DG35" s="27"/>
      <c r="DH35" s="27"/>
      <c r="DI35" s="27"/>
      <c r="DJ35" s="27"/>
      <c r="DK35" s="27"/>
      <c r="DL35" s="27"/>
      <c r="DM35" s="27"/>
      <c r="DN35" s="27"/>
      <c r="DO35" s="27"/>
      <c r="DP35" s="23"/>
    </row>
    <row r="36" spans="1:120" ht="15" customHeight="1" x14ac:dyDescent="0.3">
      <c r="A36" s="27"/>
      <c r="B36" s="27"/>
      <c r="C36" s="27"/>
      <c r="D36" s="27"/>
      <c r="E36" s="27"/>
      <c r="F36" s="27"/>
      <c r="G36" s="27"/>
      <c r="H36" s="27"/>
      <c r="I36" s="27"/>
      <c r="J36" s="20"/>
      <c r="K36" s="27"/>
      <c r="L36" s="27"/>
      <c r="M36" s="27"/>
      <c r="N36" s="27"/>
      <c r="O36" s="27"/>
      <c r="P36" s="27"/>
      <c r="Q36" s="27"/>
      <c r="R36" s="27"/>
      <c r="S36" s="27"/>
      <c r="T36" s="20"/>
      <c r="U36" s="26"/>
      <c r="V36" s="26"/>
      <c r="W36" s="26"/>
      <c r="X36" s="26"/>
      <c r="Y36" s="26"/>
      <c r="Z36" s="26"/>
      <c r="AA36" s="26"/>
      <c r="AB36" s="26"/>
      <c r="AC36" s="26"/>
      <c r="AD36" s="20"/>
      <c r="AE36" s="26"/>
      <c r="AF36" s="26"/>
      <c r="AG36" s="26"/>
      <c r="AH36" s="26"/>
      <c r="AI36" s="26"/>
      <c r="AJ36" s="26"/>
      <c r="AK36" s="26"/>
      <c r="AL36" s="26"/>
      <c r="AM36" s="26"/>
      <c r="AN36" s="20"/>
      <c r="AO36" s="26"/>
      <c r="AP36" s="26"/>
      <c r="AQ36" s="26"/>
      <c r="AR36" s="26"/>
      <c r="AS36" s="26"/>
      <c r="AT36" s="26"/>
      <c r="AU36" s="26"/>
      <c r="AV36" s="26"/>
      <c r="AW36" s="26"/>
      <c r="AX36" s="20"/>
      <c r="AY36" s="27"/>
      <c r="AZ36" s="27"/>
      <c r="BA36" s="27"/>
      <c r="BB36" s="27"/>
      <c r="BC36" s="27"/>
      <c r="BD36" s="27"/>
      <c r="BE36" s="27"/>
      <c r="BF36" s="27"/>
      <c r="BG36" s="27"/>
      <c r="BH36" s="20"/>
      <c r="BI36" s="27"/>
      <c r="BJ36" s="27"/>
      <c r="BK36" s="27"/>
      <c r="BL36" s="27"/>
      <c r="BM36" s="27"/>
      <c r="BN36" s="27"/>
      <c r="BO36" s="27"/>
      <c r="BP36" s="27"/>
      <c r="BQ36" s="27"/>
      <c r="BR36" s="2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20"/>
      <c r="CW36" s="27"/>
      <c r="CX36" s="27"/>
      <c r="CY36" s="27"/>
      <c r="CZ36" s="27"/>
      <c r="DA36" s="27"/>
      <c r="DB36" s="27"/>
      <c r="DC36" s="27"/>
      <c r="DD36" s="27"/>
      <c r="DE36" s="27"/>
      <c r="DF36" s="20"/>
      <c r="DG36" s="27"/>
      <c r="DH36" s="27"/>
      <c r="DI36" s="27"/>
      <c r="DJ36" s="27"/>
      <c r="DK36" s="27"/>
      <c r="DL36" s="27"/>
      <c r="DM36" s="27"/>
      <c r="DN36" s="27"/>
      <c r="DO36" s="27"/>
      <c r="DP36" s="23"/>
    </row>
    <row r="37" spans="1:120" ht="15" customHeight="1" x14ac:dyDescent="0.3">
      <c r="A37" s="27"/>
      <c r="B37" s="27"/>
      <c r="C37" s="27"/>
      <c r="D37" s="27"/>
      <c r="E37" s="27"/>
      <c r="F37" s="27"/>
      <c r="G37" s="27"/>
      <c r="H37" s="27"/>
      <c r="I37" s="27"/>
      <c r="J37" s="20"/>
      <c r="K37" s="27"/>
      <c r="L37" s="27"/>
      <c r="M37" s="27"/>
      <c r="N37" s="27"/>
      <c r="O37" s="27"/>
      <c r="P37" s="27"/>
      <c r="Q37" s="27"/>
      <c r="R37" s="27"/>
      <c r="S37" s="27"/>
      <c r="T37" s="20"/>
      <c r="U37" s="26"/>
      <c r="V37" s="26"/>
      <c r="W37" s="26"/>
      <c r="X37" s="26"/>
      <c r="Y37" s="26"/>
      <c r="Z37" s="26"/>
      <c r="AA37" s="26"/>
      <c r="AB37" s="26"/>
      <c r="AC37" s="26"/>
      <c r="AD37" s="20"/>
      <c r="AE37" s="26"/>
      <c r="AF37" s="26"/>
      <c r="AG37" s="26"/>
      <c r="AH37" s="26"/>
      <c r="AI37" s="26"/>
      <c r="AJ37" s="26"/>
      <c r="AK37" s="26"/>
      <c r="AL37" s="26"/>
      <c r="AM37" s="26"/>
      <c r="AN37" s="20"/>
      <c r="AO37" s="26"/>
      <c r="AP37" s="26"/>
      <c r="AQ37" s="26"/>
      <c r="AR37" s="26"/>
      <c r="AS37" s="26"/>
      <c r="AT37" s="26"/>
      <c r="AU37" s="26"/>
      <c r="AV37" s="26"/>
      <c r="AW37" s="26"/>
      <c r="AX37" s="20"/>
      <c r="AY37" s="27"/>
      <c r="AZ37" s="27"/>
      <c r="BA37" s="27"/>
      <c r="BB37" s="27"/>
      <c r="BC37" s="27"/>
      <c r="BD37" s="27"/>
      <c r="BE37" s="27"/>
      <c r="BF37" s="27"/>
      <c r="BG37" s="27"/>
      <c r="BH37" s="20"/>
      <c r="BI37" s="27"/>
      <c r="BJ37" s="27"/>
      <c r="BK37" s="27"/>
      <c r="BL37" s="27"/>
      <c r="BM37" s="27"/>
      <c r="BN37" s="27"/>
      <c r="BO37" s="27"/>
      <c r="BP37" s="27"/>
      <c r="BQ37" s="27"/>
      <c r="BR37" s="2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20"/>
      <c r="CW37" s="27"/>
      <c r="CX37" s="27"/>
      <c r="CY37" s="27"/>
      <c r="CZ37" s="27"/>
      <c r="DA37" s="27"/>
      <c r="DB37" s="27"/>
      <c r="DC37" s="27"/>
      <c r="DD37" s="27"/>
      <c r="DE37" s="27"/>
      <c r="DF37" s="20"/>
      <c r="DG37" s="27"/>
      <c r="DH37" s="27"/>
      <c r="DI37" s="27"/>
      <c r="DJ37" s="27"/>
      <c r="DK37" s="27"/>
      <c r="DL37" s="27"/>
      <c r="DM37" s="27"/>
      <c r="DN37" s="27"/>
      <c r="DO37" s="27"/>
      <c r="DP37" s="23"/>
    </row>
    <row r="38" spans="1:120" ht="15" customHeight="1" x14ac:dyDescent="0.3">
      <c r="A38" s="27"/>
      <c r="B38" s="27"/>
      <c r="C38" s="27"/>
      <c r="D38" s="27"/>
      <c r="E38" s="27"/>
      <c r="F38" s="27"/>
      <c r="G38" s="27"/>
      <c r="H38" s="27"/>
      <c r="I38" s="27"/>
      <c r="J38" s="20"/>
      <c r="K38" s="27"/>
      <c r="L38" s="27"/>
      <c r="M38" s="27"/>
      <c r="N38" s="27"/>
      <c r="O38" s="27"/>
      <c r="P38" s="27"/>
      <c r="Q38" s="27"/>
      <c r="R38" s="27"/>
      <c r="S38" s="27"/>
      <c r="T38" s="20"/>
      <c r="U38" s="29"/>
      <c r="V38" s="26"/>
      <c r="W38" s="26"/>
      <c r="X38" s="26"/>
      <c r="Y38" s="26"/>
      <c r="Z38" s="26"/>
      <c r="AA38" s="26"/>
      <c r="AB38" s="26"/>
      <c r="AC38" s="26"/>
      <c r="AD38" s="20"/>
      <c r="AE38" s="26"/>
      <c r="AF38" s="26"/>
      <c r="AG38" s="26"/>
      <c r="AH38" s="26"/>
      <c r="AI38" s="26"/>
      <c r="AJ38" s="26"/>
      <c r="AK38" s="26"/>
      <c r="AL38" s="26"/>
      <c r="AM38" s="26"/>
      <c r="AN38" s="20"/>
      <c r="AO38" s="26"/>
      <c r="AP38" s="26"/>
      <c r="AQ38" s="26"/>
      <c r="AR38" s="26"/>
      <c r="AS38" s="26"/>
      <c r="AT38" s="26"/>
      <c r="AU38" s="26"/>
      <c r="AV38" s="26"/>
      <c r="AW38" s="26"/>
      <c r="AX38" s="20"/>
      <c r="AY38" s="27"/>
      <c r="AZ38" s="27"/>
      <c r="BA38" s="27"/>
      <c r="BB38" s="27"/>
      <c r="BC38" s="27"/>
      <c r="BD38" s="27"/>
      <c r="BE38" s="27"/>
      <c r="BF38" s="27"/>
      <c r="BG38" s="27"/>
      <c r="BH38" s="20"/>
      <c r="BI38" s="27"/>
      <c r="BJ38" s="27"/>
      <c r="BK38" s="27"/>
      <c r="BL38" s="27"/>
      <c r="BM38" s="27"/>
      <c r="BN38" s="27"/>
      <c r="BO38" s="27"/>
      <c r="BP38" s="27"/>
      <c r="BQ38" s="27"/>
      <c r="BR38" s="2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20"/>
      <c r="CW38" s="27"/>
      <c r="CX38" s="27"/>
      <c r="CY38" s="27"/>
      <c r="CZ38" s="27"/>
      <c r="DA38" s="27"/>
      <c r="DB38" s="27"/>
      <c r="DC38" s="27"/>
      <c r="DD38" s="27"/>
      <c r="DE38" s="27"/>
      <c r="DF38" s="20"/>
      <c r="DG38" s="27"/>
      <c r="DH38" s="27"/>
      <c r="DI38" s="27"/>
      <c r="DJ38" s="27"/>
      <c r="DK38" s="27"/>
      <c r="DL38" s="27"/>
      <c r="DM38" s="27"/>
      <c r="DN38" s="27"/>
      <c r="DO38" s="27"/>
      <c r="DP38" s="23"/>
    </row>
    <row r="39" spans="1:120" ht="15" customHeight="1" x14ac:dyDescent="0.3">
      <c r="A39" s="239" t="s">
        <v>662</v>
      </c>
      <c r="B39" s="239"/>
      <c r="C39" s="239"/>
      <c r="D39" s="239"/>
      <c r="E39" s="239"/>
      <c r="F39" s="239"/>
      <c r="G39" s="239"/>
      <c r="H39" s="239"/>
      <c r="I39" s="239"/>
      <c r="J39" s="20"/>
      <c r="K39" s="239" t="s">
        <v>663</v>
      </c>
      <c r="L39" s="239"/>
      <c r="M39" s="239"/>
      <c r="N39" s="239"/>
      <c r="O39" s="239"/>
      <c r="P39" s="239"/>
      <c r="Q39" s="239"/>
      <c r="R39" s="239"/>
      <c r="S39" s="239"/>
      <c r="T39" s="20"/>
      <c r="U39" s="239" t="str">
        <f>IF($U$22="Mass Based","Accumulator Mount 1",
IF($U$24="Front/Rear","Top Left Accumulator Mount",
IF($U$24="Top/Bottom","Front Left Accumulator Mount",
"Top Front Accumulator Mount")))</f>
        <v>Top Front Accumulator Mount</v>
      </c>
      <c r="V39" s="239"/>
      <c r="W39" s="239"/>
      <c r="X39" s="239"/>
      <c r="Y39" s="239"/>
      <c r="Z39" s="239"/>
      <c r="AA39" s="239"/>
      <c r="AB39" s="239"/>
      <c r="AC39" s="239"/>
      <c r="AD39" s="20"/>
      <c r="AE39" s="239" t="str">
        <f>IF($U$22="Mass Based","Accumulator Mount 2",
IF($U$24="Front/Rear","Top Right Accumulator Mount",
IF($U$24="Top/Bottom","Front Right Accumulator Mount",
"Top Rear Accumulator Mount")))</f>
        <v>Top Rear Accumulator Mount</v>
      </c>
      <c r="AF39" s="239"/>
      <c r="AG39" s="239"/>
      <c r="AH39" s="239"/>
      <c r="AI39" s="239"/>
      <c r="AJ39" s="239"/>
      <c r="AK39" s="239"/>
      <c r="AL39" s="239"/>
      <c r="AM39" s="239"/>
      <c r="AN39" s="20"/>
      <c r="AO39" s="239" t="str">
        <f>IF($U$22="Mass Based","Accumulator Mount 3",
IF($U$24="Front/Rear","Bottom Left Accumulator Mount",
IF($U$24="Top/Bottom","Rear Left Accumulator Mount",
"Bottom Front Accumulator Mount")))</f>
        <v>Bottom Front Accumulator Mount</v>
      </c>
      <c r="AP39" s="239"/>
      <c r="AQ39" s="239"/>
      <c r="AR39" s="239"/>
      <c r="AS39" s="239"/>
      <c r="AT39" s="239"/>
      <c r="AU39" s="239"/>
      <c r="AV39" s="239"/>
      <c r="AW39" s="239"/>
      <c r="AX39" s="20"/>
      <c r="AY39" s="239" t="str">
        <f>IF($U$22="Mass Based","Accumulator Mount 4",
IF($U$24="Front/Rear","Bottom Right Accumulator Mount",
IF($U$24="Top/Bottom","Rear Right Accumulator Mount",
"Bottom Rear Accumulator Mount")))</f>
        <v>Bottom Rear Accumulator Mount</v>
      </c>
      <c r="AZ39" s="239"/>
      <c r="BA39" s="239"/>
      <c r="BB39" s="239"/>
      <c r="BC39" s="239"/>
      <c r="BD39" s="239"/>
      <c r="BE39" s="239"/>
      <c r="BF39" s="239"/>
      <c r="BG39" s="239"/>
      <c r="BH39" s="20"/>
      <c r="BI39" s="239" t="s">
        <v>664</v>
      </c>
      <c r="BJ39" s="239"/>
      <c r="BK39" s="239"/>
      <c r="BL39" s="239"/>
      <c r="BM39" s="239"/>
      <c r="BN39" s="239"/>
      <c r="BO39" s="239"/>
      <c r="BP39" s="239"/>
      <c r="BQ39" s="239"/>
      <c r="BR39" s="23"/>
      <c r="BS39" s="239" t="str">
        <f>IF($U$22="Mass Based","Chassis Mount 1",
IF($U$25="Front/Rear","Top Left Chassis Mount",
IF($U$25="Top/Bottom","Front Left Chassis Mount",
"Top Front Chassis Mount")))</f>
        <v>Top Front Chassis Mount</v>
      </c>
      <c r="BT39" s="239"/>
      <c r="BU39" s="239"/>
      <c r="BV39" s="239"/>
      <c r="BW39" s="239"/>
      <c r="BX39" s="239"/>
      <c r="BY39" s="239"/>
      <c r="BZ39" s="239"/>
      <c r="CA39" s="239"/>
      <c r="CB39" s="20"/>
      <c r="CC39" s="239" t="str">
        <f>IF($U$22="Mass Based","Chassis Mount 2",
IF($U$25="Front/Rear","Top Right Chassis Mount",
IF($U$25="Top/Bottom","Front Right Chassis Mount",
"Top Rear Chassis Mount")))</f>
        <v>Top Rear Chassis Mount</v>
      </c>
      <c r="CD39" s="239"/>
      <c r="CE39" s="239"/>
      <c r="CF39" s="239"/>
      <c r="CG39" s="239"/>
      <c r="CH39" s="239"/>
      <c r="CI39" s="239"/>
      <c r="CJ39" s="239"/>
      <c r="CK39" s="239"/>
      <c r="CL39" s="20"/>
      <c r="CM39" s="239" t="str">
        <f>IF($U$22="Mass Based","Chassis Mount 3",
IF($U$25="Front/Rear","Bottom Left Chassis Mount",
IF($U$25="Top/Bottom","Rear Left Chassis Mount",
"Bottom Front Chassis Mount")))</f>
        <v>Bottom Front Chassis Mount</v>
      </c>
      <c r="CN39" s="239"/>
      <c r="CO39" s="239"/>
      <c r="CP39" s="239"/>
      <c r="CQ39" s="239"/>
      <c r="CR39" s="239"/>
      <c r="CS39" s="239"/>
      <c r="CT39" s="239"/>
      <c r="CU39" s="239"/>
      <c r="CV39" s="20"/>
      <c r="CW39" s="239" t="str">
        <f>IF($U$22="Mass Based","Chassis Mount 4",
IF($U$25="Front/Rear","Bottom Right Chassis Mount",
IF($U$25="Top/Bottom","Rear Right Chassis Mount",
"Bottom Rear Chassis Mount")))</f>
        <v>Bottom Rear Chassis Mount</v>
      </c>
      <c r="CX39" s="239"/>
      <c r="CY39" s="239"/>
      <c r="CZ39" s="239"/>
      <c r="DA39" s="239"/>
      <c r="DB39" s="239"/>
      <c r="DC39" s="239"/>
      <c r="DD39" s="239"/>
      <c r="DE39" s="239"/>
      <c r="DF39" s="20"/>
      <c r="DG39" s="239" t="s">
        <v>665</v>
      </c>
      <c r="DH39" s="239"/>
      <c r="DI39" s="239"/>
      <c r="DJ39" s="239"/>
      <c r="DK39" s="239"/>
      <c r="DL39" s="239"/>
      <c r="DM39" s="239"/>
      <c r="DN39" s="239"/>
      <c r="DO39" s="239"/>
      <c r="DP39" s="23"/>
    </row>
    <row r="40" spans="1:120" ht="15" customHeight="1" x14ac:dyDescent="0.3">
      <c r="A40" s="239"/>
      <c r="B40" s="239"/>
      <c r="C40" s="239"/>
      <c r="D40" s="239"/>
      <c r="E40" s="239"/>
      <c r="F40" s="239"/>
      <c r="G40" s="239"/>
      <c r="H40" s="239"/>
      <c r="I40" s="239"/>
      <c r="J40" s="20"/>
      <c r="K40" s="239"/>
      <c r="L40" s="239"/>
      <c r="M40" s="239"/>
      <c r="N40" s="239"/>
      <c r="O40" s="239"/>
      <c r="P40" s="239"/>
      <c r="Q40" s="239"/>
      <c r="R40" s="239"/>
      <c r="S40" s="239"/>
      <c r="T40" s="20"/>
      <c r="U40" s="239"/>
      <c r="V40" s="239"/>
      <c r="W40" s="239"/>
      <c r="X40" s="239"/>
      <c r="Y40" s="239"/>
      <c r="Z40" s="239"/>
      <c r="AA40" s="239"/>
      <c r="AB40" s="239"/>
      <c r="AC40" s="239"/>
      <c r="AD40" s="20"/>
      <c r="AE40" s="239"/>
      <c r="AF40" s="239"/>
      <c r="AG40" s="239"/>
      <c r="AH40" s="239"/>
      <c r="AI40" s="239"/>
      <c r="AJ40" s="239"/>
      <c r="AK40" s="239"/>
      <c r="AL40" s="239"/>
      <c r="AM40" s="239"/>
      <c r="AN40" s="20"/>
      <c r="AO40" s="239"/>
      <c r="AP40" s="239"/>
      <c r="AQ40" s="239"/>
      <c r="AR40" s="239"/>
      <c r="AS40" s="239"/>
      <c r="AT40" s="239"/>
      <c r="AU40" s="239"/>
      <c r="AV40" s="239"/>
      <c r="AW40" s="239"/>
      <c r="AX40" s="20"/>
      <c r="AY40" s="239"/>
      <c r="AZ40" s="239"/>
      <c r="BA40" s="239"/>
      <c r="BB40" s="239"/>
      <c r="BC40" s="239"/>
      <c r="BD40" s="239"/>
      <c r="BE40" s="239"/>
      <c r="BF40" s="239"/>
      <c r="BG40" s="239"/>
      <c r="BH40" s="20"/>
      <c r="BI40" s="239"/>
      <c r="BJ40" s="239"/>
      <c r="BK40" s="239"/>
      <c r="BL40" s="239"/>
      <c r="BM40" s="239"/>
      <c r="BN40" s="239"/>
      <c r="BO40" s="239"/>
      <c r="BP40" s="239"/>
      <c r="BQ40" s="239"/>
      <c r="BR40" s="23"/>
      <c r="BS40" s="239"/>
      <c r="BT40" s="239"/>
      <c r="BU40" s="239"/>
      <c r="BV40" s="239"/>
      <c r="BW40" s="239"/>
      <c r="BX40" s="239"/>
      <c r="BY40" s="239"/>
      <c r="BZ40" s="239"/>
      <c r="CA40" s="239"/>
      <c r="CB40" s="20"/>
      <c r="CC40" s="239"/>
      <c r="CD40" s="239"/>
      <c r="CE40" s="239"/>
      <c r="CF40" s="239"/>
      <c r="CG40" s="239"/>
      <c r="CH40" s="239"/>
      <c r="CI40" s="239"/>
      <c r="CJ40" s="239"/>
      <c r="CK40" s="239"/>
      <c r="CL40" s="20"/>
      <c r="CM40" s="239"/>
      <c r="CN40" s="239"/>
      <c r="CO40" s="239"/>
      <c r="CP40" s="239"/>
      <c r="CQ40" s="239"/>
      <c r="CR40" s="239"/>
      <c r="CS40" s="239"/>
      <c r="CT40" s="239"/>
      <c r="CU40" s="239"/>
      <c r="CV40" s="20"/>
      <c r="CW40" s="239"/>
      <c r="CX40" s="239"/>
      <c r="CY40" s="239"/>
      <c r="CZ40" s="239"/>
      <c r="DA40" s="239"/>
      <c r="DB40" s="239"/>
      <c r="DC40" s="239"/>
      <c r="DD40" s="239"/>
      <c r="DE40" s="239"/>
      <c r="DF40" s="20"/>
      <c r="DG40" s="239"/>
      <c r="DH40" s="239"/>
      <c r="DI40" s="239"/>
      <c r="DJ40" s="239"/>
      <c r="DK40" s="239"/>
      <c r="DL40" s="239"/>
      <c r="DM40" s="239"/>
      <c r="DN40" s="239"/>
      <c r="DO40" s="239"/>
      <c r="DP40" s="23"/>
    </row>
    <row r="41" spans="1:120" ht="15" customHeight="1" x14ac:dyDescent="0.3">
      <c r="A41" s="26"/>
      <c r="B41" s="26"/>
      <c r="C41" s="26"/>
      <c r="D41" s="26"/>
      <c r="E41" s="26"/>
      <c r="F41" s="26"/>
      <c r="G41" s="26"/>
      <c r="H41" s="26"/>
      <c r="I41" s="26"/>
      <c r="J41" s="20"/>
      <c r="K41" s="27"/>
      <c r="L41" s="27" t="s">
        <v>666</v>
      </c>
      <c r="M41" s="27"/>
      <c r="N41" s="27"/>
      <c r="O41" s="27"/>
      <c r="P41" s="27"/>
      <c r="Q41" s="27"/>
      <c r="R41" s="27"/>
      <c r="S41" s="27"/>
      <c r="T41" s="20"/>
      <c r="U41" s="26"/>
      <c r="V41" s="26"/>
      <c r="W41" s="26"/>
      <c r="X41" s="26"/>
      <c r="Y41" s="26"/>
      <c r="Z41" s="26"/>
      <c r="AA41" s="26"/>
      <c r="AB41" s="26"/>
      <c r="AC41" s="26"/>
      <c r="AD41" s="20"/>
      <c r="AE41" s="26"/>
      <c r="AF41" s="26"/>
      <c r="AG41" s="26"/>
      <c r="AH41" s="26"/>
      <c r="AI41" s="26"/>
      <c r="AJ41" s="26"/>
      <c r="AK41" s="26"/>
      <c r="AL41" s="26"/>
      <c r="AM41" s="26"/>
      <c r="AN41" s="20"/>
      <c r="AO41" s="239"/>
      <c r="AP41" s="239"/>
      <c r="AQ41" s="239"/>
      <c r="AR41" s="239"/>
      <c r="AS41" s="239"/>
      <c r="AT41" s="239"/>
      <c r="AU41" s="239"/>
      <c r="AV41" s="239"/>
      <c r="AW41" s="239"/>
      <c r="AX41" s="20"/>
      <c r="AY41" s="26"/>
      <c r="AZ41" s="26"/>
      <c r="BA41" s="26"/>
      <c r="BB41" s="26"/>
      <c r="BC41" s="26"/>
      <c r="BD41" s="26"/>
      <c r="BE41" s="26"/>
      <c r="BF41" s="26"/>
      <c r="BG41" s="26"/>
      <c r="BH41" s="20"/>
      <c r="BI41" s="27"/>
      <c r="BJ41" s="27"/>
      <c r="BK41" s="27"/>
      <c r="BL41" s="27"/>
      <c r="BM41" s="27"/>
      <c r="BN41" s="27"/>
      <c r="BO41" s="27"/>
      <c r="BP41" s="27"/>
      <c r="BQ41" s="27"/>
      <c r="BR41" s="23"/>
      <c r="BS41" s="26"/>
      <c r="BT41" s="26"/>
      <c r="BU41" s="26"/>
      <c r="BV41" s="26"/>
      <c r="BW41" s="26"/>
      <c r="BX41" s="26"/>
      <c r="BY41" s="26"/>
      <c r="BZ41" s="26"/>
      <c r="CA41" s="26"/>
      <c r="CB41" s="20"/>
      <c r="CC41" s="26"/>
      <c r="CD41" s="26"/>
      <c r="CE41" s="26"/>
      <c r="CF41" s="26"/>
      <c r="CG41" s="26"/>
      <c r="CH41" s="26"/>
      <c r="CI41" s="26"/>
      <c r="CJ41" s="26"/>
      <c r="CK41" s="26"/>
      <c r="CL41" s="20"/>
      <c r="CM41" s="239"/>
      <c r="CN41" s="239"/>
      <c r="CO41" s="239"/>
      <c r="CP41" s="239"/>
      <c r="CQ41" s="239"/>
      <c r="CR41" s="239"/>
      <c r="CS41" s="239"/>
      <c r="CT41" s="239"/>
      <c r="CU41" s="239"/>
      <c r="CV41" s="20"/>
      <c r="CW41" s="26"/>
      <c r="CX41" s="26"/>
      <c r="CY41" s="26"/>
      <c r="CZ41" s="26"/>
      <c r="DA41" s="26"/>
      <c r="DB41" s="26"/>
      <c r="DC41" s="26"/>
      <c r="DD41" s="26"/>
      <c r="DE41" s="26"/>
      <c r="DF41" s="20"/>
      <c r="DG41" s="27"/>
      <c r="DH41" s="27"/>
      <c r="DI41" s="27"/>
      <c r="DJ41" s="27"/>
      <c r="DK41" s="27"/>
      <c r="DL41" s="27"/>
      <c r="DM41" s="27"/>
      <c r="DN41" s="27"/>
      <c r="DO41" s="27"/>
      <c r="DP41" s="23"/>
    </row>
    <row r="42" spans="1:120" ht="15" customHeight="1" x14ac:dyDescent="0.3">
      <c r="A42" s="26"/>
      <c r="B42" s="26"/>
      <c r="C42" s="26"/>
      <c r="D42" s="26"/>
      <c r="E42" s="26"/>
      <c r="F42" s="26"/>
      <c r="G42" s="26"/>
      <c r="H42" s="26"/>
      <c r="I42" s="26"/>
      <c r="J42" s="20"/>
      <c r="K42" s="27"/>
      <c r="L42" s="27"/>
      <c r="M42" s="27"/>
      <c r="N42" s="27"/>
      <c r="O42" s="27"/>
      <c r="P42" s="27"/>
      <c r="Q42" s="27"/>
      <c r="R42" s="27"/>
      <c r="S42" s="27"/>
      <c r="T42" s="20"/>
      <c r="U42" s="26"/>
      <c r="V42" s="26"/>
      <c r="W42" s="26"/>
      <c r="X42" s="26"/>
      <c r="Y42" s="26"/>
      <c r="Z42" s="26"/>
      <c r="AA42" s="26"/>
      <c r="AB42" s="26"/>
      <c r="AC42" s="26"/>
      <c r="AD42" s="20"/>
      <c r="AE42" s="26"/>
      <c r="AF42" s="26"/>
      <c r="AG42" s="26"/>
      <c r="AH42" s="26"/>
      <c r="AI42" s="26"/>
      <c r="AJ42" s="26"/>
      <c r="AK42" s="26"/>
      <c r="AL42" s="26"/>
      <c r="AM42" s="26"/>
      <c r="AN42" s="20"/>
      <c r="AO42" s="239"/>
      <c r="AP42" s="239"/>
      <c r="AQ42" s="239"/>
      <c r="AR42" s="239"/>
      <c r="AS42" s="239"/>
      <c r="AT42" s="239"/>
      <c r="AU42" s="239"/>
      <c r="AV42" s="239"/>
      <c r="AW42" s="239"/>
      <c r="AX42" s="20"/>
      <c r="AY42" s="26"/>
      <c r="AZ42" s="26"/>
      <c r="BA42" s="26"/>
      <c r="BB42" s="26"/>
      <c r="BC42" s="26"/>
      <c r="BD42" s="26"/>
      <c r="BE42" s="26"/>
      <c r="BF42" s="26"/>
      <c r="BG42" s="26"/>
      <c r="BH42" s="20"/>
      <c r="BI42" s="27"/>
      <c r="BJ42" s="27"/>
      <c r="BK42" s="27"/>
      <c r="BL42" s="27"/>
      <c r="BM42" s="27"/>
      <c r="BN42" s="27"/>
      <c r="BO42" s="27"/>
      <c r="BP42" s="27"/>
      <c r="BQ42" s="27"/>
      <c r="BR42" s="23"/>
      <c r="BS42" s="26"/>
      <c r="BT42" s="26"/>
      <c r="BU42" s="26"/>
      <c r="BV42" s="26"/>
      <c r="BW42" s="26"/>
      <c r="BX42" s="26"/>
      <c r="BY42" s="26"/>
      <c r="BZ42" s="26"/>
      <c r="CA42" s="26"/>
      <c r="CB42" s="20"/>
      <c r="CC42" s="26"/>
      <c r="CD42" s="26"/>
      <c r="CE42" s="26"/>
      <c r="CF42" s="26"/>
      <c r="CG42" s="26"/>
      <c r="CH42" s="26"/>
      <c r="CI42" s="26"/>
      <c r="CJ42" s="26"/>
      <c r="CK42" s="26"/>
      <c r="CL42" s="20"/>
      <c r="CM42" s="239"/>
      <c r="CN42" s="239"/>
      <c r="CO42" s="239"/>
      <c r="CP42" s="239"/>
      <c r="CQ42" s="239"/>
      <c r="CR42" s="239"/>
      <c r="CS42" s="239"/>
      <c r="CT42" s="239"/>
      <c r="CU42" s="239"/>
      <c r="CV42" s="20"/>
      <c r="CW42" s="26"/>
      <c r="CX42" s="26"/>
      <c r="CY42" s="26"/>
      <c r="CZ42" s="26"/>
      <c r="DA42" s="26"/>
      <c r="DB42" s="26"/>
      <c r="DC42" s="26"/>
      <c r="DD42" s="26"/>
      <c r="DE42" s="26"/>
      <c r="DF42" s="20"/>
      <c r="DG42" s="27"/>
      <c r="DH42" s="27"/>
      <c r="DI42" s="27"/>
      <c r="DJ42" s="27"/>
      <c r="DK42" s="27"/>
      <c r="DL42" s="27"/>
      <c r="DM42" s="27"/>
      <c r="DN42" s="27"/>
      <c r="DO42" s="27"/>
      <c r="DP42" s="23"/>
    </row>
    <row r="43" spans="1:120" ht="15" customHeight="1" x14ac:dyDescent="0.3">
      <c r="A43" s="27"/>
      <c r="B43" s="27"/>
      <c r="C43" s="27"/>
      <c r="D43" s="27"/>
      <c r="E43" s="27"/>
      <c r="F43" s="27"/>
      <c r="G43" s="27"/>
      <c r="H43" s="27"/>
      <c r="I43" s="27"/>
      <c r="J43" s="20"/>
      <c r="K43" s="27"/>
      <c r="L43" s="27"/>
      <c r="M43" s="27"/>
      <c r="N43" s="27"/>
      <c r="O43" s="27"/>
      <c r="P43" s="27"/>
      <c r="Q43" s="27"/>
      <c r="R43" s="27"/>
      <c r="S43" s="27"/>
      <c r="T43" s="20"/>
      <c r="U43" s="26"/>
      <c r="V43" s="26"/>
      <c r="W43" s="26"/>
      <c r="X43" s="26"/>
      <c r="Y43" s="26"/>
      <c r="Z43" s="26"/>
      <c r="AA43" s="26"/>
      <c r="AB43" s="26"/>
      <c r="AC43" s="26"/>
      <c r="AD43" s="20"/>
      <c r="AE43" s="26"/>
      <c r="AF43" s="26"/>
      <c r="AG43" s="26"/>
      <c r="AH43" s="26"/>
      <c r="AI43" s="26"/>
      <c r="AJ43" s="26"/>
      <c r="AK43" s="26"/>
      <c r="AL43" s="26"/>
      <c r="AM43" s="26"/>
      <c r="AN43" s="20"/>
      <c r="AO43" s="26"/>
      <c r="AP43" s="26"/>
      <c r="AQ43" s="26"/>
      <c r="AR43" s="26"/>
      <c r="AS43" s="26"/>
      <c r="AT43" s="26"/>
      <c r="AU43" s="26"/>
      <c r="AV43" s="26"/>
      <c r="AW43" s="26"/>
      <c r="AX43" s="20"/>
      <c r="AY43" s="27"/>
      <c r="AZ43" s="27"/>
      <c r="BA43" s="27"/>
      <c r="BB43" s="27"/>
      <c r="BC43" s="27"/>
      <c r="BD43" s="27"/>
      <c r="BE43" s="27"/>
      <c r="BF43" s="27"/>
      <c r="BG43" s="27"/>
      <c r="BH43" s="20"/>
      <c r="BI43" s="27"/>
      <c r="BJ43" s="27"/>
      <c r="BK43" s="27"/>
      <c r="BL43" s="27"/>
      <c r="BM43" s="27"/>
      <c r="BN43" s="27"/>
      <c r="BO43" s="27"/>
      <c r="BP43" s="27"/>
      <c r="BQ43" s="27"/>
      <c r="BR43" s="2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20"/>
      <c r="CW43" s="27"/>
      <c r="CX43" s="27"/>
      <c r="CY43" s="27"/>
      <c r="CZ43" s="27"/>
      <c r="DA43" s="27"/>
      <c r="DB43" s="27"/>
      <c r="DC43" s="27"/>
      <c r="DD43" s="27"/>
      <c r="DE43" s="27"/>
      <c r="DF43" s="20"/>
      <c r="DG43" s="27"/>
      <c r="DH43" s="27"/>
      <c r="DI43" s="27"/>
      <c r="DJ43" s="27"/>
      <c r="DK43" s="27"/>
      <c r="DL43" s="27"/>
      <c r="DM43" s="27"/>
      <c r="DN43" s="27"/>
      <c r="DO43" s="27"/>
      <c r="DP43" s="23"/>
    </row>
    <row r="44" spans="1:120" ht="15" customHeight="1" x14ac:dyDescent="0.3">
      <c r="A44" s="27"/>
      <c r="B44" s="27"/>
      <c r="C44" s="27"/>
      <c r="D44" s="27"/>
      <c r="E44" s="27"/>
      <c r="F44" s="27"/>
      <c r="G44" s="27"/>
      <c r="H44" s="27"/>
      <c r="I44" s="27"/>
      <c r="J44" s="20"/>
      <c r="K44" s="27"/>
      <c r="L44" s="27"/>
      <c r="M44" s="27"/>
      <c r="N44" s="27"/>
      <c r="O44" s="27"/>
      <c r="P44" s="27"/>
      <c r="Q44" s="27"/>
      <c r="R44" s="27"/>
      <c r="S44" s="27"/>
      <c r="T44" s="20"/>
      <c r="U44" s="26"/>
      <c r="V44" s="26"/>
      <c r="W44" s="26"/>
      <c r="X44" s="26"/>
      <c r="Y44" s="26"/>
      <c r="Z44" s="26"/>
      <c r="AA44" s="26"/>
      <c r="AB44" s="26"/>
      <c r="AC44" s="26"/>
      <c r="AD44" s="20"/>
      <c r="AE44" s="26"/>
      <c r="AF44" s="26"/>
      <c r="AG44" s="26"/>
      <c r="AH44" s="26"/>
      <c r="AI44" s="26"/>
      <c r="AJ44" s="26"/>
      <c r="AK44" s="26"/>
      <c r="AL44" s="26"/>
      <c r="AM44" s="26"/>
      <c r="AN44" s="20"/>
      <c r="AO44" s="26"/>
      <c r="AP44" s="26"/>
      <c r="AQ44" s="26"/>
      <c r="AR44" s="26"/>
      <c r="AS44" s="26"/>
      <c r="AT44" s="26"/>
      <c r="AU44" s="26"/>
      <c r="AV44" s="26"/>
      <c r="AW44" s="26"/>
      <c r="AX44" s="20"/>
      <c r="AY44" s="27"/>
      <c r="AZ44" s="27"/>
      <c r="BA44" s="27"/>
      <c r="BB44" s="27"/>
      <c r="BC44" s="27"/>
      <c r="BD44" s="27"/>
      <c r="BE44" s="27"/>
      <c r="BF44" s="27"/>
      <c r="BG44" s="27"/>
      <c r="BH44" s="20"/>
      <c r="BI44" s="27"/>
      <c r="BJ44" s="27"/>
      <c r="BK44" s="27"/>
      <c r="BL44" s="27"/>
      <c r="BM44" s="27"/>
      <c r="BN44" s="27"/>
      <c r="BO44" s="27"/>
      <c r="BP44" s="27"/>
      <c r="BQ44" s="27"/>
      <c r="BR44" s="2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20"/>
      <c r="CW44" s="27"/>
      <c r="CX44" s="27"/>
      <c r="CY44" s="27"/>
      <c r="CZ44" s="27"/>
      <c r="DA44" s="27"/>
      <c r="DB44" s="27"/>
      <c r="DC44" s="27"/>
      <c r="DD44" s="27"/>
      <c r="DE44" s="27"/>
      <c r="DF44" s="20"/>
      <c r="DG44" s="27"/>
      <c r="DH44" s="27"/>
      <c r="DI44" s="27"/>
      <c r="DJ44" s="27"/>
      <c r="DK44" s="27"/>
      <c r="DL44" s="27"/>
      <c r="DM44" s="27"/>
      <c r="DN44" s="27"/>
      <c r="DO44" s="27"/>
      <c r="DP44" s="23"/>
    </row>
    <row r="45" spans="1:120" ht="15" customHeight="1" x14ac:dyDescent="0.3">
      <c r="A45" s="27"/>
      <c r="B45" s="27" t="s">
        <v>667</v>
      </c>
      <c r="C45" s="27"/>
      <c r="D45" s="27"/>
      <c r="E45" s="27"/>
      <c r="F45" s="27"/>
      <c r="G45" s="27"/>
      <c r="H45" s="27"/>
      <c r="I45" s="27"/>
      <c r="J45" s="20"/>
      <c r="K45" s="27"/>
      <c r="L45" s="27" t="s">
        <v>668</v>
      </c>
      <c r="M45" s="27"/>
      <c r="N45" s="27"/>
      <c r="O45" s="27"/>
      <c r="P45" s="27"/>
      <c r="Q45" s="27"/>
      <c r="R45" s="27"/>
      <c r="S45" s="27"/>
      <c r="T45" s="20"/>
      <c r="U45" s="26"/>
      <c r="V45" s="26"/>
      <c r="W45" s="26"/>
      <c r="X45" s="26"/>
      <c r="Y45" s="26"/>
      <c r="Z45" s="26"/>
      <c r="AA45" s="26"/>
      <c r="AB45" s="26"/>
      <c r="AC45" s="26"/>
      <c r="AD45" s="20"/>
      <c r="AE45" s="26"/>
      <c r="AF45" s="26"/>
      <c r="AG45" s="26"/>
      <c r="AH45" s="26"/>
      <c r="AI45" s="26"/>
      <c r="AJ45" s="26"/>
      <c r="AK45" s="26"/>
      <c r="AL45" s="26"/>
      <c r="AM45" s="26"/>
      <c r="AN45" s="20"/>
      <c r="AO45" s="26"/>
      <c r="AP45" s="26"/>
      <c r="AQ45" s="26"/>
      <c r="AR45" s="26"/>
      <c r="AS45" s="26"/>
      <c r="AT45" s="26"/>
      <c r="AU45" s="26"/>
      <c r="AV45" s="26"/>
      <c r="AW45" s="26"/>
      <c r="AX45" s="20"/>
      <c r="AY45" s="27"/>
      <c r="AZ45" s="27"/>
      <c r="BA45" s="27"/>
      <c r="BB45" s="27"/>
      <c r="BC45" s="27"/>
      <c r="BD45" s="27"/>
      <c r="BE45" s="27"/>
      <c r="BF45" s="27"/>
      <c r="BG45" s="27"/>
      <c r="BH45" s="20"/>
      <c r="BI45" s="27"/>
      <c r="BJ45" s="27"/>
      <c r="BK45" s="27"/>
      <c r="BL45" s="27"/>
      <c r="BM45" s="27"/>
      <c r="BN45" s="27"/>
      <c r="BO45" s="27"/>
      <c r="BP45" s="27"/>
      <c r="BQ45" s="27"/>
      <c r="BR45" s="2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20"/>
      <c r="CW45" s="27"/>
      <c r="CX45" s="27"/>
      <c r="CY45" s="27"/>
      <c r="CZ45" s="27"/>
      <c r="DA45" s="27"/>
      <c r="DB45" s="27"/>
      <c r="DC45" s="27"/>
      <c r="DD45" s="27"/>
      <c r="DE45" s="27"/>
      <c r="DF45" s="20"/>
      <c r="DG45" s="27"/>
      <c r="DH45" s="27"/>
      <c r="DI45" s="27"/>
      <c r="DJ45" s="27"/>
      <c r="DK45" s="27"/>
      <c r="DL45" s="27"/>
      <c r="DM45" s="27"/>
      <c r="DN45" s="27"/>
      <c r="DO45" s="27"/>
      <c r="DP45" s="23"/>
    </row>
    <row r="46" spans="1:120" ht="15" customHeight="1" x14ac:dyDescent="0.3">
      <c r="A46" s="27"/>
      <c r="B46" s="27" t="s">
        <v>669</v>
      </c>
      <c r="C46" s="27"/>
      <c r="D46" s="27"/>
      <c r="E46" s="27"/>
      <c r="F46" s="27"/>
      <c r="G46" s="27"/>
      <c r="H46" s="27"/>
      <c r="I46" s="27"/>
      <c r="J46" s="20"/>
      <c r="K46" s="27"/>
      <c r="L46" s="27" t="s">
        <v>670</v>
      </c>
      <c r="M46" s="27"/>
      <c r="N46" s="27"/>
      <c r="O46" s="27"/>
      <c r="P46" s="27"/>
      <c r="Q46" s="27"/>
      <c r="R46" s="27"/>
      <c r="S46" s="27"/>
      <c r="T46" s="20"/>
      <c r="U46" s="26"/>
      <c r="V46" s="26"/>
      <c r="W46" s="26"/>
      <c r="X46" s="26"/>
      <c r="Y46" s="26"/>
      <c r="Z46" s="26"/>
      <c r="AA46" s="26"/>
      <c r="AB46" s="26"/>
      <c r="AC46" s="26"/>
      <c r="AD46" s="20"/>
      <c r="AE46" s="26"/>
      <c r="AF46" s="26"/>
      <c r="AG46" s="26"/>
      <c r="AH46" s="26"/>
      <c r="AI46" s="26"/>
      <c r="AJ46" s="26"/>
      <c r="AK46" s="26"/>
      <c r="AL46" s="26"/>
      <c r="AM46" s="26"/>
      <c r="AN46" s="20"/>
      <c r="AO46" s="26"/>
      <c r="AP46" s="26"/>
      <c r="AQ46" s="26"/>
      <c r="AR46" s="26"/>
      <c r="AS46" s="26"/>
      <c r="AT46" s="26"/>
      <c r="AU46" s="26"/>
      <c r="AV46" s="26"/>
      <c r="AW46" s="26"/>
      <c r="AX46" s="20"/>
      <c r="AY46" s="27"/>
      <c r="AZ46" s="27"/>
      <c r="BA46" s="27"/>
      <c r="BB46" s="27"/>
      <c r="BC46" s="27"/>
      <c r="BD46" s="27"/>
      <c r="BE46" s="27"/>
      <c r="BF46" s="27"/>
      <c r="BG46" s="27"/>
      <c r="BH46" s="20"/>
      <c r="BI46" s="27"/>
      <c r="BJ46" s="27"/>
      <c r="BK46" s="27"/>
      <c r="BL46" s="27"/>
      <c r="BM46" s="27"/>
      <c r="BN46" s="27"/>
      <c r="BO46" s="27"/>
      <c r="BP46" s="27"/>
      <c r="BQ46" s="27"/>
      <c r="BR46" s="2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20"/>
      <c r="CW46" s="27"/>
      <c r="CX46" s="27"/>
      <c r="CY46" s="27"/>
      <c r="CZ46" s="27"/>
      <c r="DA46" s="27"/>
      <c r="DB46" s="27"/>
      <c r="DC46" s="27"/>
      <c r="DD46" s="27"/>
      <c r="DE46" s="27"/>
      <c r="DF46" s="20"/>
      <c r="DG46" s="27"/>
      <c r="DH46" s="27"/>
      <c r="DI46" s="27"/>
      <c r="DJ46" s="27"/>
      <c r="DK46" s="27"/>
      <c r="DL46" s="27"/>
      <c r="DM46" s="27"/>
      <c r="DN46" s="27"/>
      <c r="DO46" s="27"/>
      <c r="DP46" s="23"/>
    </row>
    <row r="47" spans="1:120" ht="15" customHeight="1" x14ac:dyDescent="0.3">
      <c r="A47" s="27"/>
      <c r="B47" s="27" t="s">
        <v>666</v>
      </c>
      <c r="C47" s="27"/>
      <c r="D47" s="27"/>
      <c r="E47" s="27"/>
      <c r="F47" s="27"/>
      <c r="G47" s="27"/>
      <c r="H47" s="27"/>
      <c r="I47" s="27"/>
      <c r="J47" s="20"/>
      <c r="K47" s="27"/>
      <c r="L47" s="315" t="s">
        <v>671</v>
      </c>
      <c r="M47" s="315"/>
      <c r="N47" s="315"/>
      <c r="O47" s="315"/>
      <c r="P47" s="315"/>
      <c r="Q47" s="315"/>
      <c r="R47" s="315"/>
      <c r="S47" s="27"/>
      <c r="T47" s="20"/>
      <c r="U47" s="26"/>
      <c r="V47" s="26"/>
      <c r="W47" s="26"/>
      <c r="X47" s="26"/>
      <c r="Y47" s="26"/>
      <c r="Z47" s="26"/>
      <c r="AA47" s="26"/>
      <c r="AB47" s="26"/>
      <c r="AC47" s="26"/>
      <c r="AD47" s="20"/>
      <c r="AE47" s="26"/>
      <c r="AF47" s="26"/>
      <c r="AG47" s="26"/>
      <c r="AH47" s="26"/>
      <c r="AI47" s="26"/>
      <c r="AJ47" s="26"/>
      <c r="AK47" s="26"/>
      <c r="AL47" s="26"/>
      <c r="AM47" s="26"/>
      <c r="AN47" s="20"/>
      <c r="AO47" s="26"/>
      <c r="AP47" s="26"/>
      <c r="AQ47" s="26"/>
      <c r="AR47" s="26"/>
      <c r="AS47" s="26"/>
      <c r="AT47" s="26"/>
      <c r="AU47" s="26"/>
      <c r="AV47" s="26"/>
      <c r="AW47" s="26"/>
      <c r="AX47" s="20"/>
      <c r="AY47" s="27"/>
      <c r="AZ47" s="27"/>
      <c r="BA47" s="27"/>
      <c r="BB47" s="27"/>
      <c r="BC47" s="27"/>
      <c r="BD47" s="27"/>
      <c r="BE47" s="27"/>
      <c r="BF47" s="27"/>
      <c r="BG47" s="27"/>
      <c r="BH47" s="20"/>
      <c r="BI47" s="27"/>
      <c r="BJ47" s="315"/>
      <c r="BK47" s="315"/>
      <c r="BL47" s="315"/>
      <c r="BM47" s="315"/>
      <c r="BN47" s="315"/>
      <c r="BO47" s="315"/>
      <c r="BP47" s="315"/>
      <c r="BQ47" s="27"/>
      <c r="BR47" s="2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20"/>
      <c r="CW47" s="27"/>
      <c r="CX47" s="27"/>
      <c r="CY47" s="27"/>
      <c r="CZ47" s="27"/>
      <c r="DA47" s="27"/>
      <c r="DB47" s="27"/>
      <c r="DC47" s="27"/>
      <c r="DD47" s="27"/>
      <c r="DE47" s="27"/>
      <c r="DF47" s="20"/>
      <c r="DG47" s="27"/>
      <c r="DH47" s="315"/>
      <c r="DI47" s="315"/>
      <c r="DJ47" s="315"/>
      <c r="DK47" s="315"/>
      <c r="DL47" s="315"/>
      <c r="DM47" s="315"/>
      <c r="DN47" s="315"/>
      <c r="DO47" s="27"/>
      <c r="DP47" s="23"/>
    </row>
    <row r="48" spans="1:120" ht="15" customHeight="1" x14ac:dyDescent="0.3">
      <c r="A48" s="27"/>
      <c r="B48" s="27"/>
      <c r="C48" s="27"/>
      <c r="D48" s="27"/>
      <c r="E48" s="27"/>
      <c r="F48" s="27"/>
      <c r="G48" s="27"/>
      <c r="H48" s="27"/>
      <c r="I48" s="27"/>
      <c r="J48" s="23"/>
      <c r="K48" s="27"/>
      <c r="L48" s="315"/>
      <c r="M48" s="315"/>
      <c r="N48" s="315"/>
      <c r="O48" s="315"/>
      <c r="P48" s="315"/>
      <c r="Q48" s="315"/>
      <c r="R48" s="315"/>
      <c r="S48" s="27"/>
      <c r="T48" s="23"/>
      <c r="U48" s="27"/>
      <c r="V48" s="27"/>
      <c r="W48" s="27"/>
      <c r="X48" s="27"/>
      <c r="Y48" s="27"/>
      <c r="Z48" s="27"/>
      <c r="AA48" s="27"/>
      <c r="AB48" s="27"/>
      <c r="AC48" s="27"/>
      <c r="AD48" s="23"/>
      <c r="AE48" s="27"/>
      <c r="AF48" s="27"/>
      <c r="AG48" s="27"/>
      <c r="AH48" s="27"/>
      <c r="AI48" s="27"/>
      <c r="AJ48" s="27"/>
      <c r="AK48" s="27"/>
      <c r="AL48" s="27"/>
      <c r="AM48" s="27"/>
      <c r="AN48" s="23"/>
      <c r="AO48" s="27"/>
      <c r="AP48" s="27"/>
      <c r="AQ48" s="27"/>
      <c r="AR48" s="27"/>
      <c r="AS48" s="27"/>
      <c r="AT48" s="27"/>
      <c r="AU48" s="27"/>
      <c r="AV48" s="27"/>
      <c r="AW48" s="27"/>
      <c r="AX48" s="23"/>
      <c r="AY48" s="27"/>
      <c r="AZ48" s="27"/>
      <c r="BA48" s="27"/>
      <c r="BB48" s="27"/>
      <c r="BC48" s="27"/>
      <c r="BD48" s="27"/>
      <c r="BE48" s="27"/>
      <c r="BF48" s="27"/>
      <c r="BG48" s="27"/>
      <c r="BH48" s="23"/>
      <c r="BI48" s="27"/>
      <c r="BJ48" s="315"/>
      <c r="BK48" s="315"/>
      <c r="BL48" s="315"/>
      <c r="BM48" s="315"/>
      <c r="BN48" s="315"/>
      <c r="BO48" s="315"/>
      <c r="BP48" s="315"/>
      <c r="BQ48" s="27"/>
      <c r="BR48" s="23"/>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V48" s="23"/>
      <c r="CW48" s="27"/>
      <c r="CX48" s="27"/>
      <c r="CY48" s="27"/>
      <c r="CZ48" s="27"/>
      <c r="DA48" s="27"/>
      <c r="DB48" s="27"/>
      <c r="DC48" s="27"/>
      <c r="DD48" s="27"/>
      <c r="DE48" s="27"/>
      <c r="DF48" s="23"/>
      <c r="DG48" s="27"/>
      <c r="DH48" s="315"/>
      <c r="DI48" s="315"/>
      <c r="DJ48" s="315"/>
      <c r="DK48" s="315"/>
      <c r="DL48" s="315"/>
      <c r="DM48" s="315"/>
      <c r="DN48" s="315"/>
      <c r="DO48" s="27"/>
      <c r="DP48" s="23"/>
    </row>
    <row r="49" spans="1:129" ht="15" customHeight="1" x14ac:dyDescent="0.3">
      <c r="A49" s="27"/>
      <c r="B49" s="27"/>
      <c r="C49" s="27"/>
      <c r="D49" s="27"/>
      <c r="E49" s="27"/>
      <c r="F49" s="27"/>
      <c r="G49" s="27"/>
      <c r="H49" s="27"/>
      <c r="I49" s="27"/>
      <c r="J49" s="23"/>
      <c r="K49" s="27"/>
      <c r="L49" s="315" t="s">
        <v>672</v>
      </c>
      <c r="M49" s="315"/>
      <c r="N49" s="315"/>
      <c r="O49" s="315"/>
      <c r="P49" s="315"/>
      <c r="Q49" s="315"/>
      <c r="R49" s="315"/>
      <c r="S49" s="27"/>
      <c r="T49" s="23"/>
      <c r="U49" s="27"/>
      <c r="V49" s="27"/>
      <c r="W49" s="27"/>
      <c r="X49" s="27"/>
      <c r="Y49" s="27"/>
      <c r="Z49" s="27"/>
      <c r="AA49" s="27"/>
      <c r="AB49" s="27"/>
      <c r="AC49" s="27"/>
      <c r="AD49" s="23"/>
      <c r="AE49" s="27"/>
      <c r="AF49" s="27"/>
      <c r="AG49" s="27"/>
      <c r="AH49" s="27"/>
      <c r="AI49" s="27"/>
      <c r="AJ49" s="27"/>
      <c r="AK49" s="27"/>
      <c r="AL49" s="27"/>
      <c r="AM49" s="27"/>
      <c r="AN49" s="23"/>
      <c r="AO49" s="27"/>
      <c r="AP49" s="27"/>
      <c r="AQ49" s="27"/>
      <c r="AR49" s="27"/>
      <c r="AS49" s="27"/>
      <c r="AT49" s="27"/>
      <c r="AU49" s="27"/>
      <c r="AV49" s="27"/>
      <c r="AW49" s="27"/>
      <c r="AX49" s="23"/>
      <c r="AY49" s="27"/>
      <c r="AZ49" s="27"/>
      <c r="BA49" s="27"/>
      <c r="BB49" s="27"/>
      <c r="BC49" s="27"/>
      <c r="BD49" s="27"/>
      <c r="BE49" s="27"/>
      <c r="BF49" s="27"/>
      <c r="BG49" s="27"/>
      <c r="BH49" s="23"/>
      <c r="BI49" s="27"/>
      <c r="BJ49" s="315"/>
      <c r="BK49" s="315"/>
      <c r="BL49" s="315"/>
      <c r="BM49" s="315"/>
      <c r="BN49" s="315"/>
      <c r="BO49" s="315"/>
      <c r="BP49" s="315"/>
      <c r="BQ49" s="27"/>
      <c r="BR49" s="23"/>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c r="CV49" s="23"/>
      <c r="CW49" s="27"/>
      <c r="CX49" s="27"/>
      <c r="CY49" s="27"/>
      <c r="CZ49" s="27"/>
      <c r="DA49" s="27"/>
      <c r="DB49" s="27"/>
      <c r="DC49" s="27"/>
      <c r="DD49" s="27"/>
      <c r="DE49" s="27"/>
      <c r="DF49" s="23"/>
      <c r="DG49" s="27"/>
      <c r="DH49" s="315"/>
      <c r="DI49" s="315"/>
      <c r="DJ49" s="315"/>
      <c r="DK49" s="315"/>
      <c r="DL49" s="315"/>
      <c r="DM49" s="315"/>
      <c r="DN49" s="315"/>
      <c r="DO49" s="27"/>
      <c r="DP49" s="23"/>
    </row>
    <row r="50" spans="1:129" ht="15" customHeight="1" x14ac:dyDescent="0.3">
      <c r="A50" s="27"/>
      <c r="B50" s="27"/>
      <c r="C50" s="27"/>
      <c r="D50" s="27"/>
      <c r="E50" s="27"/>
      <c r="F50" s="27"/>
      <c r="G50" s="27"/>
      <c r="H50" s="27"/>
      <c r="I50" s="27"/>
      <c r="J50" s="42"/>
      <c r="K50" s="27"/>
      <c r="L50" s="315"/>
      <c r="M50" s="315"/>
      <c r="N50" s="315"/>
      <c r="O50" s="315"/>
      <c r="P50" s="315"/>
      <c r="Q50" s="315"/>
      <c r="R50" s="315"/>
      <c r="S50" s="27"/>
      <c r="T50" s="42"/>
      <c r="U50" s="27"/>
      <c r="V50" s="27"/>
      <c r="W50" s="27"/>
      <c r="X50" s="27"/>
      <c r="Y50" s="27"/>
      <c r="Z50" s="27"/>
      <c r="AA50" s="27"/>
      <c r="AB50" s="27"/>
      <c r="AC50" s="27"/>
      <c r="AD50" s="42"/>
      <c r="AE50" s="27"/>
      <c r="AF50" s="27"/>
      <c r="AG50" s="27"/>
      <c r="AH50" s="27"/>
      <c r="AI50" s="27"/>
      <c r="AJ50" s="27"/>
      <c r="AK50" s="27"/>
      <c r="AL50" s="27"/>
      <c r="AM50" s="27"/>
      <c r="AN50" s="42"/>
      <c r="AO50" s="27"/>
      <c r="AP50" s="27"/>
      <c r="AQ50" s="27"/>
      <c r="AR50" s="27"/>
      <c r="AS50" s="27"/>
      <c r="AT50" s="27"/>
      <c r="AU50" s="27"/>
      <c r="AV50" s="27"/>
      <c r="AW50" s="27"/>
      <c r="AX50" s="42"/>
      <c r="AY50" s="27"/>
      <c r="AZ50" s="27"/>
      <c r="BA50" s="27"/>
      <c r="BB50" s="27"/>
      <c r="BC50" s="27"/>
      <c r="BD50" s="27"/>
      <c r="BE50" s="27"/>
      <c r="BF50" s="27"/>
      <c r="BG50" s="27"/>
      <c r="BH50" s="42"/>
      <c r="BI50" s="27"/>
      <c r="BJ50" s="315"/>
      <c r="BK50" s="315"/>
      <c r="BL50" s="315"/>
      <c r="BM50" s="315"/>
      <c r="BN50" s="315"/>
      <c r="BO50" s="315"/>
      <c r="BP50" s="315"/>
      <c r="BQ50" s="27"/>
      <c r="BR50" s="23"/>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2"/>
      <c r="CW50" s="27"/>
      <c r="CX50" s="27"/>
      <c r="CY50" s="27"/>
      <c r="CZ50" s="27"/>
      <c r="DA50" s="27"/>
      <c r="DB50" s="27"/>
      <c r="DC50" s="27"/>
      <c r="DD50" s="27"/>
      <c r="DE50" s="27"/>
      <c r="DF50" s="42"/>
      <c r="DG50" s="27"/>
      <c r="DH50" s="315"/>
      <c r="DI50" s="315"/>
      <c r="DJ50" s="315"/>
      <c r="DK50" s="315"/>
      <c r="DL50" s="315"/>
      <c r="DM50" s="315"/>
      <c r="DN50" s="315"/>
      <c r="DO50" s="27"/>
      <c r="DP50" s="23"/>
    </row>
    <row r="51" spans="1:129" ht="15" customHeight="1" x14ac:dyDescent="0.3">
      <c r="A51" s="27"/>
      <c r="B51" s="27"/>
      <c r="C51" s="27"/>
      <c r="D51" s="27"/>
      <c r="E51" s="27"/>
      <c r="F51" s="27"/>
      <c r="G51" s="27"/>
      <c r="H51" s="27"/>
      <c r="I51" s="27"/>
      <c r="J51" s="42"/>
      <c r="K51" s="27"/>
      <c r="L51" s="27"/>
      <c r="M51" s="27"/>
      <c r="N51" s="27"/>
      <c r="O51" s="27"/>
      <c r="P51" s="27"/>
      <c r="Q51" s="27"/>
      <c r="R51" s="27"/>
      <c r="S51" s="27"/>
      <c r="T51" s="42"/>
      <c r="U51" s="27"/>
      <c r="V51" s="27"/>
      <c r="W51" s="27"/>
      <c r="X51" s="27"/>
      <c r="Y51" s="27"/>
      <c r="Z51" s="27"/>
      <c r="AA51" s="27"/>
      <c r="AB51" s="27"/>
      <c r="AC51" s="27"/>
      <c r="AD51" s="42"/>
      <c r="AE51" s="27"/>
      <c r="AF51" s="27"/>
      <c r="AG51" s="27"/>
      <c r="AH51" s="27"/>
      <c r="AI51" s="27"/>
      <c r="AJ51" s="27"/>
      <c r="AK51" s="27"/>
      <c r="AL51" s="27"/>
      <c r="AM51" s="27"/>
      <c r="AN51" s="42"/>
      <c r="AO51" s="27"/>
      <c r="AP51" s="27"/>
      <c r="AQ51" s="27"/>
      <c r="AR51" s="27"/>
      <c r="AS51" s="27"/>
      <c r="AT51" s="27"/>
      <c r="AU51" s="27"/>
      <c r="AV51" s="27"/>
      <c r="AW51" s="27"/>
      <c r="AX51" s="42"/>
      <c r="AY51" s="27"/>
      <c r="AZ51" s="27"/>
      <c r="BA51" s="27"/>
      <c r="BB51" s="27"/>
      <c r="BC51" s="27"/>
      <c r="BD51" s="27"/>
      <c r="BE51" s="27"/>
      <c r="BF51" s="27"/>
      <c r="BG51" s="27"/>
      <c r="BH51" s="42"/>
      <c r="BI51" s="27"/>
      <c r="BJ51" s="27"/>
      <c r="BK51" s="27"/>
      <c r="BL51" s="27"/>
      <c r="BM51" s="27"/>
      <c r="BN51" s="27"/>
      <c r="BO51" s="27"/>
      <c r="BP51" s="27"/>
      <c r="BQ51" s="27"/>
      <c r="BR51" s="23"/>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2"/>
      <c r="CW51" s="27"/>
      <c r="CX51" s="27"/>
      <c r="CY51" s="27"/>
      <c r="CZ51" s="27"/>
      <c r="DA51" s="27"/>
      <c r="DB51" s="27"/>
      <c r="DC51" s="27"/>
      <c r="DD51" s="27"/>
      <c r="DE51" s="27"/>
      <c r="DF51" s="42"/>
      <c r="DG51" s="27"/>
      <c r="DH51" s="27"/>
      <c r="DI51" s="27"/>
      <c r="DJ51" s="27"/>
      <c r="DK51" s="27"/>
      <c r="DL51" s="27"/>
      <c r="DM51" s="27"/>
      <c r="DN51" s="27"/>
      <c r="DO51" s="27"/>
      <c r="DP51" s="23"/>
    </row>
    <row r="52" spans="1:129" ht="15" customHeight="1" x14ac:dyDescent="0.3">
      <c r="A52" s="27"/>
      <c r="B52" s="27"/>
      <c r="C52" s="27"/>
      <c r="D52" s="27"/>
      <c r="E52" s="27"/>
      <c r="F52" s="27"/>
      <c r="G52" s="27"/>
      <c r="H52" s="27"/>
      <c r="I52" s="27"/>
      <c r="J52" s="42"/>
      <c r="K52" s="27"/>
      <c r="L52" s="27"/>
      <c r="M52" s="27"/>
      <c r="N52" s="27"/>
      <c r="O52" s="27"/>
      <c r="P52" s="27"/>
      <c r="Q52" s="27"/>
      <c r="R52" s="27"/>
      <c r="S52" s="27"/>
      <c r="T52" s="42"/>
      <c r="U52" s="27"/>
      <c r="V52" s="27"/>
      <c r="W52" s="27"/>
      <c r="X52" s="27"/>
      <c r="Y52" s="27"/>
      <c r="Z52" s="27"/>
      <c r="AA52" s="27"/>
      <c r="AB52" s="27"/>
      <c r="AC52" s="27"/>
      <c r="AD52" s="42"/>
      <c r="AE52" s="27"/>
      <c r="AF52" s="27"/>
      <c r="AG52" s="27"/>
      <c r="AH52" s="27"/>
      <c r="AI52" s="27"/>
      <c r="AJ52" s="27"/>
      <c r="AK52" s="27"/>
      <c r="AL52" s="27"/>
      <c r="AM52" s="27"/>
      <c r="AN52" s="42"/>
      <c r="AO52" s="27"/>
      <c r="AP52" s="27"/>
      <c r="AQ52" s="27"/>
      <c r="AR52" s="27"/>
      <c r="AS52" s="27"/>
      <c r="AT52" s="27"/>
      <c r="AU52" s="27"/>
      <c r="AV52" s="27"/>
      <c r="AW52" s="27"/>
      <c r="AX52" s="42"/>
      <c r="AY52" s="27"/>
      <c r="AZ52" s="27"/>
      <c r="BA52" s="27"/>
      <c r="BB52" s="27"/>
      <c r="BC52" s="27"/>
      <c r="BD52" s="27"/>
      <c r="BE52" s="27"/>
      <c r="BF52" s="27"/>
      <c r="BG52" s="27"/>
      <c r="BH52" s="42"/>
      <c r="BI52" s="27"/>
      <c r="BJ52" s="27"/>
      <c r="BK52" s="27"/>
      <c r="BL52" s="27"/>
      <c r="BM52" s="27"/>
      <c r="BN52" s="27"/>
      <c r="BO52" s="27"/>
      <c r="BP52" s="27"/>
      <c r="BQ52" s="27"/>
      <c r="BR52" s="23"/>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2"/>
      <c r="CW52" s="27"/>
      <c r="CX52" s="27"/>
      <c r="CY52" s="27"/>
      <c r="CZ52" s="27"/>
      <c r="DA52" s="27"/>
      <c r="DB52" s="27"/>
      <c r="DC52" s="27"/>
      <c r="DD52" s="27"/>
      <c r="DE52" s="27"/>
      <c r="DF52" s="42"/>
      <c r="DG52" s="27"/>
      <c r="DH52" s="27"/>
      <c r="DI52" s="27"/>
      <c r="DJ52" s="27"/>
      <c r="DK52" s="27"/>
      <c r="DL52" s="27"/>
      <c r="DM52" s="27"/>
      <c r="DN52" s="27"/>
      <c r="DO52" s="27"/>
      <c r="DP52" s="23"/>
    </row>
    <row r="53" spans="1:129" ht="15" customHeight="1" x14ac:dyDescent="0.3">
      <c r="A53" s="27"/>
      <c r="B53" s="27"/>
      <c r="C53" s="27"/>
      <c r="D53" s="27"/>
      <c r="E53" s="27"/>
      <c r="F53" s="27"/>
      <c r="G53" s="27"/>
      <c r="H53" s="27"/>
      <c r="I53" s="27"/>
      <c r="J53" s="23"/>
      <c r="K53" s="27"/>
      <c r="L53" s="27"/>
      <c r="M53" s="27"/>
      <c r="N53" s="27"/>
      <c r="O53" s="27"/>
      <c r="P53" s="27"/>
      <c r="Q53" s="27"/>
      <c r="R53" s="27"/>
      <c r="S53" s="27"/>
      <c r="T53" s="23"/>
      <c r="U53" s="314" t="s">
        <v>666</v>
      </c>
      <c r="V53" s="314"/>
      <c r="W53" s="314"/>
      <c r="X53" s="314"/>
      <c r="Y53" s="314"/>
      <c r="Z53" s="314"/>
      <c r="AA53" s="314"/>
      <c r="AB53" s="314"/>
      <c r="AC53" s="314"/>
      <c r="AD53" s="23"/>
      <c r="AE53" s="314" t="s">
        <v>666</v>
      </c>
      <c r="AF53" s="314"/>
      <c r="AG53" s="314"/>
      <c r="AH53" s="314"/>
      <c r="AI53" s="314"/>
      <c r="AJ53" s="314"/>
      <c r="AK53" s="314"/>
      <c r="AL53" s="314"/>
      <c r="AM53" s="314"/>
      <c r="AN53" s="23"/>
      <c r="AO53" s="314" t="s">
        <v>666</v>
      </c>
      <c r="AP53" s="314"/>
      <c r="AQ53" s="314"/>
      <c r="AR53" s="314"/>
      <c r="AS53" s="314"/>
      <c r="AT53" s="314"/>
      <c r="AU53" s="314"/>
      <c r="AV53" s="314"/>
      <c r="AW53" s="314"/>
      <c r="AX53" s="23"/>
      <c r="AY53" s="314" t="s">
        <v>666</v>
      </c>
      <c r="AZ53" s="314"/>
      <c r="BA53" s="314"/>
      <c r="BB53" s="314"/>
      <c r="BC53" s="314"/>
      <c r="BD53" s="314"/>
      <c r="BE53" s="314"/>
      <c r="BF53" s="314"/>
      <c r="BG53" s="314"/>
      <c r="BH53" s="23"/>
      <c r="BI53" s="314" t="s">
        <v>666</v>
      </c>
      <c r="BJ53" s="314"/>
      <c r="BK53" s="314"/>
      <c r="BL53" s="314"/>
      <c r="BM53" s="314"/>
      <c r="BN53" s="314"/>
      <c r="BO53" s="314"/>
      <c r="BP53" s="314"/>
      <c r="BQ53" s="314"/>
      <c r="BR53" s="23"/>
      <c r="BS53" s="314" t="s">
        <v>666</v>
      </c>
      <c r="BT53" s="314"/>
      <c r="BU53" s="314"/>
      <c r="BV53" s="314"/>
      <c r="BW53" s="314"/>
      <c r="BX53" s="314"/>
      <c r="BY53" s="314"/>
      <c r="BZ53" s="314"/>
      <c r="CA53" s="314"/>
      <c r="CB53" s="23"/>
      <c r="CC53" s="314" t="s">
        <v>666</v>
      </c>
      <c r="CD53" s="314"/>
      <c r="CE53" s="314"/>
      <c r="CF53" s="314"/>
      <c r="CG53" s="314"/>
      <c r="CH53" s="314"/>
      <c r="CI53" s="314"/>
      <c r="CJ53" s="314"/>
      <c r="CK53" s="314"/>
      <c r="CL53" s="23"/>
      <c r="CM53" s="314" t="s">
        <v>666</v>
      </c>
      <c r="CN53" s="314"/>
      <c r="CO53" s="314"/>
      <c r="CP53" s="314"/>
      <c r="CQ53" s="314"/>
      <c r="CR53" s="314"/>
      <c r="CS53" s="314"/>
      <c r="CT53" s="314"/>
      <c r="CU53" s="314"/>
      <c r="CV53" s="23"/>
      <c r="CW53" s="314" t="s">
        <v>666</v>
      </c>
      <c r="CX53" s="314"/>
      <c r="CY53" s="314"/>
      <c r="CZ53" s="314"/>
      <c r="DA53" s="314"/>
      <c r="DB53" s="314"/>
      <c r="DC53" s="314"/>
      <c r="DD53" s="314"/>
      <c r="DE53" s="314"/>
      <c r="DF53" s="23"/>
      <c r="DG53" s="314" t="s">
        <v>666</v>
      </c>
      <c r="DH53" s="314"/>
      <c r="DI53" s="314"/>
      <c r="DJ53" s="314"/>
      <c r="DK53" s="314"/>
      <c r="DL53" s="314"/>
      <c r="DM53" s="314"/>
      <c r="DN53" s="314"/>
      <c r="DO53" s="314"/>
      <c r="DP53" s="23"/>
    </row>
    <row r="54" spans="1:129" ht="15" customHeight="1" x14ac:dyDescent="0.3">
      <c r="A54" s="43"/>
      <c r="B54" s="43"/>
      <c r="C54" s="43"/>
      <c r="D54" s="43"/>
      <c r="E54" s="43"/>
      <c r="F54" s="43"/>
      <c r="G54" s="43"/>
      <c r="H54" s="43"/>
      <c r="I54" s="43"/>
      <c r="J54" s="23"/>
      <c r="K54" s="43"/>
      <c r="L54" s="43"/>
      <c r="M54" s="43"/>
      <c r="N54" s="43"/>
      <c r="O54" s="43"/>
      <c r="P54" s="43"/>
      <c r="Q54" s="43"/>
      <c r="R54" s="43"/>
      <c r="S54" s="43"/>
      <c r="T54" s="23"/>
      <c r="U54" s="43"/>
      <c r="V54" s="43"/>
      <c r="W54" s="43"/>
      <c r="X54" s="43"/>
      <c r="Y54" s="43"/>
      <c r="Z54" s="43"/>
      <c r="AA54" s="43"/>
      <c r="AB54" s="43"/>
      <c r="AC54" s="43"/>
      <c r="AD54" s="23"/>
      <c r="AE54" s="43"/>
      <c r="AF54" s="43"/>
      <c r="AG54" s="43"/>
      <c r="AH54" s="43"/>
      <c r="AI54" s="43"/>
      <c r="AJ54" s="43"/>
      <c r="AK54" s="43"/>
      <c r="AL54" s="43"/>
      <c r="AM54" s="43"/>
      <c r="AN54" s="23"/>
      <c r="AO54" s="43"/>
      <c r="AP54" s="43"/>
      <c r="AQ54" s="43"/>
      <c r="AR54" s="43"/>
      <c r="AS54" s="43"/>
      <c r="AT54" s="43"/>
      <c r="AU54" s="43"/>
      <c r="AV54" s="43"/>
      <c r="AW54" s="43"/>
      <c r="AX54" s="23"/>
      <c r="AY54" s="43"/>
      <c r="AZ54" s="43"/>
      <c r="BA54" s="43"/>
      <c r="BB54" s="43"/>
      <c r="BC54" s="43"/>
      <c r="BD54" s="43"/>
      <c r="BE54" s="43"/>
      <c r="BF54" s="43"/>
      <c r="BG54" s="43"/>
      <c r="BH54" s="23"/>
      <c r="BI54" s="43"/>
      <c r="BJ54" s="43"/>
      <c r="BK54" s="43"/>
      <c r="BL54" s="43"/>
      <c r="BM54" s="43"/>
      <c r="BN54" s="43"/>
      <c r="BO54" s="43"/>
      <c r="BP54" s="43"/>
      <c r="BQ54" s="43"/>
      <c r="BR54" s="23"/>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V54" s="23"/>
      <c r="CW54" s="43"/>
      <c r="CX54" s="43"/>
      <c r="CY54" s="43"/>
      <c r="CZ54" s="43"/>
      <c r="DA54" s="43"/>
      <c r="DB54" s="43"/>
      <c r="DC54" s="43"/>
      <c r="DD54" s="43"/>
      <c r="DE54" s="43"/>
      <c r="DF54" s="23"/>
      <c r="DG54" s="43"/>
      <c r="DH54" s="43"/>
      <c r="DI54" s="43"/>
      <c r="DJ54" s="43"/>
      <c r="DK54" s="43"/>
      <c r="DL54" s="43"/>
      <c r="DM54" s="43"/>
      <c r="DN54" s="43"/>
      <c r="DO54" s="43"/>
      <c r="DP54" s="23"/>
    </row>
    <row r="55" spans="1:129" ht="15" customHeight="1" x14ac:dyDescent="0.3">
      <c r="A55" s="282" t="s">
        <v>451</v>
      </c>
      <c r="B55" s="282"/>
      <c r="C55" s="282"/>
      <c r="D55" s="282"/>
      <c r="E55" s="282"/>
      <c r="F55" s="282"/>
      <c r="G55" s="282"/>
      <c r="H55" s="282"/>
      <c r="I55" s="282"/>
      <c r="J55" s="23"/>
      <c r="K55" s="282" t="s">
        <v>451</v>
      </c>
      <c r="L55" s="282"/>
      <c r="M55" s="282"/>
      <c r="N55" s="282"/>
      <c r="O55" s="282"/>
      <c r="P55" s="282"/>
      <c r="Q55" s="282"/>
      <c r="R55" s="282"/>
      <c r="S55" s="282"/>
      <c r="T55" s="23"/>
      <c r="U55" s="282" t="s">
        <v>451</v>
      </c>
      <c r="V55" s="282"/>
      <c r="W55" s="282"/>
      <c r="X55" s="282"/>
      <c r="Y55" s="282"/>
      <c r="Z55" s="282"/>
      <c r="AA55" s="282"/>
      <c r="AB55" s="282"/>
      <c r="AC55" s="282"/>
      <c r="AD55" s="23"/>
      <c r="AE55" s="282" t="s">
        <v>451</v>
      </c>
      <c r="AF55" s="282"/>
      <c r="AG55" s="282"/>
      <c r="AH55" s="282"/>
      <c r="AI55" s="282"/>
      <c r="AJ55" s="282"/>
      <c r="AK55" s="282"/>
      <c r="AL55" s="282"/>
      <c r="AM55" s="282"/>
      <c r="AN55" s="23"/>
      <c r="AO55" s="282" t="s">
        <v>451</v>
      </c>
      <c r="AP55" s="282"/>
      <c r="AQ55" s="282"/>
      <c r="AR55" s="282"/>
      <c r="AS55" s="282"/>
      <c r="AT55" s="282"/>
      <c r="AU55" s="282"/>
      <c r="AV55" s="282"/>
      <c r="AW55" s="282"/>
      <c r="AX55" s="23"/>
      <c r="AY55" s="282" t="s">
        <v>451</v>
      </c>
      <c r="AZ55" s="282"/>
      <c r="BA55" s="282"/>
      <c r="BB55" s="282"/>
      <c r="BC55" s="282"/>
      <c r="BD55" s="282"/>
      <c r="BE55" s="282"/>
      <c r="BF55" s="282"/>
      <c r="BG55" s="282"/>
      <c r="BH55" s="23"/>
      <c r="BI55" s="282" t="s">
        <v>451</v>
      </c>
      <c r="BJ55" s="282"/>
      <c r="BK55" s="282"/>
      <c r="BL55" s="282"/>
      <c r="BM55" s="282"/>
      <c r="BN55" s="282"/>
      <c r="BO55" s="282"/>
      <c r="BP55" s="282"/>
      <c r="BQ55" s="282"/>
      <c r="BR55" s="23"/>
      <c r="BS55" s="282" t="s">
        <v>451</v>
      </c>
      <c r="BT55" s="282"/>
      <c r="BU55" s="282"/>
      <c r="BV55" s="282"/>
      <c r="BW55" s="282"/>
      <c r="BX55" s="282"/>
      <c r="BY55" s="282"/>
      <c r="BZ55" s="282"/>
      <c r="CA55" s="282"/>
      <c r="CB55" s="23"/>
      <c r="CC55" s="282" t="s">
        <v>451</v>
      </c>
      <c r="CD55" s="282"/>
      <c r="CE55" s="282"/>
      <c r="CF55" s="282"/>
      <c r="CG55" s="282"/>
      <c r="CH55" s="282"/>
      <c r="CI55" s="282"/>
      <c r="CJ55" s="282"/>
      <c r="CK55" s="282"/>
      <c r="CL55" s="23"/>
      <c r="CM55" s="282" t="s">
        <v>451</v>
      </c>
      <c r="CN55" s="282"/>
      <c r="CO55" s="282"/>
      <c r="CP55" s="282"/>
      <c r="CQ55" s="282"/>
      <c r="CR55" s="282"/>
      <c r="CS55" s="282"/>
      <c r="CT55" s="282"/>
      <c r="CU55" s="282"/>
      <c r="CV55" s="23"/>
      <c r="CW55" s="282" t="s">
        <v>451</v>
      </c>
      <c r="CX55" s="282"/>
      <c r="CY55" s="282"/>
      <c r="CZ55" s="282"/>
      <c r="DA55" s="282"/>
      <c r="DB55" s="282"/>
      <c r="DC55" s="282"/>
      <c r="DD55" s="282"/>
      <c r="DE55" s="282"/>
      <c r="DF55" s="23"/>
      <c r="DG55" s="282" t="s">
        <v>451</v>
      </c>
      <c r="DH55" s="282"/>
      <c r="DI55" s="282"/>
      <c r="DJ55" s="282"/>
      <c r="DK55" s="282"/>
      <c r="DL55" s="282"/>
      <c r="DM55" s="282"/>
      <c r="DN55" s="282"/>
      <c r="DO55" s="282"/>
      <c r="DP55" s="23"/>
    </row>
    <row r="56" spans="1:129" ht="15" customHeight="1" x14ac:dyDescent="0.3">
      <c r="A56" s="283" t="str">
        <f>IF(B15="IC","N/A",
IF(COUNTIF(A64:I89,"BLANK"),"BLANK",IF(COUNTIF(A64:I89,"REJECT"),"REJECT",IF(COUNTIF(A64:I89,"CHECK"),"CHECK","EQ"))))</f>
        <v>BLANK</v>
      </c>
      <c r="B56" s="283"/>
      <c r="C56" s="283" t="s">
        <v>673</v>
      </c>
      <c r="D56" s="283"/>
      <c r="E56" s="283"/>
      <c r="F56" s="283"/>
      <c r="G56" s="283"/>
      <c r="H56" s="283"/>
      <c r="I56" s="283"/>
      <c r="K56" s="283" t="str">
        <f>IF(B15="IC","N/A",
IF(COUNTIF(K64:S197,"BLANK"),"BLANK",IF(COUNTIF(K64:S197,"REJECT"),"REJECT",IF(COUNTIF(K64:S197,"CHECK"),"CHECK","EQ"))))</f>
        <v>BLANK</v>
      </c>
      <c r="L56" s="283"/>
      <c r="M56" s="283" t="s">
        <v>674</v>
      </c>
      <c r="N56" s="283"/>
      <c r="O56" s="283"/>
      <c r="P56" s="283"/>
      <c r="Q56" s="283"/>
      <c r="R56" s="283"/>
      <c r="S56" s="283"/>
      <c r="T56" s="44"/>
      <c r="U56" s="283" t="str">
        <f>IF(B15="IC","N/A",
IF(COUNTIF(U60:AC121,"BLANK"),"BLANK",IF(COUNTIF(U60:AC121,"REJECT"),"REJECT",IF(COUNTIF(U60:AC121,"CHECK"),"CHECK","EQ"))))</f>
        <v>BLANK</v>
      </c>
      <c r="V56" s="283"/>
      <c r="W56" s="283" t="str">
        <f>IF($U$22="Mass Based","Accumulator Mount 1",
IF($U$24="Front/Rear","Top Left Accumulator Mount",
IF($U$24="Top/Bottom","Front Left Accumulator Mount",
"Top Front Accumulator Mount")))</f>
        <v>Top Front Accumulator Mount</v>
      </c>
      <c r="X56" s="283"/>
      <c r="Y56" s="283"/>
      <c r="Z56" s="283"/>
      <c r="AA56" s="283"/>
      <c r="AB56" s="283"/>
      <c r="AC56" s="283"/>
      <c r="AE56" s="283" t="str">
        <f>IF(L15="IC","N/A",
IF(COUNTIF(AE60:AM121,"BLANK"),"BLANK",IF(COUNTIF(AE60:AM121,"REJECT"),"REJECT",IF(COUNTIF(AE60:AM121,"CHECK"),"CHECK","EQ"))))</f>
        <v>BLANK</v>
      </c>
      <c r="AF56" s="283"/>
      <c r="AG56" s="283" t="str">
        <f>IF($U$22="Mass Based","Accumulator Mount 2",
IF($U$24="Front/Rear","Top Right Accumulator Mount",
IF($U$24="Top/Bottom","Front Right Accumulator Mount",
"Top Rear Accumulator Mount")))</f>
        <v>Top Rear Accumulator Mount</v>
      </c>
      <c r="AH56" s="283"/>
      <c r="AI56" s="283"/>
      <c r="AJ56" s="283"/>
      <c r="AK56" s="283"/>
      <c r="AL56" s="283"/>
      <c r="AM56" s="283"/>
      <c r="AO56" s="283" t="str">
        <f>IF(V15="IC","N/A",
IF(COUNTIF(AO60:AW121,"BLANK"),"BLANK",IF(COUNTIF(AO60:AW121,"REJECT"),"REJECT",IF(COUNTIF(AO60:AW121,"CHECK"),"CHECK","EQ"))))</f>
        <v>BLANK</v>
      </c>
      <c r="AP56" s="283"/>
      <c r="AQ56" s="283" t="str">
        <f>IF($U$22="Mass Based","Accumulator Mount 3",
IF($U$24="Front/Rear","Bottom Left Accumulator Mount",
IF($U$24="Top/Bottom","Rear Left Accumulator Mount",
"Bottom Front Accumulator Mount")))</f>
        <v>Bottom Front Accumulator Mount</v>
      </c>
      <c r="AR56" s="283"/>
      <c r="AS56" s="283"/>
      <c r="AT56" s="283"/>
      <c r="AU56" s="283"/>
      <c r="AV56" s="283"/>
      <c r="AW56" s="283"/>
      <c r="AY56" s="283" t="str">
        <f>IF(AF15="IC","N/A",
IF(COUNTIF(AY60:BG121,"BLANK"),"BLANK",IF(COUNTIF(AY60:BG121,"REJECT"),"REJECT",IF(COUNTIF(AY60:BG121,"CHECK"),"CHECK","EQ"))))</f>
        <v>BLANK</v>
      </c>
      <c r="AZ56" s="283"/>
      <c r="BA56" s="283" t="str">
        <f>IF($U$22="Mass Based","Accumulator Mount 4",
IF($U$24="Front/Rear","Bottom Right Accumulator Mount",
IF($U$24="Top/Bottom","Rear Right Accumulator Mount",
"Bottom Rear Accumulator Mount")))</f>
        <v>Bottom Rear Accumulator Mount</v>
      </c>
      <c r="BB56" s="283"/>
      <c r="BC56" s="283"/>
      <c r="BD56" s="283"/>
      <c r="BE56" s="283"/>
      <c r="BF56" s="283"/>
      <c r="BG56" s="283"/>
      <c r="BI56" s="283" t="str">
        <f>IF(AP15="IC","N/A",
IF(COUNTIF(BI60:BQ121,"BLANK"),"BLANK",IF(COUNTIF(BI60:BQ121,"REJECT"),"REJECT",IF(COUNTIF(BI60:BQ121,"CHECK"),"CHECK","EQ"))))</f>
        <v>EQ</v>
      </c>
      <c r="BJ56" s="283"/>
      <c r="BK56" s="283" t="s">
        <v>664</v>
      </c>
      <c r="BL56" s="283"/>
      <c r="BM56" s="283"/>
      <c r="BN56" s="283"/>
      <c r="BO56" s="283"/>
      <c r="BP56" s="283"/>
      <c r="BQ56" s="283"/>
      <c r="BR56" s="44"/>
      <c r="BS56" s="283" t="str">
        <f>IF(B15="IC","N/A",
IF(COUNTIF(BS60:CA132,"BLANK"),"BLANK",IF(COUNTIF(BS60:CA132,"REJECT"),"REJECT",IF(COUNTIF(BS60:CA132,"CHECK"),"CHECK","EQ"))))</f>
        <v>BLANK</v>
      </c>
      <c r="BT56" s="283"/>
      <c r="BU56" s="283" t="str">
        <f>IF($U$22="Mass Based","Chassis Mount 1",
IF($U$25="Front/Rear","Top Left Chassis Mount",
IF($U$25="Top/Bottom","Front Left Chassis Mount",
"Top Front Chassis Mount")))</f>
        <v>Top Front Chassis Mount</v>
      </c>
      <c r="BV56" s="283"/>
      <c r="BW56" s="283"/>
      <c r="BX56" s="283"/>
      <c r="BY56" s="283"/>
      <c r="BZ56" s="283"/>
      <c r="CA56" s="283"/>
      <c r="CC56" s="283" t="str">
        <f>IF(L15="IC","N/A",
IF(COUNTIF(CC60:CK132,"BLANK"),"BLANK",IF(COUNTIF(CC60:CK132,"REJECT"),"REJECT",IF(COUNTIF(CC60:CK132,"CHECK"),"CHECK","EQ"))))</f>
        <v>BLANK</v>
      </c>
      <c r="CD56" s="283"/>
      <c r="CE56" s="283" t="str">
        <f>IF($U$22="Mass Based","Chassis Mount 2",
IF($U$25="Front/Rear","Top Right Chassis Mount",
IF($U$25="Top/Bottom","Front Right Chassis Mount",
"Top Rear Chassis Mount")))</f>
        <v>Top Rear Chassis Mount</v>
      </c>
      <c r="CF56" s="283"/>
      <c r="CG56" s="283"/>
      <c r="CH56" s="283"/>
      <c r="CI56" s="283"/>
      <c r="CJ56" s="283"/>
      <c r="CK56" s="283"/>
      <c r="CM56" s="283" t="str">
        <f>IF(V15="IC","N/A",
IF(COUNTIF(CM60:CU132,"BLANK"),"BLANK",IF(COUNTIF(CM60:CU132,"REJECT"),"REJECT",IF(COUNTIF(CM60:CU132,"CHECK"),"CHECK","EQ"))))</f>
        <v>BLANK</v>
      </c>
      <c r="CN56" s="283"/>
      <c r="CO56" s="283" t="str">
        <f>IF($U$22="Mass Based","Chassis Mount 3",
IF($U$25="Front/Rear","Bottom Left Chassis Mount",
IF($U$25="Top/Bottom","Rear Left Chassis Mount",
"Bottom Front Chassis Mount")))</f>
        <v>Bottom Front Chassis Mount</v>
      </c>
      <c r="CP56" s="283"/>
      <c r="CQ56" s="283"/>
      <c r="CR56" s="283"/>
      <c r="CS56" s="283"/>
      <c r="CT56" s="283"/>
      <c r="CU56" s="283"/>
      <c r="CW56" s="283" t="str">
        <f>IF(AF15="IC","N/A",
IF(COUNTIF(CW60:DE132,"BLANK"),"BLANK",IF(COUNTIF(CW60:DE132,"REJECT"),"REJECT",IF(COUNTIF(CW60:DE132,"CHECK"),"CHECK","EQ"))))</f>
        <v>BLANK</v>
      </c>
      <c r="CX56" s="283"/>
      <c r="CY56" s="283" t="str">
        <f>IF($U$22="Mass Based","Chassis Mount 4",
IF($U$25="Front/Rear","Bottom Right Chassis Mount",
IF($U$25="Top/Bottom","Rear Right Chassis Mount",
"Bottom Rear Chassis Mount")))</f>
        <v>Bottom Rear Chassis Mount</v>
      </c>
      <c r="CZ56" s="283"/>
      <c r="DA56" s="283"/>
      <c r="DB56" s="283"/>
      <c r="DC56" s="283"/>
      <c r="DD56" s="283"/>
      <c r="DE56" s="283"/>
      <c r="DG56" s="283" t="str">
        <f>IF(AP15="IC","N/A",
IF(COUNTIF(DG60:DO132,"BLANK"),"BLANK",IF(COUNTIF(DG60:DO132,"REJECT"),"REJECT",IF(COUNTIF(DG60:DO132,"CHECK"),"CHECK","EQ"))))</f>
        <v>EQ</v>
      </c>
      <c r="DH56" s="283"/>
      <c r="DI56" s="283" t="s">
        <v>665</v>
      </c>
      <c r="DJ56" s="283"/>
      <c r="DK56" s="283"/>
      <c r="DL56" s="283"/>
      <c r="DM56" s="283"/>
      <c r="DN56" s="283"/>
      <c r="DO56" s="283"/>
      <c r="DP56" s="44"/>
      <c r="DQ56" s="45"/>
      <c r="DR56" s="45"/>
      <c r="DS56" s="45"/>
      <c r="DT56" s="45"/>
      <c r="DU56" s="45"/>
      <c r="DV56" s="45"/>
      <c r="DW56" s="45"/>
      <c r="DX56" s="45"/>
      <c r="DY56" s="45"/>
    </row>
    <row r="57" spans="1:129" ht="15" customHeight="1" x14ac:dyDescent="0.3">
      <c r="A57" s="283"/>
      <c r="B57" s="283"/>
      <c r="C57" s="283"/>
      <c r="D57" s="283"/>
      <c r="E57" s="283"/>
      <c r="F57" s="283"/>
      <c r="G57" s="283"/>
      <c r="H57" s="283"/>
      <c r="I57" s="283"/>
      <c r="K57" s="283"/>
      <c r="L57" s="283"/>
      <c r="M57" s="283"/>
      <c r="N57" s="283"/>
      <c r="O57" s="283"/>
      <c r="P57" s="283"/>
      <c r="Q57" s="283"/>
      <c r="R57" s="283"/>
      <c r="S57" s="283"/>
      <c r="T57" s="44"/>
      <c r="U57" s="283"/>
      <c r="V57" s="283"/>
      <c r="W57" s="283"/>
      <c r="X57" s="283"/>
      <c r="Y57" s="283"/>
      <c r="Z57" s="283"/>
      <c r="AA57" s="283"/>
      <c r="AB57" s="283"/>
      <c r="AC57" s="283"/>
      <c r="AE57" s="283"/>
      <c r="AF57" s="283"/>
      <c r="AG57" s="283"/>
      <c r="AH57" s="283"/>
      <c r="AI57" s="283"/>
      <c r="AJ57" s="283"/>
      <c r="AK57" s="283"/>
      <c r="AL57" s="283"/>
      <c r="AM57" s="283"/>
      <c r="AO57" s="283"/>
      <c r="AP57" s="283"/>
      <c r="AQ57" s="283"/>
      <c r="AR57" s="283"/>
      <c r="AS57" s="283"/>
      <c r="AT57" s="283"/>
      <c r="AU57" s="283"/>
      <c r="AV57" s="283"/>
      <c r="AW57" s="283"/>
      <c r="AY57" s="283"/>
      <c r="AZ57" s="283"/>
      <c r="BA57" s="283"/>
      <c r="BB57" s="283"/>
      <c r="BC57" s="283"/>
      <c r="BD57" s="283"/>
      <c r="BE57" s="283"/>
      <c r="BF57" s="283"/>
      <c r="BG57" s="283"/>
      <c r="BI57" s="283"/>
      <c r="BJ57" s="283"/>
      <c r="BK57" s="283"/>
      <c r="BL57" s="283"/>
      <c r="BM57" s="283"/>
      <c r="BN57" s="283"/>
      <c r="BO57" s="283"/>
      <c r="BP57" s="283"/>
      <c r="BQ57" s="283"/>
      <c r="BR57" s="44"/>
      <c r="BS57" s="283"/>
      <c r="BT57" s="283"/>
      <c r="BU57" s="283"/>
      <c r="BV57" s="283"/>
      <c r="BW57" s="283"/>
      <c r="BX57" s="283"/>
      <c r="BY57" s="283"/>
      <c r="BZ57" s="283"/>
      <c r="CA57" s="283"/>
      <c r="CC57" s="283"/>
      <c r="CD57" s="283"/>
      <c r="CE57" s="283"/>
      <c r="CF57" s="283"/>
      <c r="CG57" s="283"/>
      <c r="CH57" s="283"/>
      <c r="CI57" s="283"/>
      <c r="CJ57" s="283"/>
      <c r="CK57" s="283"/>
      <c r="CM57" s="283"/>
      <c r="CN57" s="283"/>
      <c r="CO57" s="283"/>
      <c r="CP57" s="283"/>
      <c r="CQ57" s="283"/>
      <c r="CR57" s="283"/>
      <c r="CS57" s="283"/>
      <c r="CT57" s="283"/>
      <c r="CU57" s="283"/>
      <c r="CW57" s="283"/>
      <c r="CX57" s="283"/>
      <c r="CY57" s="283"/>
      <c r="CZ57" s="283"/>
      <c r="DA57" s="283"/>
      <c r="DB57" s="283"/>
      <c r="DC57" s="283"/>
      <c r="DD57" s="283"/>
      <c r="DE57" s="283"/>
      <c r="DG57" s="283"/>
      <c r="DH57" s="283"/>
      <c r="DI57" s="283"/>
      <c r="DJ57" s="283"/>
      <c r="DK57" s="283"/>
      <c r="DL57" s="283"/>
      <c r="DM57" s="283"/>
      <c r="DN57" s="283"/>
      <c r="DO57" s="283"/>
      <c r="DP57" s="44"/>
      <c r="DQ57" s="45"/>
      <c r="DR57" s="45"/>
      <c r="DS57" s="45"/>
      <c r="DT57" s="45"/>
      <c r="DU57" s="45"/>
      <c r="DV57" s="45"/>
      <c r="DW57" s="45"/>
      <c r="DX57" s="45"/>
      <c r="DY57" s="45"/>
    </row>
    <row r="58" spans="1:129" ht="15" customHeight="1" x14ac:dyDescent="0.3">
      <c r="A58" s="45"/>
      <c r="B58" s="45"/>
      <c r="C58" s="45"/>
      <c r="D58" s="45"/>
      <c r="E58" s="45"/>
      <c r="F58" s="45"/>
      <c r="G58" s="45"/>
      <c r="H58" s="45"/>
      <c r="I58" s="45"/>
      <c r="K58" s="45"/>
      <c r="L58" s="45"/>
      <c r="M58" s="45"/>
      <c r="N58" s="45"/>
      <c r="O58" s="45"/>
      <c r="P58" s="45"/>
      <c r="Q58" s="45"/>
      <c r="R58" s="45"/>
      <c r="S58" s="45"/>
      <c r="U58" s="45"/>
      <c r="V58" s="45"/>
      <c r="W58" s="45"/>
      <c r="X58" s="45"/>
      <c r="Y58" s="45"/>
      <c r="Z58" s="45"/>
      <c r="AA58" s="45"/>
      <c r="AB58" s="45"/>
      <c r="AC58" s="45"/>
      <c r="AE58" s="45"/>
      <c r="AF58" s="45"/>
      <c r="AG58" s="45"/>
      <c r="AH58" s="45"/>
      <c r="AI58" s="45"/>
      <c r="AJ58" s="45"/>
      <c r="AK58" s="45"/>
      <c r="AL58" s="45"/>
      <c r="AM58" s="45"/>
      <c r="AO58" s="45"/>
      <c r="AP58" s="45"/>
      <c r="AQ58" s="45"/>
      <c r="AR58" s="45"/>
      <c r="AS58" s="45"/>
      <c r="AT58" s="45"/>
      <c r="AU58" s="45"/>
      <c r="AV58" s="45"/>
      <c r="AW58" s="45"/>
      <c r="AY58" s="45"/>
      <c r="AZ58" s="45"/>
      <c r="BA58" s="45"/>
      <c r="BB58" s="45"/>
      <c r="BC58" s="45"/>
      <c r="BD58" s="45"/>
      <c r="BE58" s="45"/>
      <c r="BF58" s="45"/>
      <c r="BG58" s="45"/>
      <c r="BI58" s="45"/>
      <c r="BJ58" s="45"/>
      <c r="BK58" s="45"/>
      <c r="BL58" s="45"/>
      <c r="BM58" s="25" t="s">
        <v>675</v>
      </c>
      <c r="BN58" s="45"/>
      <c r="BO58" s="45"/>
      <c r="BP58" s="45"/>
      <c r="BQ58" s="45"/>
      <c r="BS58" s="45"/>
      <c r="BT58" s="45"/>
      <c r="BU58" s="45"/>
      <c r="BV58" s="45"/>
      <c r="BW58" s="45"/>
      <c r="BX58" s="45"/>
      <c r="BY58" s="45"/>
      <c r="BZ58" s="45"/>
      <c r="CA58" s="45"/>
      <c r="CU58" s="41"/>
      <c r="CV58" s="41"/>
      <c r="DK58" s="25" t="s">
        <v>675</v>
      </c>
    </row>
    <row r="59" spans="1:129" ht="15" customHeight="1" x14ac:dyDescent="0.3">
      <c r="A59" s="19" t="s">
        <v>676</v>
      </c>
      <c r="K59" s="270" t="s">
        <v>677</v>
      </c>
      <c r="L59" s="270"/>
      <c r="M59" s="270"/>
      <c r="N59" s="270"/>
      <c r="O59" s="270"/>
      <c r="P59" s="270"/>
      <c r="Q59" s="270"/>
      <c r="R59" s="270"/>
      <c r="S59" s="270"/>
      <c r="U59" s="310" t="s">
        <v>678</v>
      </c>
      <c r="V59" s="310"/>
      <c r="W59" s="310"/>
      <c r="X59" s="310"/>
      <c r="Y59" s="310"/>
      <c r="Z59" s="310"/>
      <c r="AA59" s="310"/>
      <c r="AB59" s="310"/>
      <c r="AC59" s="310"/>
      <c r="AE59" s="310" t="s">
        <v>678</v>
      </c>
      <c r="AF59" s="310"/>
      <c r="AG59" s="310"/>
      <c r="AH59" s="310"/>
      <c r="AI59" s="310"/>
      <c r="AJ59" s="310"/>
      <c r="AK59" s="310"/>
      <c r="AL59" s="310"/>
      <c r="AM59" s="310"/>
      <c r="AO59" s="310" t="s">
        <v>678</v>
      </c>
      <c r="AP59" s="310"/>
      <c r="AQ59" s="310"/>
      <c r="AR59" s="310"/>
      <c r="AS59" s="310"/>
      <c r="AT59" s="310"/>
      <c r="AU59" s="310"/>
      <c r="AV59" s="310"/>
      <c r="AW59" s="310"/>
      <c r="AY59" s="310" t="s">
        <v>678</v>
      </c>
      <c r="AZ59" s="310"/>
      <c r="BA59" s="310"/>
      <c r="BB59" s="310"/>
      <c r="BC59" s="310"/>
      <c r="BD59" s="310"/>
      <c r="BE59" s="310"/>
      <c r="BF59" s="310"/>
      <c r="BG59" s="310"/>
      <c r="BI59" s="310" t="s">
        <v>678</v>
      </c>
      <c r="BJ59" s="310"/>
      <c r="BK59" s="310"/>
      <c r="BL59" s="310"/>
      <c r="BM59" s="310"/>
      <c r="BN59" s="310"/>
      <c r="BO59" s="310"/>
      <c r="BP59" s="310"/>
      <c r="BQ59" s="310"/>
      <c r="BS59" s="310" t="s">
        <v>679</v>
      </c>
      <c r="BT59" s="310"/>
      <c r="BU59" s="310"/>
      <c r="BV59" s="310"/>
      <c r="BW59" s="310"/>
      <c r="BX59" s="310"/>
      <c r="BY59" s="310"/>
      <c r="BZ59" s="310"/>
      <c r="CA59" s="310"/>
      <c r="CC59" s="310" t="s">
        <v>679</v>
      </c>
      <c r="CD59" s="310"/>
      <c r="CE59" s="310"/>
      <c r="CF59" s="310"/>
      <c r="CG59" s="310"/>
      <c r="CH59" s="310"/>
      <c r="CI59" s="310"/>
      <c r="CJ59" s="310"/>
      <c r="CK59" s="310"/>
      <c r="CM59" s="310" t="s">
        <v>679</v>
      </c>
      <c r="CN59" s="310"/>
      <c r="CO59" s="310"/>
      <c r="CP59" s="310"/>
      <c r="CQ59" s="310"/>
      <c r="CR59" s="310"/>
      <c r="CS59" s="310"/>
      <c r="CT59" s="310"/>
      <c r="CU59" s="310"/>
      <c r="CW59" s="310" t="s">
        <v>679</v>
      </c>
      <c r="CX59" s="310"/>
      <c r="CY59" s="310"/>
      <c r="CZ59" s="310"/>
      <c r="DA59" s="310"/>
      <c r="DB59" s="310"/>
      <c r="DC59" s="310"/>
      <c r="DD59" s="310"/>
      <c r="DE59" s="310"/>
      <c r="DG59" s="310" t="s">
        <v>679</v>
      </c>
      <c r="DH59" s="310"/>
      <c r="DI59" s="310"/>
      <c r="DJ59" s="310"/>
      <c r="DK59" s="310"/>
      <c r="DL59" s="310"/>
      <c r="DM59" s="310"/>
      <c r="DN59" s="310"/>
      <c r="DO59" s="310"/>
    </row>
    <row r="60" spans="1:129" ht="15" customHeight="1" x14ac:dyDescent="0.3">
      <c r="A60" s="19" t="s">
        <v>680</v>
      </c>
      <c r="J60" s="41"/>
      <c r="K60" s="270"/>
      <c r="L60" s="270"/>
      <c r="M60" s="270"/>
      <c r="N60" s="270"/>
      <c r="O60" s="270"/>
      <c r="P60" s="270"/>
      <c r="Q60" s="270"/>
      <c r="R60" s="270"/>
      <c r="S60" s="270"/>
      <c r="U60" s="272" t="str">
        <f>IF(COUNTIF(AC62:AC79,"BLANK"),"BLANK",IF(OR(SUMPRODUCT(--ISERROR(AC62:AC79))&gt;0,COUNTIF(AC62:AC79,"REJECT")),"REJECT",IF(COUNTIF(AC62:AC79,"CHECK"),"CHECK","EQ")))</f>
        <v>BLANK</v>
      </c>
      <c r="V60" s="272"/>
      <c r="W60" s="272"/>
      <c r="X60" s="272"/>
      <c r="Y60" s="272"/>
      <c r="Z60" s="272"/>
      <c r="AA60" s="272"/>
      <c r="AB60" s="272"/>
      <c r="AC60" s="272"/>
      <c r="AE60" s="272" t="str">
        <f>IF(COUNTIF(AM62:AM79,"BLANK"),"BLANK",IF(OR(SUMPRODUCT(--ISERROR(AM62:AM79))&gt;0,COUNTIF(AM62:AM79,"REJECT")),"REJECT",IF(COUNTIF(AM62:AM79,"CHECK"),"CHECK","EQ")))</f>
        <v>BLANK</v>
      </c>
      <c r="AF60" s="272"/>
      <c r="AG60" s="272"/>
      <c r="AH60" s="272"/>
      <c r="AI60" s="272"/>
      <c r="AJ60" s="272"/>
      <c r="AK60" s="272"/>
      <c r="AL60" s="272"/>
      <c r="AM60" s="272"/>
      <c r="AO60" s="272" t="str">
        <f>IF(COUNTIF(AW62:AW79,"BLANK"),"BLANK",IF(OR(SUMPRODUCT(--ISERROR(AW62:AW79))&gt;0,COUNTIF(AW62:AW79,"REJECT")),"REJECT",IF(COUNTIF(AW62:AW79,"CHECK"),"CHECK","EQ")))</f>
        <v>BLANK</v>
      </c>
      <c r="AP60" s="272"/>
      <c r="AQ60" s="272"/>
      <c r="AR60" s="272"/>
      <c r="AS60" s="272"/>
      <c r="AT60" s="272"/>
      <c r="AU60" s="272"/>
      <c r="AV60" s="272"/>
      <c r="AW60" s="272"/>
      <c r="AY60" s="272" t="str">
        <f>IF(COUNTIF(BG62:BG79,"BLANK"),"BLANK",IF(OR(SUMPRODUCT(--ISERROR(BG62:BG79))&gt;0,COUNTIF(BG62:BG79,"REJECT")),"REJECT",IF(COUNTIF(BG62:BG79,"CHECK"),"CHECK","EQ")))</f>
        <v>BLANK</v>
      </c>
      <c r="AZ60" s="272"/>
      <c r="BA60" s="272"/>
      <c r="BB60" s="272"/>
      <c r="BC60" s="272"/>
      <c r="BD60" s="272"/>
      <c r="BE60" s="272"/>
      <c r="BF60" s="272"/>
      <c r="BG60" s="272"/>
      <c r="BH60" s="41"/>
      <c r="BI60" s="272" t="str">
        <f>IF(COUNTIF(BQ62:BQ79,"BLANK"),"BLANK",IF(OR(SUMPRODUCT(--ISERROR(BQ62:BQ79))&gt;0,COUNTIF(BQ62:BQ79,"REJECT")),"REJECT",IF(COUNTIF(BQ62:BQ79,"CHECK"),"CHECK","EQ")))</f>
        <v>EQ</v>
      </c>
      <c r="BJ60" s="272"/>
      <c r="BK60" s="272"/>
      <c r="BL60" s="272"/>
      <c r="BM60" s="272"/>
      <c r="BN60" s="272"/>
      <c r="BO60" s="272"/>
      <c r="BP60" s="272"/>
      <c r="BQ60" s="272"/>
      <c r="BS60" s="272" t="str">
        <f>IF(COUNTIF(CA63:CA77,"BLANK"),"BLANK",IF(OR(SUMPRODUCT(--ISERROR(CA63:CA77))&gt;0,COUNTIF(CA63:CA77,"REJECT")),"REJECT",IF(COUNTIF(CA63:CA77,"CHECK"),"CHECK","EQ")))</f>
        <v>BLANK</v>
      </c>
      <c r="BT60" s="272"/>
      <c r="BU60" s="272"/>
      <c r="BV60" s="272"/>
      <c r="BW60" s="272"/>
      <c r="BX60" s="272"/>
      <c r="BY60" s="272"/>
      <c r="BZ60" s="272"/>
      <c r="CA60" s="272"/>
      <c r="CC60" s="272" t="str">
        <f>IF(COUNTIF(CK63:CK77,"BLANK"),"BLANK",IF(OR(SUMPRODUCT(--ISERROR(CK63:CK77))&gt;0,COUNTIF(CK63:CK77,"REJECT")),"REJECT",IF(COUNTIF(CK63:CK77,"CHECK"),"CHECK","EQ")))</f>
        <v>BLANK</v>
      </c>
      <c r="CD60" s="272"/>
      <c r="CE60" s="272"/>
      <c r="CF60" s="272"/>
      <c r="CG60" s="272"/>
      <c r="CH60" s="272"/>
      <c r="CI60" s="272"/>
      <c r="CJ60" s="272"/>
      <c r="CK60" s="272"/>
      <c r="CM60" s="272" t="str">
        <f>IF(COUNTIF(CU63:CU77,"BLANK"),"BLANK",IF(OR(SUMPRODUCT(--ISERROR(CU63:CU77))&gt;0,COUNTIF(CU63:CU77,"REJECT")),"REJECT",IF(COUNTIF(CU63:CU77,"CHECK"),"CHECK","EQ")))</f>
        <v>BLANK</v>
      </c>
      <c r="CN60" s="272"/>
      <c r="CO60" s="272"/>
      <c r="CP60" s="272"/>
      <c r="CQ60" s="272"/>
      <c r="CR60" s="272"/>
      <c r="CS60" s="272"/>
      <c r="CT60" s="272"/>
      <c r="CU60" s="272"/>
      <c r="CW60" s="272" t="str">
        <f>IF(COUNTIF(DE63:DE77,"BLANK"),"BLANK",IF(OR(SUMPRODUCT(--ISERROR(DE63:DE77))&gt;0,COUNTIF(DE63:DE77,"REJECT")),"REJECT",IF(COUNTIF(DE63:DE77,"CHECK"),"CHECK","EQ")))</f>
        <v>BLANK</v>
      </c>
      <c r="CX60" s="272"/>
      <c r="CY60" s="272"/>
      <c r="CZ60" s="272"/>
      <c r="DA60" s="272"/>
      <c r="DB60" s="272"/>
      <c r="DC60" s="272"/>
      <c r="DD60" s="272"/>
      <c r="DE60" s="272"/>
      <c r="DG60" s="272" t="str">
        <f>IF(COUNTIF(DO63:DO77,"BLANK"),"BLANK",IF(OR(SUMPRODUCT(--ISERROR(DO63:DO77))&gt;0,COUNTIF(DO63:DO77,"REJECT")),"REJECT",IF(COUNTIF(DO63:DO77,"CHECK"),"CHECK","EQ")))</f>
        <v>EQ</v>
      </c>
      <c r="DH60" s="272"/>
      <c r="DI60" s="272"/>
      <c r="DJ60" s="272"/>
      <c r="DK60" s="272"/>
      <c r="DL60" s="272"/>
      <c r="DM60" s="272"/>
      <c r="DN60" s="272"/>
      <c r="DO60" s="272"/>
    </row>
    <row r="61" spans="1:129" ht="15" customHeight="1" thickBot="1" x14ac:dyDescent="0.35">
      <c r="J61" s="41"/>
      <c r="U61" s="25"/>
      <c r="V61" s="25"/>
      <c r="W61" s="25"/>
      <c r="X61" s="25"/>
      <c r="Y61" s="47" t="s">
        <v>681</v>
      </c>
      <c r="Z61" s="25"/>
      <c r="AA61" s="25"/>
      <c r="AB61" s="25"/>
      <c r="AC61" s="25" t="s">
        <v>89</v>
      </c>
      <c r="AE61" s="25"/>
      <c r="AF61" s="25"/>
      <c r="AG61" s="25"/>
      <c r="AH61" s="25"/>
      <c r="AI61" s="47" t="s">
        <v>681</v>
      </c>
      <c r="AJ61" s="25"/>
      <c r="AK61" s="25"/>
      <c r="AL61" s="25"/>
      <c r="AM61" s="25" t="s">
        <v>89</v>
      </c>
      <c r="AO61" s="25"/>
      <c r="AP61" s="25"/>
      <c r="AQ61" s="25"/>
      <c r="AR61" s="25"/>
      <c r="AS61" s="47" t="s">
        <v>681</v>
      </c>
      <c r="AT61" s="25"/>
      <c r="AU61" s="25"/>
      <c r="AV61" s="25"/>
      <c r="AW61" s="25" t="s">
        <v>89</v>
      </c>
      <c r="AY61" s="25"/>
      <c r="AZ61" s="25"/>
      <c r="BA61" s="25"/>
      <c r="BB61" s="25"/>
      <c r="BC61" s="47" t="s">
        <v>681</v>
      </c>
      <c r="BD61" s="25"/>
      <c r="BE61" s="25"/>
      <c r="BF61" s="25"/>
      <c r="BG61" s="25" t="s">
        <v>89</v>
      </c>
      <c r="BH61" s="41"/>
      <c r="BI61" s="25"/>
      <c r="BJ61" s="25"/>
      <c r="BK61" s="25"/>
      <c r="BL61" s="25"/>
      <c r="BM61" s="47" t="s">
        <v>681</v>
      </c>
      <c r="BN61" s="25"/>
      <c r="BO61" s="25"/>
      <c r="BP61" s="25"/>
      <c r="BQ61" s="25" t="s">
        <v>89</v>
      </c>
      <c r="BS61" s="25"/>
      <c r="BT61" s="25"/>
      <c r="BU61" s="25"/>
      <c r="BV61" s="25"/>
      <c r="BW61" s="47" t="s">
        <v>681</v>
      </c>
      <c r="BX61" s="25"/>
      <c r="BY61" s="25"/>
      <c r="BZ61" s="25"/>
      <c r="CA61" s="25" t="s">
        <v>89</v>
      </c>
      <c r="CC61" s="25"/>
      <c r="CD61" s="25"/>
      <c r="CE61" s="25"/>
      <c r="CF61" s="25"/>
      <c r="CG61" s="47" t="s">
        <v>681</v>
      </c>
      <c r="CH61" s="25"/>
      <c r="CI61" s="25"/>
      <c r="CJ61" s="25"/>
      <c r="CK61" s="25" t="s">
        <v>89</v>
      </c>
      <c r="CM61" s="25"/>
      <c r="CN61" s="25"/>
      <c r="CO61" s="25"/>
      <c r="CP61" s="25"/>
      <c r="CQ61" s="47" t="s">
        <v>681</v>
      </c>
      <c r="CR61" s="25"/>
      <c r="CS61" s="25"/>
      <c r="CT61" s="25"/>
      <c r="CU61" s="25" t="s">
        <v>89</v>
      </c>
      <c r="CW61" s="25"/>
      <c r="CX61" s="25"/>
      <c r="CY61" s="25"/>
      <c r="CZ61" s="25"/>
      <c r="DA61" s="47" t="s">
        <v>681</v>
      </c>
      <c r="DB61" s="25"/>
      <c r="DC61" s="25"/>
      <c r="DD61" s="25"/>
      <c r="DE61" s="25" t="s">
        <v>89</v>
      </c>
      <c r="DG61" s="25"/>
      <c r="DH61" s="25"/>
      <c r="DI61" s="25"/>
      <c r="DJ61" s="25"/>
      <c r="DK61" s="47" t="s">
        <v>681</v>
      </c>
      <c r="DL61" s="25"/>
      <c r="DM61" s="25"/>
      <c r="DN61" s="25"/>
      <c r="DO61" s="25" t="s">
        <v>89</v>
      </c>
    </row>
    <row r="62" spans="1:129" ht="15" customHeight="1" thickBot="1" x14ac:dyDescent="0.35">
      <c r="A62" s="47" t="s">
        <v>682</v>
      </c>
      <c r="B62" s="19" t="s">
        <v>683</v>
      </c>
      <c r="C62" s="41"/>
      <c r="D62" s="41"/>
      <c r="E62" s="41"/>
      <c r="F62" s="41"/>
      <c r="G62" s="41"/>
      <c r="H62" s="41"/>
      <c r="I62" s="41"/>
      <c r="J62" s="52"/>
      <c r="K62" s="19" t="s">
        <v>684</v>
      </c>
      <c r="U62" s="148" t="s">
        <v>687</v>
      </c>
      <c r="V62" s="19" t="s">
        <v>686</v>
      </c>
      <c r="AA62" s="50"/>
      <c r="AB62" s="19" t="str">
        <f>IF($A$25="mm","mm","in")</f>
        <v>mm</v>
      </c>
      <c r="AC62" s="25" t="str">
        <f>IF(OR(U62="",AA62=""),"BLANK",IF(AND($U$22="Corner Attachment",OR(AND($A$25="mm",AA62&gt;50),AND($A$25="Inch",AA62&gt;1.968))),"REJECT","EQ"))</f>
        <v>BLANK</v>
      </c>
      <c r="AE62" s="148" t="s">
        <v>687</v>
      </c>
      <c r="AF62" s="19" t="s">
        <v>686</v>
      </c>
      <c r="AK62" s="50"/>
      <c r="AL62" s="19" t="str">
        <f>IF($A$25="mm","mm","in")</f>
        <v>mm</v>
      </c>
      <c r="AM62" s="25" t="str">
        <f>IF(OR(AE62="",AK62=""),"BLANK",IF(AND($U$22="Corner Attachment",OR(AND($A$25="mm",AK62&gt;50),AND($A$25="Inch",AK62&gt;1.968))),"REJECT","EQ"))</f>
        <v>BLANK</v>
      </c>
      <c r="AO62" s="148" t="s">
        <v>687</v>
      </c>
      <c r="AP62" s="19" t="s">
        <v>686</v>
      </c>
      <c r="AU62" s="50"/>
      <c r="AV62" s="19" t="str">
        <f>IF($A$25="mm","mm","in")</f>
        <v>mm</v>
      </c>
      <c r="AW62" s="25" t="str">
        <f>IF(OR(AO62="",AU62=""),"BLANK",IF(AND($U$22="Corner Attachment",OR(AND($A$25="mm",AU62&gt;50),AND($A$25="Inch",AU62&gt;1.968))),"REJECT","EQ"))</f>
        <v>BLANK</v>
      </c>
      <c r="AY62" s="148" t="s">
        <v>687</v>
      </c>
      <c r="AZ62" s="19" t="s">
        <v>686</v>
      </c>
      <c r="BE62" s="50"/>
      <c r="BF62" s="19" t="str">
        <f>IF($A$25="mm","mm","in")</f>
        <v>mm</v>
      </c>
      <c r="BG62" s="25" t="str">
        <f>IF(OR(AY62="",BE62=""),"BLANK",IF(AND($U$22="Corner Attachment",OR(AND($A$25="mm",BE62&gt;50),AND($A$25="Inch",BE62&gt;1.968))),"REJECT","EQ"))</f>
        <v>BLANK</v>
      </c>
      <c r="BH62" s="41"/>
      <c r="BI62" s="148" t="s">
        <v>685</v>
      </c>
      <c r="BJ62" s="19" t="s">
        <v>686</v>
      </c>
      <c r="BO62" s="50"/>
      <c r="BP62" s="19" t="str">
        <f>IF($A$25="mm","mm","in")</f>
        <v>mm</v>
      </c>
      <c r="BQ62" s="25" t="str">
        <f>IF(OR($L$23&lt;40*IF($A$25="mm",1,2.2046),AND($U$22="Corner Attachment",NOT($U$24="None"))),"N/A",IF(OR(BI62="",BO62=""),"BLANK",IF(AND($U$22="Corner Attachment",OR(AND($A$25="mm",BO62&gt;50),AND($A$25="Inch",BO62&gt;1.968))),"REJECT","EQ")))</f>
        <v>N/A</v>
      </c>
      <c r="BS62" s="25"/>
      <c r="BT62" s="25"/>
      <c r="BU62" s="25"/>
      <c r="BV62" s="25" t="s">
        <v>688</v>
      </c>
      <c r="BX62" s="25"/>
      <c r="BY62" s="25"/>
      <c r="BZ62" s="25"/>
      <c r="CA62" s="25" t="s">
        <v>89</v>
      </c>
      <c r="CC62" s="25"/>
      <c r="CD62" s="25"/>
      <c r="CE62" s="25"/>
      <c r="CF62" s="25" t="s">
        <v>688</v>
      </c>
      <c r="CH62" s="25"/>
      <c r="CI62" s="25"/>
      <c r="CJ62" s="25"/>
      <c r="CK62" s="25" t="s">
        <v>89</v>
      </c>
      <c r="CM62" s="25"/>
      <c r="CN62" s="25"/>
      <c r="CO62" s="25"/>
      <c r="CP62" s="25" t="s">
        <v>688</v>
      </c>
      <c r="CR62" s="25"/>
      <c r="CS62" s="25"/>
      <c r="CT62" s="25"/>
      <c r="CU62" s="25" t="s">
        <v>89</v>
      </c>
      <c r="CW62" s="25"/>
      <c r="CX62" s="25"/>
      <c r="CY62" s="25"/>
      <c r="CZ62" s="25" t="s">
        <v>689</v>
      </c>
      <c r="DB62" s="25"/>
      <c r="DC62" s="25"/>
      <c r="DD62" s="25"/>
      <c r="DE62" s="25" t="s">
        <v>89</v>
      </c>
      <c r="DG62" s="25"/>
      <c r="DH62" s="25"/>
      <c r="DI62" s="25"/>
      <c r="DJ62" s="25" t="s">
        <v>688</v>
      </c>
      <c r="DL62" s="25"/>
      <c r="DM62" s="25"/>
      <c r="DN62" s="25"/>
      <c r="DO62" s="25" t="s">
        <v>89</v>
      </c>
    </row>
    <row r="63" spans="1:129" ht="15" customHeight="1" thickBot="1" x14ac:dyDescent="0.35">
      <c r="A63" s="19" t="s">
        <v>690</v>
      </c>
      <c r="B63" s="41"/>
      <c r="C63" s="41"/>
      <c r="D63" s="41"/>
      <c r="E63" s="41"/>
      <c r="F63" s="41"/>
      <c r="G63" s="41"/>
      <c r="H63" s="41"/>
      <c r="I63" s="41"/>
      <c r="J63" s="52"/>
      <c r="U63" s="148" t="s">
        <v>687</v>
      </c>
      <c r="V63" s="19" t="s">
        <v>691</v>
      </c>
      <c r="Z63" s="49"/>
      <c r="AA63" s="50"/>
      <c r="AB63" s="19" t="str">
        <f>IF($A$25="mm","mm","in")</f>
        <v>mm</v>
      </c>
      <c r="AC63" s="25" t="str">
        <f>IF(OR(U63="",AA63=""),"BLANK",IF(AND($U$22="Corner Attachment",OR(AND($A$25="mm",AA63&gt;50),AND($A$25="Inch",AA63&gt;1.968))),"REJECT","EQ"))</f>
        <v>BLANK</v>
      </c>
      <c r="AE63" s="148" t="s">
        <v>687</v>
      </c>
      <c r="AF63" s="19" t="s">
        <v>691</v>
      </c>
      <c r="AK63" s="50"/>
      <c r="AL63" s="19" t="str">
        <f>IF($A$25="mm","mm","in")</f>
        <v>mm</v>
      </c>
      <c r="AM63" s="25" t="str">
        <f>IF(OR(AE63="",AK63=""),"BLANK",IF(AND($U$22="Corner Attachment",OR(AND($A$25="mm",AK63&gt;50),AND($A$25="Inch",AK63&gt;1.968))),"REJECT","EQ"))</f>
        <v>BLANK</v>
      </c>
      <c r="AO63" s="148" t="s">
        <v>687</v>
      </c>
      <c r="AP63" s="19" t="s">
        <v>691</v>
      </c>
      <c r="AU63" s="50"/>
      <c r="AV63" s="19" t="str">
        <f>IF($A$25="mm","mm","in")</f>
        <v>mm</v>
      </c>
      <c r="AW63" s="25" t="str">
        <f>IF(OR(AO63="",AU63=""),"BLANK",IF(AND($U$22="Corner Attachment",OR(AND($A$25="mm",AU63&gt;50),AND($A$25="Inch",AU63&gt;1.968))),"REJECT","EQ"))</f>
        <v>BLANK</v>
      </c>
      <c r="AY63" s="148" t="s">
        <v>687</v>
      </c>
      <c r="AZ63" s="19" t="s">
        <v>691</v>
      </c>
      <c r="BE63" s="50"/>
      <c r="BF63" s="19" t="str">
        <f>IF($A$25="mm","mm","in")</f>
        <v>mm</v>
      </c>
      <c r="BG63" s="25" t="str">
        <f>IF(OR(AY63="",BE63=""),"BLANK",IF(AND($U$22="Corner Attachment",OR(AND($A$25="mm",BE63&gt;50),AND($A$25="Inch",BE63&gt;1.968))),"REJECT","EQ"))</f>
        <v>BLANK</v>
      </c>
      <c r="BH63" s="52"/>
      <c r="BI63" s="148" t="s">
        <v>687</v>
      </c>
      <c r="BJ63" s="19" t="s">
        <v>691</v>
      </c>
      <c r="BO63" s="50"/>
      <c r="BP63" s="19" t="str">
        <f>IF($A$25="mm","mm","in")</f>
        <v>mm</v>
      </c>
      <c r="BQ63" s="25" t="str">
        <f>IF(OR($L$23&lt;40*IF($A$25="mm",1,2.2046),AND($U$22="Corner Attachment",NOT($U$24="None"))),"N/A",IF(OR(BI63="",BO63=""),"BLANK",IF(AND($U$22="Corner Attachment",OR(AND($A$25="mm",BO63&gt;50),AND($A$25="Inch",BO63&gt;1.968))),"REJECT","EQ")))</f>
        <v>N/A</v>
      </c>
      <c r="BS63" s="25"/>
      <c r="BX63" s="49" t="s">
        <v>692</v>
      </c>
      <c r="BY63" s="149"/>
      <c r="BZ63" s="19" t="str">
        <f>IF($A$25="mm","mm","in")</f>
        <v>mm</v>
      </c>
      <c r="CA63" s="25" t="str">
        <f>IF(BY63="","BLANK",IF(AND($U$22="Corner Attachment",OR(AND($A$25="mm",BY63&gt;50),AND($A$25="Inch",BY63&gt;1.968))),"REJECT","EQ"))</f>
        <v>BLANK</v>
      </c>
      <c r="CC63" s="25"/>
      <c r="CH63" s="49" t="s">
        <v>692</v>
      </c>
      <c r="CI63" s="149"/>
      <c r="CJ63" s="19" t="str">
        <f>IF($A$25="mm","mm","in")</f>
        <v>mm</v>
      </c>
      <c r="CK63" s="25" t="str">
        <f>IF(CI63="","BLANK","EQ")</f>
        <v>BLANK</v>
      </c>
      <c r="CM63" s="25"/>
      <c r="CR63" s="49" t="s">
        <v>692</v>
      </c>
      <c r="CS63" s="149"/>
      <c r="CT63" s="19" t="str">
        <f>IF($A$25="mm","mm","in")</f>
        <v>mm</v>
      </c>
      <c r="CU63" s="25" t="str">
        <f>IF(CS63="","BLANK","EQ")</f>
        <v>BLANK</v>
      </c>
      <c r="CV63" s="41"/>
      <c r="CW63" s="25"/>
      <c r="DB63" s="49" t="s">
        <v>692</v>
      </c>
      <c r="DC63" s="149"/>
      <c r="DD63" s="19" t="str">
        <f>IF($A$25="mm","mm","in")</f>
        <v>mm</v>
      </c>
      <c r="DE63" s="25" t="str">
        <f>IF(DC63="","BLANK","EQ")</f>
        <v>BLANK</v>
      </c>
      <c r="DG63" s="25"/>
      <c r="DL63" s="49" t="s">
        <v>692</v>
      </c>
      <c r="DM63" s="149"/>
      <c r="DN63" s="19" t="str">
        <f>IF($A$25="mm","mm","in")</f>
        <v>mm</v>
      </c>
      <c r="DO63" s="25" t="str">
        <f>IF(OR($L$23&lt;40*IF($A$25="mm",1,2.2046),AND($U$22="Corner Attachment",NOT($U$25="None"))),"N/A",IF(DM63="","BLANK","EQ"))</f>
        <v>N/A</v>
      </c>
    </row>
    <row r="64" spans="1:129" ht="15" customHeight="1" thickBot="1" x14ac:dyDescent="0.35">
      <c r="A64" s="272" t="str">
        <f>IF(COUNTIF(I65:I76,"BLANK"),"BLANK",IF(OR(SUMPRODUCT(--ISERROR(I65:I76))&gt;0,COUNTIF(I65:I76,"REJECT")),"REJECT",IF(COUNTIF(I65:I76,"CHECK"),"CHECK","EQ")))</f>
        <v>BLANK</v>
      </c>
      <c r="B64" s="272"/>
      <c r="C64" s="272"/>
      <c r="D64" s="272"/>
      <c r="E64" s="272"/>
      <c r="F64" s="272"/>
      <c r="G64" s="272"/>
      <c r="H64" s="272"/>
      <c r="I64" s="272"/>
      <c r="J64" s="52"/>
      <c r="K64" s="272" t="str">
        <f>IF(COUNTIF(S65:S68,"BLANK"),"BLANK",IF(OR(SUMPRODUCT(--ISERROR(S65:S68))&gt;0,COUNTIF(S65:S68,"REJECT")),"REJECT",IF(COUNTIF(S65:S68,"CHECK"),"CHECK","EQ")))</f>
        <v>BLANK</v>
      </c>
      <c r="L64" s="272"/>
      <c r="M64" s="272"/>
      <c r="N64" s="272"/>
      <c r="O64" s="272"/>
      <c r="P64" s="272"/>
      <c r="Q64" s="272"/>
      <c r="R64" s="272"/>
      <c r="S64" s="272"/>
      <c r="U64" s="148" t="s">
        <v>687</v>
      </c>
      <c r="V64" s="19" t="s">
        <v>693</v>
      </c>
      <c r="AA64" s="50"/>
      <c r="AB64" s="19" t="str">
        <f>IF($A$25="mm","mm","in")</f>
        <v>mm</v>
      </c>
      <c r="AC64" s="25" t="str">
        <f>IF(OR(U64="",AA64=""),"BLANK",IF(AND($U$22="Corner Attachment",OR(AND($A$25="mm",AA64&gt;50),AND($A$25="Inch",AA64&gt;1.968))),"REJECT","EQ"))</f>
        <v>BLANK</v>
      </c>
      <c r="AE64" s="148" t="s">
        <v>687</v>
      </c>
      <c r="AF64" s="19" t="s">
        <v>693</v>
      </c>
      <c r="AK64" s="50"/>
      <c r="AL64" s="19" t="str">
        <f>IF($A$25="mm","mm","in")</f>
        <v>mm</v>
      </c>
      <c r="AM64" s="25" t="str">
        <f>IF(OR(AE64="",AK64=""),"BLANK",IF(AND($U$22="Corner Attachment",OR(AND($A$25="mm",AK64&gt;50),AND($A$25="Inch",AK64&gt;1.968))),"REJECT","EQ"))</f>
        <v>BLANK</v>
      </c>
      <c r="AO64" s="148" t="s">
        <v>687</v>
      </c>
      <c r="AP64" s="19" t="s">
        <v>693</v>
      </c>
      <c r="AU64" s="50"/>
      <c r="AV64" s="19" t="str">
        <f>IF($A$25="mm","mm","in")</f>
        <v>mm</v>
      </c>
      <c r="AW64" s="25" t="str">
        <f>IF(OR(AO64="",AU64=""),"BLANK",IF(AND($U$22="Corner Attachment",OR(AND($A$25="mm",AU64&gt;50),AND($A$25="Inch",AU64&gt;1.968))),"REJECT","EQ"))</f>
        <v>BLANK</v>
      </c>
      <c r="AY64" s="148" t="s">
        <v>687</v>
      </c>
      <c r="AZ64" s="19" t="s">
        <v>693</v>
      </c>
      <c r="BE64" s="50"/>
      <c r="BF64" s="19" t="str">
        <f>IF($A$25="mm","mm","in")</f>
        <v>mm</v>
      </c>
      <c r="BG64" s="25" t="str">
        <f>IF(OR(AY64="",BE64=""),"BLANK",IF(AND($U$22="Corner Attachment",OR(AND($A$25="mm",BE64&gt;50),AND($A$25="Inch",BE64&gt;1.968))),"REJECT","EQ"))</f>
        <v>BLANK</v>
      </c>
      <c r="BH64" s="52"/>
      <c r="BI64" s="148" t="s">
        <v>687</v>
      </c>
      <c r="BJ64" s="19" t="s">
        <v>693</v>
      </c>
      <c r="BO64" s="50"/>
      <c r="BP64" s="19" t="str">
        <f>IF($A$25="mm","mm","in")</f>
        <v>mm</v>
      </c>
      <c r="BQ64" s="25" t="str">
        <f>IF(OR($L$23&lt;40*IF($A$25="mm",1,2.2046),AND($U$22="Corner Attachment",NOT($U$24="None"))),"N/A",IF(OR(BI64="",BO64=""),"BLANK",IF(AND($U$22="Corner Attachment",OR(AND($A$25="mm",BO64&gt;50),AND($A$25="Inch",BO64&gt;1.968))),"REJECT","EQ")))</f>
        <v>N/A</v>
      </c>
      <c r="BX64" s="49" t="s">
        <v>694</v>
      </c>
      <c r="BY64" s="308" t="s">
        <v>606</v>
      </c>
      <c r="BZ64" s="309"/>
      <c r="CA64" s="25" t="s">
        <v>89</v>
      </c>
      <c r="CH64" s="49" t="s">
        <v>694</v>
      </c>
      <c r="CI64" s="308" t="s">
        <v>606</v>
      </c>
      <c r="CJ64" s="309"/>
      <c r="CK64" s="25" t="s">
        <v>89</v>
      </c>
      <c r="CR64" s="49" t="s">
        <v>694</v>
      </c>
      <c r="CS64" s="308" t="s">
        <v>606</v>
      </c>
      <c r="CT64" s="309"/>
      <c r="CU64" s="25" t="s">
        <v>89</v>
      </c>
      <c r="DB64" s="49" t="s">
        <v>694</v>
      </c>
      <c r="DC64" s="308" t="s">
        <v>606</v>
      </c>
      <c r="DD64" s="309"/>
      <c r="DE64" s="25" t="s">
        <v>89</v>
      </c>
      <c r="DL64" s="49" t="s">
        <v>694</v>
      </c>
      <c r="DM64" s="308" t="s">
        <v>606</v>
      </c>
      <c r="DN64" s="309"/>
      <c r="DO64" s="25" t="str">
        <f>IF(OR($L$23&lt;40*IF($A$25="mm",1,2.2046),AND($U$22="Corner Attachment",NOT($U$25="None"))),"N/A","EQ")</f>
        <v>N/A</v>
      </c>
    </row>
    <row r="65" spans="1:119" ht="15" customHeight="1" thickBot="1" x14ac:dyDescent="0.35">
      <c r="A65" s="46"/>
      <c r="B65" s="49"/>
      <c r="C65" s="49"/>
      <c r="D65" s="25"/>
      <c r="E65" s="25"/>
      <c r="F65" s="49" t="s">
        <v>695</v>
      </c>
      <c r="G65" s="243" t="s">
        <v>696</v>
      </c>
      <c r="H65" s="244"/>
      <c r="I65" s="25" t="str">
        <f t="shared" ref="I65:I70" si="7">IF(G65="","BLANK","EQ")</f>
        <v>EQ</v>
      </c>
      <c r="J65" s="52"/>
      <c r="K65" s="25"/>
      <c r="L65" s="49"/>
      <c r="M65" s="49"/>
      <c r="N65" s="49"/>
      <c r="O65" s="49"/>
      <c r="P65" s="49" t="s">
        <v>697</v>
      </c>
      <c r="Q65" s="56"/>
      <c r="R65" s="19" t="s">
        <v>698</v>
      </c>
      <c r="S65" s="25" t="str">
        <f>IF(Q65="","BLANK","EQ")</f>
        <v>BLANK</v>
      </c>
      <c r="U65" s="25"/>
      <c r="Z65" s="49" t="s">
        <v>699</v>
      </c>
      <c r="AA65" s="25">
        <f>SQRT(IF(U62="Outside",1,0)*AA62^2+IF(U63="Outside",1,0)*AA63^2+IF(U64="Outside",1,0)*AA64^2)</f>
        <v>0</v>
      </c>
      <c r="AB65" s="19" t="str">
        <f>IF($A$25="mm","mm","in")</f>
        <v>mm</v>
      </c>
      <c r="AC65" s="25" t="s">
        <v>89</v>
      </c>
      <c r="AE65" s="25"/>
      <c r="AF65" s="19"/>
      <c r="AJ65" s="49" t="s">
        <v>699</v>
      </c>
      <c r="AK65" s="25">
        <f>SQRT(IF(AE62="Outside",1,0)*AK62^2+IF(AE63="Outside",1,0)*AK63^2+IF(AE64="Outside",1,0)*AK64^2)</f>
        <v>0</v>
      </c>
      <c r="AL65" s="19" t="str">
        <f>IF($A$25="mm","mm","in")</f>
        <v>mm</v>
      </c>
      <c r="AM65" s="25" t="s">
        <v>89</v>
      </c>
      <c r="AO65" s="25"/>
      <c r="AT65" s="49" t="s">
        <v>699</v>
      </c>
      <c r="AU65" s="25">
        <f>SQRT(IF(AO62="Outside",1,0)*AU62^2+IF(AO63="Outside",1,0)*AU63^2+IF(AO64="Outside",1,0)*AU64^2)</f>
        <v>0</v>
      </c>
      <c r="AV65" s="19" t="str">
        <f>IF($A$25="mm","mm","in")</f>
        <v>mm</v>
      </c>
      <c r="AW65" s="25" t="s">
        <v>89</v>
      </c>
      <c r="AY65" s="25"/>
      <c r="BD65" s="49" t="s">
        <v>699</v>
      </c>
      <c r="BE65" s="25">
        <f>SQRT(IF(AY62="Outside",1,0)*BE62^2+IF(AY63="Outside",1,0)*BE63^2+IF(AY64="Outside",1,0)*BE64^2)</f>
        <v>0</v>
      </c>
      <c r="BF65" s="19" t="str">
        <f>IF($A$25="mm","mm","in")</f>
        <v>mm</v>
      </c>
      <c r="BG65" s="25" t="s">
        <v>89</v>
      </c>
      <c r="BH65" s="52"/>
      <c r="BI65" s="25"/>
      <c r="BN65" s="49" t="s">
        <v>699</v>
      </c>
      <c r="BO65" s="25">
        <f>SQRT(IF(BI62="Outside",1,0)*BO62^2+IF(BI63="Outside",1,0)*BO63^2+IF(BI64="Outside",1,0)*BO64^2)</f>
        <v>0</v>
      </c>
      <c r="BP65" s="19" t="str">
        <f>IF($A$25="mm","mm","in")</f>
        <v>mm</v>
      </c>
      <c r="BQ65" s="25" t="str">
        <f>IF(OR($L$23&lt;40*IF($A$25="mm",1,2.2046),AND($U$22="Corner Attachment",NOT($U$24="None"))),"N/A","EQ")</f>
        <v>N/A</v>
      </c>
      <c r="BT65" s="47"/>
      <c r="BU65" s="289" t="s">
        <v>510</v>
      </c>
      <c r="BV65" s="289"/>
      <c r="BW65" s="289"/>
      <c r="BX65" s="289"/>
      <c r="BY65" s="58">
        <f>INDEX($G$3:$G$19,MATCH(BY64,$E$3:$E$19,0))</f>
        <v>200000000000</v>
      </c>
      <c r="BZ65" s="19" t="str">
        <f>IF($A$25="mm","Pa","psi")</f>
        <v>Pa</v>
      </c>
      <c r="CA65" s="25" t="s">
        <v>89</v>
      </c>
      <c r="CD65" s="47"/>
      <c r="CE65" s="289" t="s">
        <v>510</v>
      </c>
      <c r="CF65" s="289"/>
      <c r="CG65" s="289"/>
      <c r="CH65" s="289"/>
      <c r="CI65" s="58">
        <f>INDEX($G$3:$G$19,MATCH(CI64,$E$3:$E$19,0))</f>
        <v>200000000000</v>
      </c>
      <c r="CJ65" s="19" t="str">
        <f>IF($A$25="mm","Pa","psi")</f>
        <v>Pa</v>
      </c>
      <c r="CK65" s="25" t="s">
        <v>89</v>
      </c>
      <c r="CN65" s="47"/>
      <c r="CO65" s="289" t="s">
        <v>510</v>
      </c>
      <c r="CP65" s="289"/>
      <c r="CQ65" s="289"/>
      <c r="CR65" s="289"/>
      <c r="CS65" s="58">
        <f>INDEX($G$3:$G$19,MATCH(CS64,$E$3:$E$19,0))</f>
        <v>200000000000</v>
      </c>
      <c r="CT65" s="19" t="str">
        <f>IF($A$25="mm","Pa","psi")</f>
        <v>Pa</v>
      </c>
      <c r="CU65" s="25" t="s">
        <v>89</v>
      </c>
      <c r="CX65" s="47"/>
      <c r="CY65" s="289" t="s">
        <v>510</v>
      </c>
      <c r="CZ65" s="289"/>
      <c r="DA65" s="289"/>
      <c r="DB65" s="289"/>
      <c r="DC65" s="58">
        <f>INDEX($G$3:$G$19,MATCH(DC64,$E$3:$E$19,0))</f>
        <v>200000000000</v>
      </c>
      <c r="DD65" s="19" t="str">
        <f>IF($A$25="mm","Pa","psi")</f>
        <v>Pa</v>
      </c>
      <c r="DE65" s="25" t="s">
        <v>89</v>
      </c>
      <c r="DH65" s="47"/>
      <c r="DI65" s="289" t="s">
        <v>510</v>
      </c>
      <c r="DJ65" s="289"/>
      <c r="DK65" s="289"/>
      <c r="DL65" s="289"/>
      <c r="DM65" s="58">
        <f>INDEX($H$2:$H$16,MATCH(DM64,$E$2:$E$16,0))</f>
        <v>0</v>
      </c>
      <c r="DN65" s="19" t="str">
        <f>IF($A$25="mm","Pa","psi")</f>
        <v>Pa</v>
      </c>
      <c r="DO65" s="25" t="str">
        <f>IF(OR($L$23&lt;40*IF($A$25="mm",1,2.2046),AND($U$22="Corner Attachment",NOT($U$25="None"))),"N/A","EQ")</f>
        <v>N/A</v>
      </c>
    </row>
    <row r="66" spans="1:119" ht="15" customHeight="1" thickBot="1" x14ac:dyDescent="0.35">
      <c r="A66" s="46"/>
      <c r="B66" s="49"/>
      <c r="C66" s="49"/>
      <c r="D66" s="25"/>
      <c r="E66" s="25"/>
      <c r="F66" s="49" t="s">
        <v>700</v>
      </c>
      <c r="G66" s="57"/>
      <c r="H66" s="19" t="s">
        <v>701</v>
      </c>
      <c r="I66" s="25" t="str">
        <f t="shared" si="7"/>
        <v>BLANK</v>
      </c>
      <c r="J66" s="52"/>
      <c r="K66" s="47" t="s">
        <v>702</v>
      </c>
      <c r="L66" s="49"/>
      <c r="M66" s="49"/>
      <c r="N66" s="49"/>
      <c r="O66" s="49"/>
      <c r="P66" s="49" t="s">
        <v>703</v>
      </c>
      <c r="Q66" s="50"/>
      <c r="R66" s="19" t="s">
        <v>698</v>
      </c>
      <c r="S66" s="25" t="str">
        <f>IF(Q66="","BLANK",IF(Q66&gt;12,"REJECT","EQ"))</f>
        <v>BLANK</v>
      </c>
      <c r="Z66" s="49" t="s">
        <v>704</v>
      </c>
      <c r="AA66" s="308" t="s">
        <v>606</v>
      </c>
      <c r="AB66" s="309"/>
      <c r="AC66" s="25" t="s">
        <v>89</v>
      </c>
      <c r="AE66" s="19"/>
      <c r="AF66" s="19"/>
      <c r="AJ66" s="49" t="s">
        <v>704</v>
      </c>
      <c r="AK66" s="308" t="s">
        <v>606</v>
      </c>
      <c r="AL66" s="309"/>
      <c r="AM66" s="25" t="s">
        <v>89</v>
      </c>
      <c r="AN66" s="52"/>
      <c r="AT66" s="49" t="s">
        <v>704</v>
      </c>
      <c r="AU66" s="308" t="s">
        <v>606</v>
      </c>
      <c r="AV66" s="309"/>
      <c r="AW66" s="25" t="s">
        <v>89</v>
      </c>
      <c r="BD66" s="49" t="s">
        <v>704</v>
      </c>
      <c r="BE66" s="308" t="s">
        <v>606</v>
      </c>
      <c r="BF66" s="309"/>
      <c r="BG66" s="25" t="s">
        <v>89</v>
      </c>
      <c r="BH66" s="52"/>
      <c r="BN66" s="49" t="s">
        <v>704</v>
      </c>
      <c r="BO66" s="308" t="s">
        <v>606</v>
      </c>
      <c r="BP66" s="309"/>
      <c r="BQ66" s="25" t="str">
        <f>IF(OR($L$23&lt;40*IF($A$25="mm",1,2.2046),AND($U$22="Corner Attachment",NOT($U$24="None"))),"N/A","EQ")</f>
        <v>N/A</v>
      </c>
      <c r="BS66" s="101"/>
      <c r="BT66" s="289" t="s">
        <v>705</v>
      </c>
      <c r="BU66" s="289"/>
      <c r="BV66" s="289"/>
      <c r="BW66" s="289"/>
      <c r="BX66" s="289"/>
      <c r="BY66" s="58">
        <f>INDEX($I$3:$I$19,MATCH(BY64,$E$3:$E$19,0))</f>
        <v>365000000</v>
      </c>
      <c r="BZ66" s="19" t="str">
        <f>IF($A$25="mm","Pa","psi")</f>
        <v>Pa</v>
      </c>
      <c r="CA66" s="25" t="s">
        <v>89</v>
      </c>
      <c r="CC66" s="101"/>
      <c r="CD66" s="289" t="s">
        <v>705</v>
      </c>
      <c r="CE66" s="289"/>
      <c r="CF66" s="289"/>
      <c r="CG66" s="289"/>
      <c r="CH66" s="289"/>
      <c r="CI66" s="58">
        <f>INDEX($I$3:$I$19,MATCH(CI64,$E$3:$E$19,0))</f>
        <v>365000000</v>
      </c>
      <c r="CJ66" s="19" t="str">
        <f>IF($A$25="mm","Pa","psi")</f>
        <v>Pa</v>
      </c>
      <c r="CK66" s="25" t="s">
        <v>89</v>
      </c>
      <c r="CM66" s="101"/>
      <c r="CN66" s="289" t="s">
        <v>705</v>
      </c>
      <c r="CO66" s="289"/>
      <c r="CP66" s="289"/>
      <c r="CQ66" s="289"/>
      <c r="CR66" s="289"/>
      <c r="CS66" s="58">
        <f>INDEX($I$3:$I$19,MATCH(CS64,$E$3:$E$19,0))</f>
        <v>365000000</v>
      </c>
      <c r="CT66" s="19" t="str">
        <f>IF($A$25="mm","Pa","psi")</f>
        <v>Pa</v>
      </c>
      <c r="CU66" s="25" t="s">
        <v>89</v>
      </c>
      <c r="CW66" s="101"/>
      <c r="CX66" s="289" t="s">
        <v>705</v>
      </c>
      <c r="CY66" s="289"/>
      <c r="CZ66" s="289"/>
      <c r="DA66" s="289"/>
      <c r="DB66" s="289"/>
      <c r="DC66" s="58">
        <f>INDEX($I$3:$I$19,MATCH(DC64,$E$3:$E$19,0))</f>
        <v>365000000</v>
      </c>
      <c r="DD66" s="19" t="str">
        <f>IF($A$25="mm","Pa","psi")</f>
        <v>Pa</v>
      </c>
      <c r="DE66" s="25" t="s">
        <v>89</v>
      </c>
      <c r="DG66" s="101"/>
      <c r="DH66" s="289" t="s">
        <v>705</v>
      </c>
      <c r="DI66" s="289"/>
      <c r="DJ66" s="289"/>
      <c r="DK66" s="289"/>
      <c r="DL66" s="289"/>
      <c r="DM66" s="58">
        <f>INDEX($I$2:$I$16,MATCH(DM64,$E$2:$E$16,0))</f>
        <v>365000000</v>
      </c>
      <c r="DN66" s="19" t="str">
        <f>IF($A$25="mm","Pa","psi")</f>
        <v>Pa</v>
      </c>
      <c r="DO66" s="25" t="str">
        <f>IF(OR($L$23&lt;40*IF($A$25="mm",1,2.2046),AND($U$22="Corner Attachment",NOT($U$25="None"))),"N/A","EQ")</f>
        <v>N/A</v>
      </c>
    </row>
    <row r="67" spans="1:119" ht="15" customHeight="1" x14ac:dyDescent="0.3">
      <c r="A67" s="46"/>
      <c r="B67" s="49"/>
      <c r="C67" s="49"/>
      <c r="D67" s="25"/>
      <c r="E67" s="25"/>
      <c r="F67" s="49" t="s">
        <v>706</v>
      </c>
      <c r="G67" s="57"/>
      <c r="H67" s="19" t="s">
        <v>701</v>
      </c>
      <c r="I67" s="25" t="str">
        <f t="shared" si="7"/>
        <v>BLANK</v>
      </c>
      <c r="L67" s="49"/>
      <c r="M67" s="49"/>
      <c r="N67" s="49"/>
      <c r="O67" s="49"/>
      <c r="P67" s="49" t="s">
        <v>707</v>
      </c>
      <c r="Q67" s="50"/>
      <c r="S67" s="25" t="str">
        <f>IF(Q67="","BLANK",IF(Q67&gt;12,"REJECT","EQ"))</f>
        <v>BLANK</v>
      </c>
      <c r="V67" s="47"/>
      <c r="W67" s="289" t="s">
        <v>510</v>
      </c>
      <c r="X67" s="289"/>
      <c r="Y67" s="289"/>
      <c r="Z67" s="289"/>
      <c r="AA67" s="58">
        <f>INDEX($G$3:$G$19,MATCH(AA66,$E$3:$E$19,0))</f>
        <v>200000000000</v>
      </c>
      <c r="AB67" s="19" t="str">
        <f>IF($A$25="mm","Pa","psi")</f>
        <v>Pa</v>
      </c>
      <c r="AC67" s="25" t="s">
        <v>89</v>
      </c>
      <c r="AE67" s="19"/>
      <c r="AF67" s="47"/>
      <c r="AG67" s="289" t="s">
        <v>510</v>
      </c>
      <c r="AH67" s="289"/>
      <c r="AI67" s="289"/>
      <c r="AJ67" s="289"/>
      <c r="AK67" s="58">
        <f>INDEX($G$3:$G$19,MATCH(AK66,$E$3:$E$19,0))</f>
        <v>200000000000</v>
      </c>
      <c r="AL67" s="19" t="str">
        <f>IF($A$25="mm","Pa","psi")</f>
        <v>Pa</v>
      </c>
      <c r="AM67" s="25" t="s">
        <v>89</v>
      </c>
      <c r="AN67" s="52"/>
      <c r="AP67" s="47"/>
      <c r="AQ67" s="289" t="s">
        <v>510</v>
      </c>
      <c r="AR67" s="289"/>
      <c r="AS67" s="289"/>
      <c r="AT67" s="289"/>
      <c r="AU67" s="58">
        <f>INDEX($G$3:$G$19,MATCH(AU66,$E$3:$E$19,0))</f>
        <v>200000000000</v>
      </c>
      <c r="AV67" s="19" t="str">
        <f>IF($A$25="mm","Pa","psi")</f>
        <v>Pa</v>
      </c>
      <c r="AW67" s="25" t="s">
        <v>89</v>
      </c>
      <c r="AZ67" s="47"/>
      <c r="BA67" s="289" t="s">
        <v>510</v>
      </c>
      <c r="BB67" s="289"/>
      <c r="BC67" s="289"/>
      <c r="BD67" s="289"/>
      <c r="BE67" s="58">
        <f>INDEX($G$3:$G$19,MATCH(BE66,$E$3:$E$19,0))</f>
        <v>200000000000</v>
      </c>
      <c r="BF67" s="19" t="str">
        <f>IF($A$25="mm","Pa","psi")</f>
        <v>Pa</v>
      </c>
      <c r="BG67" s="25" t="s">
        <v>89</v>
      </c>
      <c r="BH67" s="52"/>
      <c r="BJ67" s="47"/>
      <c r="BK67" s="289" t="s">
        <v>510</v>
      </c>
      <c r="BL67" s="289"/>
      <c r="BM67" s="289"/>
      <c r="BN67" s="289"/>
      <c r="BO67" s="58">
        <f>INDEX($G$3:$G$19,MATCH(BO66,$E$3:$E$19,0))</f>
        <v>200000000000</v>
      </c>
      <c r="BP67" s="19" t="str">
        <f>IF($A$25="mm","Pa","psi")</f>
        <v>Pa</v>
      </c>
      <c r="BQ67" s="25" t="str">
        <f>IF(OR($L$23&lt;40*IF($A$25="mm",1,2.2046),AND($U$22="Corner Attachment",NOT($U$24="None"))),"N/A","EQ")</f>
        <v>N/A</v>
      </c>
      <c r="BS67" s="46"/>
      <c r="BT67" s="60"/>
      <c r="BU67" s="289" t="s">
        <v>708</v>
      </c>
      <c r="BV67" s="289"/>
      <c r="BW67" s="289"/>
      <c r="BX67" s="289"/>
      <c r="BY67" s="58">
        <f>INDEX($K$3:$K$19,MATCH(BY64,$E$3:$E$19,0))</f>
        <v>210604999.99999997</v>
      </c>
      <c r="BZ67" s="19" t="str">
        <f>IF($A$25="mm","Pa","psi")</f>
        <v>Pa</v>
      </c>
      <c r="CA67" s="25" t="s">
        <v>89</v>
      </c>
      <c r="CC67" s="46"/>
      <c r="CD67" s="60"/>
      <c r="CE67" s="289" t="s">
        <v>708</v>
      </c>
      <c r="CF67" s="289"/>
      <c r="CG67" s="289"/>
      <c r="CH67" s="289"/>
      <c r="CI67" s="58">
        <f>INDEX($K$3:$K$19,MATCH(CI64,$E$3:$E$19,0))</f>
        <v>210604999.99999997</v>
      </c>
      <c r="CJ67" s="19" t="str">
        <f>IF($A$25="mm","Pa","psi")</f>
        <v>Pa</v>
      </c>
      <c r="CK67" s="25" t="s">
        <v>89</v>
      </c>
      <c r="CM67" s="46"/>
      <c r="CN67" s="60"/>
      <c r="CO67" s="289" t="s">
        <v>708</v>
      </c>
      <c r="CP67" s="289"/>
      <c r="CQ67" s="289"/>
      <c r="CR67" s="289"/>
      <c r="CS67" s="58">
        <f>INDEX($K$3:$K$19,MATCH(CS64,$E$3:$E$19,0))</f>
        <v>210604999.99999997</v>
      </c>
      <c r="CT67" s="19" t="str">
        <f>IF($A$25="mm","Pa","psi")</f>
        <v>Pa</v>
      </c>
      <c r="CU67" s="25" t="s">
        <v>89</v>
      </c>
      <c r="CW67" s="46"/>
      <c r="CX67" s="60"/>
      <c r="CY67" s="289" t="s">
        <v>708</v>
      </c>
      <c r="CZ67" s="289"/>
      <c r="DA67" s="289"/>
      <c r="DB67" s="289"/>
      <c r="DC67" s="58">
        <f>INDEX($K$3:$K$19,MATCH(DC64,$E$3:$E$19,0))</f>
        <v>210604999.99999997</v>
      </c>
      <c r="DD67" s="19" t="str">
        <f>IF($A$25="mm","Pa","psi")</f>
        <v>Pa</v>
      </c>
      <c r="DE67" s="25" t="s">
        <v>89</v>
      </c>
      <c r="DG67" s="46"/>
      <c r="DH67" s="60"/>
      <c r="DI67" s="289" t="s">
        <v>708</v>
      </c>
      <c r="DJ67" s="289"/>
      <c r="DK67" s="289"/>
      <c r="DL67" s="289"/>
      <c r="DM67" s="58">
        <f>INDEX($J$2:$J$16,MATCH(DM64,$E$2:$E$16,0))</f>
        <v>0</v>
      </c>
      <c r="DN67" s="19" t="str">
        <f>IF($A$25="mm","Pa","psi")</f>
        <v>Pa</v>
      </c>
      <c r="DO67" s="25" t="str">
        <f>IF(OR($L$23&lt;40*IF($A$25="mm",1,2.2046),AND($U$22="Corner Attachment",NOT($U$25="None"))),"N/A","EQ")</f>
        <v>N/A</v>
      </c>
    </row>
    <row r="68" spans="1:119" ht="15" customHeight="1" x14ac:dyDescent="0.3">
      <c r="A68" s="46"/>
      <c r="B68" s="49"/>
      <c r="C68" s="49"/>
      <c r="D68" s="25"/>
      <c r="E68" s="25"/>
      <c r="F68" s="49" t="s">
        <v>709</v>
      </c>
      <c r="G68" s="50"/>
      <c r="H68" s="19" t="s">
        <v>710</v>
      </c>
      <c r="I68" s="25" t="str">
        <f t="shared" si="7"/>
        <v>BLANK</v>
      </c>
      <c r="K68" s="47"/>
      <c r="L68" s="49"/>
      <c r="M68" s="49"/>
      <c r="N68" s="49"/>
      <c r="O68" s="49"/>
      <c r="P68" s="49" t="s">
        <v>711</v>
      </c>
      <c r="Q68" s="50"/>
      <c r="S68" s="25" t="str">
        <f>IF(Q68="","BLANK",IF(Q68&gt;12,"REJECT","EQ"))</f>
        <v>BLANK</v>
      </c>
      <c r="U68" s="101"/>
      <c r="V68" s="289" t="s">
        <v>705</v>
      </c>
      <c r="W68" s="289"/>
      <c r="X68" s="289"/>
      <c r="Y68" s="289"/>
      <c r="Z68" s="289"/>
      <c r="AA68" s="58">
        <f>INDEX($I$3:$I$19,MATCH(AA66,$E$3:$E$19,0))</f>
        <v>365000000</v>
      </c>
      <c r="AB68" s="19" t="str">
        <f>IF($A$25="mm","Pa","psi")</f>
        <v>Pa</v>
      </c>
      <c r="AC68" s="25" t="s">
        <v>89</v>
      </c>
      <c r="AE68" s="101"/>
      <c r="AF68" s="289" t="s">
        <v>705</v>
      </c>
      <c r="AG68" s="289"/>
      <c r="AH68" s="289"/>
      <c r="AI68" s="289"/>
      <c r="AJ68" s="289"/>
      <c r="AK68" s="58">
        <f>INDEX($I$3:$I$19,MATCH(AK66,$E$3:$E$19,0))</f>
        <v>365000000</v>
      </c>
      <c r="AL68" s="19" t="str">
        <f>IF($A$25="mm","Pa","psi")</f>
        <v>Pa</v>
      </c>
      <c r="AM68" s="25" t="s">
        <v>89</v>
      </c>
      <c r="AO68" s="101"/>
      <c r="AP68" s="289" t="s">
        <v>705</v>
      </c>
      <c r="AQ68" s="289"/>
      <c r="AR68" s="289"/>
      <c r="AS68" s="289"/>
      <c r="AT68" s="289"/>
      <c r="AU68" s="58">
        <f>INDEX($I$3:$I$19,MATCH(AU66,$E$3:$E$19,0))</f>
        <v>365000000</v>
      </c>
      <c r="AV68" s="19" t="str">
        <f>IF($A$25="mm","Pa","psi")</f>
        <v>Pa</v>
      </c>
      <c r="AW68" s="25" t="s">
        <v>89</v>
      </c>
      <c r="AY68" s="101"/>
      <c r="AZ68" s="289" t="s">
        <v>705</v>
      </c>
      <c r="BA68" s="289"/>
      <c r="BB68" s="289"/>
      <c r="BC68" s="289"/>
      <c r="BD68" s="289"/>
      <c r="BE68" s="58">
        <f>INDEX($I$3:$I$19,MATCH(BE66,$E$3:$E$19,0))</f>
        <v>365000000</v>
      </c>
      <c r="BF68" s="19" t="str">
        <f>IF($A$25="mm","Pa","psi")</f>
        <v>Pa</v>
      </c>
      <c r="BG68" s="25" t="s">
        <v>89</v>
      </c>
      <c r="BI68" s="101"/>
      <c r="BJ68" s="289" t="s">
        <v>705</v>
      </c>
      <c r="BK68" s="289"/>
      <c r="BL68" s="289"/>
      <c r="BM68" s="289"/>
      <c r="BN68" s="289"/>
      <c r="BO68" s="58">
        <f>INDEX($I$3:$I$19,MATCH(BO66,$E$3:$E$19,0))</f>
        <v>365000000</v>
      </c>
      <c r="BP68" s="19" t="str">
        <f>IF($A$25="mm","Pa","psi")</f>
        <v>Pa</v>
      </c>
      <c r="BQ68" s="25" t="str">
        <f>IF(OR($L$23&lt;40*IF($A$25="mm",1,2.2046),AND($U$22="Corner Attachment",NOT($U$24="None"))),"N/A","EQ")</f>
        <v>N/A</v>
      </c>
      <c r="BS68" s="46"/>
      <c r="BT68" s="60"/>
      <c r="BU68" s="49"/>
      <c r="BV68" s="49"/>
      <c r="BW68" s="49"/>
      <c r="BX68" s="49" t="s">
        <v>712</v>
      </c>
      <c r="BY68" s="50"/>
      <c r="BZ68" s="19" t="str">
        <f>IF($A$25="mm","mm","in")</f>
        <v>mm</v>
      </c>
      <c r="CA68" s="25" t="str">
        <f>IF(BY68="","BLANK","EQ")</f>
        <v>BLANK</v>
      </c>
      <c r="CC68" s="46"/>
      <c r="CD68" s="60"/>
      <c r="CE68" s="49"/>
      <c r="CF68" s="49"/>
      <c r="CG68" s="49"/>
      <c r="CH68" s="49" t="s">
        <v>712</v>
      </c>
      <c r="CI68" s="50"/>
      <c r="CJ68" s="19" t="str">
        <f>IF($A$25="mm","mm","in")</f>
        <v>mm</v>
      </c>
      <c r="CK68" s="25" t="str">
        <f>IF(CI68="","BLANK","EQ")</f>
        <v>BLANK</v>
      </c>
      <c r="CM68" s="46"/>
      <c r="CN68" s="60"/>
      <c r="CO68" s="49"/>
      <c r="CP68" s="49"/>
      <c r="CQ68" s="49"/>
      <c r="CR68" s="49" t="s">
        <v>712</v>
      </c>
      <c r="CS68" s="50"/>
      <c r="CT68" s="19" t="str">
        <f>IF($A$25="mm","mm","in")</f>
        <v>mm</v>
      </c>
      <c r="CU68" s="25" t="str">
        <f>IF(CS68="","BLANK","EQ")</f>
        <v>BLANK</v>
      </c>
      <c r="CW68" s="46"/>
      <c r="CX68" s="60"/>
      <c r="CY68" s="49"/>
      <c r="CZ68" s="49"/>
      <c r="DA68" s="49"/>
      <c r="DB68" s="49" t="s">
        <v>712</v>
      </c>
      <c r="DC68" s="50"/>
      <c r="DD68" s="19" t="str">
        <f>IF($A$25="mm","mm","in")</f>
        <v>mm</v>
      </c>
      <c r="DE68" s="25" t="str">
        <f>IF(DC68="","BLANK","EQ")</f>
        <v>BLANK</v>
      </c>
      <c r="DG68" s="46"/>
      <c r="DH68" s="60"/>
      <c r="DI68" s="49"/>
      <c r="DJ68" s="49"/>
      <c r="DK68" s="49"/>
      <c r="DL68" s="49" t="s">
        <v>712</v>
      </c>
      <c r="DM68" s="50"/>
      <c r="DN68" s="19" t="str">
        <f>IF($A$25="mm","mm","in")</f>
        <v>mm</v>
      </c>
      <c r="DO68" s="25" t="str">
        <f t="shared" ref="DO68:DO74" si="8">IF(OR($L$23&lt;40*IF($A$25="mm",1,2.2046),AND($U$22="Corner Attachment",NOT($U$25="None"))),"N/A",IF(DM68="","BLANK","EQ"))</f>
        <v>N/A</v>
      </c>
    </row>
    <row r="69" spans="1:119" ht="15" customHeight="1" x14ac:dyDescent="0.3">
      <c r="A69" s="46"/>
      <c r="B69" s="49"/>
      <c r="C69" s="49"/>
      <c r="D69" s="25"/>
      <c r="E69" s="25"/>
      <c r="F69" s="49" t="s">
        <v>713</v>
      </c>
      <c r="G69" s="50"/>
      <c r="I69" s="25" t="str">
        <f t="shared" si="7"/>
        <v>BLANK</v>
      </c>
      <c r="K69" s="296" t="str">
        <f>IF(AND(NOT(Q68=""),Q68=0),"EV.4.2.2f Baseline: 2 x 6mm (1/4in) fasteners connecting vertical walls.","EV.4.2.2f Baseline: 3 x 6mm (1/4in) fasteners connecting vertical walls.")</f>
        <v>EV.4.2.2f Baseline: 3 x 6mm (1/4in) fasteners connecting vertical walls.</v>
      </c>
      <c r="L69" s="296"/>
      <c r="M69" s="296"/>
      <c r="N69" s="296"/>
      <c r="O69" s="296"/>
      <c r="P69" s="296"/>
      <c r="Q69" s="296"/>
      <c r="R69" s="296"/>
      <c r="S69" s="25">
        <f>IF(AND(NOT(Q68=""),Q68=0),2,3)</f>
        <v>3</v>
      </c>
      <c r="U69" s="46"/>
      <c r="V69" s="60"/>
      <c r="W69" s="289" t="s">
        <v>708</v>
      </c>
      <c r="X69" s="289"/>
      <c r="Y69" s="289"/>
      <c r="Z69" s="289"/>
      <c r="AA69" s="58">
        <f>INDEX($K$3:$K$19,MATCH(AA66,$E$3:$E$19,0))</f>
        <v>210604999.99999997</v>
      </c>
      <c r="AB69" s="19" t="str">
        <f>IF($A$25="mm","Pa","psi")</f>
        <v>Pa</v>
      </c>
      <c r="AC69" s="25" t="s">
        <v>89</v>
      </c>
      <c r="AE69" s="46"/>
      <c r="AF69" s="60"/>
      <c r="AG69" s="289" t="s">
        <v>708</v>
      </c>
      <c r="AH69" s="289"/>
      <c r="AI69" s="289"/>
      <c r="AJ69" s="289"/>
      <c r="AK69" s="58">
        <f>INDEX($K$3:$K$19,MATCH(AK66,$E$3:$E$19,0))</f>
        <v>210604999.99999997</v>
      </c>
      <c r="AL69" s="19" t="str">
        <f>IF($A$25="mm","Pa","psi")</f>
        <v>Pa</v>
      </c>
      <c r="AM69" s="25" t="s">
        <v>89</v>
      </c>
      <c r="AO69" s="46"/>
      <c r="AP69" s="60"/>
      <c r="AQ69" s="289" t="s">
        <v>708</v>
      </c>
      <c r="AR69" s="289"/>
      <c r="AS69" s="289"/>
      <c r="AT69" s="289"/>
      <c r="AU69" s="58">
        <f>INDEX($K$3:$K$19,MATCH(AU66,$E$3:$E$19,0))</f>
        <v>210604999.99999997</v>
      </c>
      <c r="AV69" s="19" t="str">
        <f>IF($A$25="mm","Pa","psi")</f>
        <v>Pa</v>
      </c>
      <c r="AW69" s="25" t="s">
        <v>89</v>
      </c>
      <c r="AY69" s="46"/>
      <c r="AZ69" s="60"/>
      <c r="BA69" s="289" t="s">
        <v>708</v>
      </c>
      <c r="BB69" s="289"/>
      <c r="BC69" s="289"/>
      <c r="BD69" s="289"/>
      <c r="BE69" s="58">
        <f>INDEX($K$3:$K$19,MATCH(BE66,$E$3:$E$19,0))</f>
        <v>210604999.99999997</v>
      </c>
      <c r="BF69" s="19" t="str">
        <f>IF($A$25="mm","Pa","psi")</f>
        <v>Pa</v>
      </c>
      <c r="BG69" s="25" t="s">
        <v>89</v>
      </c>
      <c r="BI69" s="46"/>
      <c r="BJ69" s="60"/>
      <c r="BK69" s="289" t="s">
        <v>708</v>
      </c>
      <c r="BL69" s="289"/>
      <c r="BM69" s="289"/>
      <c r="BN69" s="289"/>
      <c r="BO69" s="58">
        <f>INDEX($K$3:$K$19,MATCH(BO66,$E$3:$E$19,0))</f>
        <v>210604999.99999997</v>
      </c>
      <c r="BP69" s="19" t="str">
        <f>IF($A$25="mm","Pa","psi")</f>
        <v>Pa</v>
      </c>
      <c r="BQ69" s="25" t="str">
        <f>IF(OR($L$23&lt;40*IF($A$25="mm",1,2.2046),AND($U$22="Corner Attachment",NOT($U$24="None"))),"N/A","EQ")</f>
        <v>N/A</v>
      </c>
      <c r="BS69" s="46"/>
      <c r="BT69" s="60"/>
      <c r="BU69" s="49"/>
      <c r="BV69" s="49"/>
      <c r="BW69" s="49"/>
      <c r="BX69" s="49" t="s">
        <v>714</v>
      </c>
      <c r="BY69" s="50"/>
      <c r="BZ69" s="19" t="str">
        <f>IF($A$25="mm","mm","in")</f>
        <v>mm</v>
      </c>
      <c r="CA69" s="25" t="str">
        <f t="shared" ref="CA69:CA74" si="9">IF(BY69="","BLANK","EQ")</f>
        <v>BLANK</v>
      </c>
      <c r="CC69" s="46"/>
      <c r="CD69" s="60"/>
      <c r="CE69" s="49"/>
      <c r="CF69" s="49"/>
      <c r="CG69" s="49"/>
      <c r="CH69" s="49" t="s">
        <v>714</v>
      </c>
      <c r="CI69" s="50"/>
      <c r="CJ69" s="19" t="str">
        <f>IF($A$25="mm","mm","in")</f>
        <v>mm</v>
      </c>
      <c r="CK69" s="25" t="str">
        <f t="shared" ref="CK69:CK74" si="10">IF(CI69="","BLANK","EQ")</f>
        <v>BLANK</v>
      </c>
      <c r="CM69" s="46"/>
      <c r="CN69" s="60"/>
      <c r="CO69" s="49"/>
      <c r="CP69" s="49"/>
      <c r="CQ69" s="49"/>
      <c r="CR69" s="49" t="s">
        <v>714</v>
      </c>
      <c r="CS69" s="50"/>
      <c r="CT69" s="19" t="str">
        <f>IF($A$25="mm","mm","in")</f>
        <v>mm</v>
      </c>
      <c r="CU69" s="25" t="str">
        <f t="shared" ref="CU69:CU74" si="11">IF(CS69="","BLANK","EQ")</f>
        <v>BLANK</v>
      </c>
      <c r="CW69" s="46"/>
      <c r="CX69" s="60"/>
      <c r="CY69" s="49"/>
      <c r="CZ69" s="49"/>
      <c r="DA69" s="49"/>
      <c r="DB69" s="49" t="s">
        <v>714</v>
      </c>
      <c r="DC69" s="50"/>
      <c r="DD69" s="19" t="str">
        <f>IF($A$25="mm","mm","in")</f>
        <v>mm</v>
      </c>
      <c r="DE69" s="25" t="str">
        <f t="shared" ref="DE69:DE74" si="12">IF(DC69="","BLANK","EQ")</f>
        <v>BLANK</v>
      </c>
      <c r="DG69" s="46"/>
      <c r="DH69" s="60"/>
      <c r="DI69" s="49"/>
      <c r="DJ69" s="49"/>
      <c r="DK69" s="49"/>
      <c r="DL69" s="49" t="s">
        <v>714</v>
      </c>
      <c r="DM69" s="50"/>
      <c r="DN69" s="19" t="str">
        <f>IF($A$25="mm","mm","in")</f>
        <v>mm</v>
      </c>
      <c r="DO69" s="25" t="str">
        <f t="shared" si="8"/>
        <v>N/A</v>
      </c>
    </row>
    <row r="70" spans="1:119" ht="15" customHeight="1" x14ac:dyDescent="0.3">
      <c r="A70" s="46"/>
      <c r="B70" s="49"/>
      <c r="C70" s="49"/>
      <c r="D70" s="25"/>
      <c r="E70" s="25"/>
      <c r="F70" s="49" t="s">
        <v>715</v>
      </c>
      <c r="G70" s="50"/>
      <c r="I70" s="25" t="str">
        <f t="shared" si="7"/>
        <v>BLANK</v>
      </c>
      <c r="K70" s="47"/>
      <c r="L70" s="47"/>
      <c r="M70" s="47"/>
      <c r="N70" s="47"/>
      <c r="O70" s="47"/>
      <c r="P70" s="47"/>
      <c r="Q70" s="47"/>
      <c r="R70" s="47"/>
      <c r="S70" s="25"/>
      <c r="U70" s="46"/>
      <c r="V70" s="60"/>
      <c r="W70" s="49"/>
      <c r="X70" s="49"/>
      <c r="Y70" s="49"/>
      <c r="Z70" s="49" t="s">
        <v>712</v>
      </c>
      <c r="AA70" s="50"/>
      <c r="AB70" s="19" t="str">
        <f>IF($A$25="mm","mm","in")</f>
        <v>mm</v>
      </c>
      <c r="AC70" s="25" t="str">
        <f>IF(AA70="","BLANK","EQ")</f>
        <v>BLANK</v>
      </c>
      <c r="AE70" s="46"/>
      <c r="AF70" s="60"/>
      <c r="AG70" s="49"/>
      <c r="AH70" s="49"/>
      <c r="AI70" s="49"/>
      <c r="AJ70" s="49" t="s">
        <v>712</v>
      </c>
      <c r="AK70" s="50"/>
      <c r="AL70" s="19" t="str">
        <f>IF($A$25="mm","mm","in")</f>
        <v>mm</v>
      </c>
      <c r="AM70" s="25" t="str">
        <f>IF(AK70="","BLANK","EQ")</f>
        <v>BLANK</v>
      </c>
      <c r="AO70" s="46"/>
      <c r="AP70" s="60"/>
      <c r="AQ70" s="49"/>
      <c r="AR70" s="49"/>
      <c r="AS70" s="49"/>
      <c r="AT70" s="49" t="s">
        <v>712</v>
      </c>
      <c r="AU70" s="50"/>
      <c r="AV70" s="19" t="str">
        <f>IF($A$25="mm","mm","in")</f>
        <v>mm</v>
      </c>
      <c r="AW70" s="25" t="str">
        <f>IF(AU70="","BLANK","EQ")</f>
        <v>BLANK</v>
      </c>
      <c r="AY70" s="46"/>
      <c r="AZ70" s="60"/>
      <c r="BA70" s="49"/>
      <c r="BB70" s="49"/>
      <c r="BC70" s="49"/>
      <c r="BD70" s="49" t="s">
        <v>712</v>
      </c>
      <c r="BE70" s="50"/>
      <c r="BF70" s="19" t="str">
        <f>IF($A$25="mm","mm","in")</f>
        <v>mm</v>
      </c>
      <c r="BG70" s="25" t="str">
        <f>IF(BE70="","BLANK","EQ")</f>
        <v>BLANK</v>
      </c>
      <c r="BI70" s="46"/>
      <c r="BJ70" s="60"/>
      <c r="BK70" s="49"/>
      <c r="BL70" s="49"/>
      <c r="BM70" s="49"/>
      <c r="BN70" s="49" t="s">
        <v>712</v>
      </c>
      <c r="BO70" s="50"/>
      <c r="BP70" s="19" t="str">
        <f>IF($A$25="mm","mm","in")</f>
        <v>mm</v>
      </c>
      <c r="BQ70" s="25" t="str">
        <f t="shared" ref="BQ70:BQ76" si="13">IF(OR($L$23&lt;40*IF($A$25="mm",1,2.2046),AND($U$22="Corner Attachment",NOT($U$24="None"))),"N/A",IF(BO70="","BLANK","EQ"))</f>
        <v>N/A</v>
      </c>
      <c r="BS70" s="46"/>
      <c r="BT70" s="60"/>
      <c r="BU70" s="49"/>
      <c r="BV70" s="49"/>
      <c r="BW70" s="49"/>
      <c r="BX70" s="49" t="s">
        <v>716</v>
      </c>
      <c r="BY70" s="50"/>
      <c r="CA70" s="25" t="str">
        <f t="shared" si="9"/>
        <v>BLANK</v>
      </c>
      <c r="CC70" s="46"/>
      <c r="CD70" s="60"/>
      <c r="CE70" s="49"/>
      <c r="CF70" s="49"/>
      <c r="CG70" s="49"/>
      <c r="CH70" s="49" t="s">
        <v>716</v>
      </c>
      <c r="CI70" s="50"/>
      <c r="CK70" s="25" t="str">
        <f t="shared" si="10"/>
        <v>BLANK</v>
      </c>
      <c r="CM70" s="46"/>
      <c r="CN70" s="60"/>
      <c r="CO70" s="49"/>
      <c r="CP70" s="49"/>
      <c r="CQ70" s="49"/>
      <c r="CR70" s="49" t="s">
        <v>716</v>
      </c>
      <c r="CS70" s="50"/>
      <c r="CU70" s="25" t="str">
        <f t="shared" si="11"/>
        <v>BLANK</v>
      </c>
      <c r="CW70" s="46"/>
      <c r="CX70" s="60"/>
      <c r="CY70" s="49"/>
      <c r="CZ70" s="49"/>
      <c r="DA70" s="49"/>
      <c r="DB70" s="49" t="s">
        <v>716</v>
      </c>
      <c r="DC70" s="50"/>
      <c r="DE70" s="25" t="str">
        <f t="shared" si="12"/>
        <v>BLANK</v>
      </c>
      <c r="DG70" s="46"/>
      <c r="DH70" s="60"/>
      <c r="DI70" s="49"/>
      <c r="DJ70" s="49"/>
      <c r="DK70" s="49"/>
      <c r="DL70" s="49" t="s">
        <v>716</v>
      </c>
      <c r="DM70" s="50"/>
      <c r="DO70" s="25" t="str">
        <f t="shared" si="8"/>
        <v>N/A</v>
      </c>
    </row>
    <row r="71" spans="1:119" ht="15" customHeight="1" thickBot="1" x14ac:dyDescent="0.35">
      <c r="A71" s="47" t="s">
        <v>682</v>
      </c>
      <c r="B71" s="49"/>
      <c r="C71" s="49"/>
      <c r="D71" s="25"/>
      <c r="E71" s="25"/>
      <c r="F71" s="49" t="s">
        <v>717</v>
      </c>
      <c r="G71" s="25">
        <f>G69*G66</f>
        <v>0</v>
      </c>
      <c r="H71" s="19" t="s">
        <v>701</v>
      </c>
      <c r="I71" s="25" t="str">
        <f>IF(G71="","BLANK",IF(G71&gt;120,"REJECT","EQ"))</f>
        <v>EQ</v>
      </c>
      <c r="K71" s="272" t="str">
        <f>IF(COUNTIF(S72:S73,"BLANK"),"BLANK",IF(OR(SUMPRODUCT(--ISERROR(S72:S73))&gt;0,COUNTIF(S72:S73,"REJECT")),"REJECT",IF(COUNTIF(S72:S73,"CHECK"),"CHECK","EQ")))</f>
        <v>BLANK</v>
      </c>
      <c r="L71" s="272"/>
      <c r="M71" s="272"/>
      <c r="N71" s="272"/>
      <c r="O71" s="272"/>
      <c r="P71" s="272"/>
      <c r="Q71" s="272"/>
      <c r="R71" s="272"/>
      <c r="S71" s="272"/>
      <c r="U71" s="46"/>
      <c r="V71" s="60"/>
      <c r="W71" s="49"/>
      <c r="X71" s="49"/>
      <c r="Y71" s="49"/>
      <c r="Z71" s="49" t="s">
        <v>714</v>
      </c>
      <c r="AA71" s="50"/>
      <c r="AB71" s="19" t="str">
        <f>IF($A$25="mm","mm","in")</f>
        <v>mm</v>
      </c>
      <c r="AC71" s="25" t="str">
        <f t="shared" ref="AC71:AC76" si="14">IF(AA71="","BLANK","EQ")</f>
        <v>BLANK</v>
      </c>
      <c r="AE71" s="46"/>
      <c r="AF71" s="60"/>
      <c r="AG71" s="49"/>
      <c r="AH71" s="49"/>
      <c r="AI71" s="49"/>
      <c r="AJ71" s="49" t="s">
        <v>714</v>
      </c>
      <c r="AK71" s="50"/>
      <c r="AL71" s="19" t="str">
        <f>IF($A$25="mm","mm","in")</f>
        <v>mm</v>
      </c>
      <c r="AM71" s="25" t="str">
        <f t="shared" ref="AM71:AM76" si="15">IF(AK71="","BLANK","EQ")</f>
        <v>BLANK</v>
      </c>
      <c r="AO71" s="46"/>
      <c r="AP71" s="60"/>
      <c r="AQ71" s="49"/>
      <c r="AR71" s="49"/>
      <c r="AS71" s="49"/>
      <c r="AT71" s="49" t="s">
        <v>714</v>
      </c>
      <c r="AU71" s="50"/>
      <c r="AV71" s="19" t="str">
        <f>IF($A$25="mm","mm","in")</f>
        <v>mm</v>
      </c>
      <c r="AW71" s="25" t="str">
        <f t="shared" ref="AW71:AW76" si="16">IF(AU71="","BLANK","EQ")</f>
        <v>BLANK</v>
      </c>
      <c r="AY71" s="46"/>
      <c r="AZ71" s="60"/>
      <c r="BA71" s="49"/>
      <c r="BB71" s="49"/>
      <c r="BC71" s="49"/>
      <c r="BD71" s="49" t="s">
        <v>714</v>
      </c>
      <c r="BE71" s="50"/>
      <c r="BF71" s="19" t="str">
        <f>IF($A$25="mm","mm","in")</f>
        <v>mm</v>
      </c>
      <c r="BG71" s="25" t="str">
        <f t="shared" ref="BG71:BG76" si="17">IF(BE71="","BLANK","EQ")</f>
        <v>BLANK</v>
      </c>
      <c r="BI71" s="46"/>
      <c r="BJ71" s="60"/>
      <c r="BK71" s="49"/>
      <c r="BL71" s="49"/>
      <c r="BM71" s="49"/>
      <c r="BN71" s="49" t="s">
        <v>714</v>
      </c>
      <c r="BO71" s="50"/>
      <c r="BP71" s="19" t="str">
        <f>IF($A$25="mm","mm","in")</f>
        <v>mm</v>
      </c>
      <c r="BQ71" s="25" t="str">
        <f t="shared" si="13"/>
        <v>N/A</v>
      </c>
      <c r="BS71" s="46"/>
      <c r="BT71" s="60"/>
      <c r="BU71" s="49"/>
      <c r="BV71" s="49"/>
      <c r="BW71" s="49"/>
      <c r="BX71" s="49" t="s">
        <v>718</v>
      </c>
      <c r="BY71" s="149"/>
      <c r="BZ71" s="19" t="str">
        <f>IF($A$25="mm","mm","in")</f>
        <v>mm</v>
      </c>
      <c r="CA71" s="25" t="str">
        <f t="shared" si="9"/>
        <v>BLANK</v>
      </c>
      <c r="CC71" s="46"/>
      <c r="CD71" s="60"/>
      <c r="CE71" s="49"/>
      <c r="CF71" s="49"/>
      <c r="CG71" s="49"/>
      <c r="CH71" s="49" t="s">
        <v>718</v>
      </c>
      <c r="CI71" s="149"/>
      <c r="CJ71" s="19" t="str">
        <f>IF($A$25="mm","mm","in")</f>
        <v>mm</v>
      </c>
      <c r="CK71" s="25" t="str">
        <f t="shared" si="10"/>
        <v>BLANK</v>
      </c>
      <c r="CM71" s="46"/>
      <c r="CN71" s="60"/>
      <c r="CO71" s="49"/>
      <c r="CP71" s="49"/>
      <c r="CQ71" s="49"/>
      <c r="CR71" s="49" t="s">
        <v>718</v>
      </c>
      <c r="CS71" s="149"/>
      <c r="CT71" s="19" t="str">
        <f>IF($A$25="mm","mm","in")</f>
        <v>mm</v>
      </c>
      <c r="CU71" s="25" t="str">
        <f t="shared" si="11"/>
        <v>BLANK</v>
      </c>
      <c r="CW71" s="46"/>
      <c r="CX71" s="60"/>
      <c r="CY71" s="49"/>
      <c r="CZ71" s="49"/>
      <c r="DA71" s="49"/>
      <c r="DB71" s="49" t="s">
        <v>718</v>
      </c>
      <c r="DC71" s="149"/>
      <c r="DD71" s="19" t="str">
        <f>IF($A$25="mm","mm","in")</f>
        <v>mm</v>
      </c>
      <c r="DE71" s="25" t="str">
        <f t="shared" si="12"/>
        <v>BLANK</v>
      </c>
      <c r="DG71" s="46"/>
      <c r="DH71" s="60"/>
      <c r="DI71" s="49"/>
      <c r="DJ71" s="49"/>
      <c r="DK71" s="49"/>
      <c r="DL71" s="49" t="s">
        <v>718</v>
      </c>
      <c r="DM71" s="149"/>
      <c r="DN71" s="19" t="str">
        <f>IF($A$25="mm","mm","in")</f>
        <v>mm</v>
      </c>
      <c r="DO71" s="25" t="str">
        <f t="shared" si="8"/>
        <v>N/A</v>
      </c>
    </row>
    <row r="72" spans="1:119" ht="15" customHeight="1" thickBot="1" x14ac:dyDescent="0.35">
      <c r="A72" s="47" t="s">
        <v>682</v>
      </c>
      <c r="B72" s="49"/>
      <c r="C72" s="49"/>
      <c r="D72" s="25"/>
      <c r="E72" s="25"/>
      <c r="F72" s="49" t="s">
        <v>719</v>
      </c>
      <c r="G72" s="25">
        <f>G69*G70*G67*(G68/1000)*0.0036</f>
        <v>0</v>
      </c>
      <c r="H72" s="19" t="s">
        <v>720</v>
      </c>
      <c r="I72" s="25" t="str">
        <f>IF(G72="","BLANK",IF(G72&gt;6,"REJECT","EQ"))</f>
        <v>EQ</v>
      </c>
      <c r="K72" s="47" t="s">
        <v>702</v>
      </c>
      <c r="L72" s="49"/>
      <c r="M72" s="49"/>
      <c r="N72" s="49"/>
      <c r="O72" s="49"/>
      <c r="P72" s="49" t="s">
        <v>721</v>
      </c>
      <c r="Q72" s="56"/>
      <c r="S72" s="25" t="str">
        <f>IF(Q72="","BLANK","EQ")</f>
        <v>BLANK</v>
      </c>
      <c r="U72" s="46"/>
      <c r="V72" s="60"/>
      <c r="W72" s="49"/>
      <c r="X72" s="49"/>
      <c r="Y72" s="49"/>
      <c r="Z72" s="49" t="s">
        <v>716</v>
      </c>
      <c r="AA72" s="50"/>
      <c r="AC72" s="25" t="str">
        <f t="shared" si="14"/>
        <v>BLANK</v>
      </c>
      <c r="AE72" s="46"/>
      <c r="AF72" s="60"/>
      <c r="AG72" s="49"/>
      <c r="AH72" s="49"/>
      <c r="AI72" s="49"/>
      <c r="AJ72" s="49" t="s">
        <v>716</v>
      </c>
      <c r="AK72" s="50"/>
      <c r="AM72" s="25" t="str">
        <f t="shared" si="15"/>
        <v>BLANK</v>
      </c>
      <c r="AO72" s="46"/>
      <c r="AP72" s="60"/>
      <c r="AQ72" s="49"/>
      <c r="AR72" s="49"/>
      <c r="AS72" s="49"/>
      <c r="AT72" s="49" t="s">
        <v>716</v>
      </c>
      <c r="AU72" s="50"/>
      <c r="AW72" s="25" t="str">
        <f t="shared" si="16"/>
        <v>BLANK</v>
      </c>
      <c r="AY72" s="46"/>
      <c r="AZ72" s="60"/>
      <c r="BA72" s="49"/>
      <c r="BB72" s="49"/>
      <c r="BC72" s="49"/>
      <c r="BD72" s="49" t="s">
        <v>716</v>
      </c>
      <c r="BE72" s="50"/>
      <c r="BG72" s="25" t="str">
        <f t="shared" si="17"/>
        <v>BLANK</v>
      </c>
      <c r="BI72" s="46"/>
      <c r="BJ72" s="60"/>
      <c r="BK72" s="49"/>
      <c r="BL72" s="49"/>
      <c r="BM72" s="49"/>
      <c r="BN72" s="49" t="s">
        <v>716</v>
      </c>
      <c r="BO72" s="50"/>
      <c r="BQ72" s="25" t="str">
        <f t="shared" si="13"/>
        <v>N/A</v>
      </c>
      <c r="BS72" s="46"/>
      <c r="BT72" s="60"/>
      <c r="BU72" s="49"/>
      <c r="BV72" s="49"/>
      <c r="BW72" s="49"/>
      <c r="BX72" s="49" t="s">
        <v>722</v>
      </c>
      <c r="BY72" s="150"/>
      <c r="CA72" s="25" t="str">
        <f t="shared" si="9"/>
        <v>BLANK</v>
      </c>
      <c r="CC72" s="46"/>
      <c r="CD72" s="60"/>
      <c r="CE72" s="49"/>
      <c r="CF72" s="49"/>
      <c r="CG72" s="49"/>
      <c r="CH72" s="49" t="s">
        <v>722</v>
      </c>
      <c r="CI72" s="150"/>
      <c r="CK72" s="25" t="str">
        <f t="shared" si="10"/>
        <v>BLANK</v>
      </c>
      <c r="CM72" s="46"/>
      <c r="CN72" s="60"/>
      <c r="CO72" s="49"/>
      <c r="CP72" s="49"/>
      <c r="CQ72" s="49"/>
      <c r="CR72" s="49" t="s">
        <v>722</v>
      </c>
      <c r="CS72" s="150"/>
      <c r="CU72" s="25" t="str">
        <f t="shared" si="11"/>
        <v>BLANK</v>
      </c>
      <c r="CW72" s="46"/>
      <c r="CX72" s="60"/>
      <c r="CY72" s="49"/>
      <c r="CZ72" s="49"/>
      <c r="DA72" s="49"/>
      <c r="DB72" s="49" t="s">
        <v>722</v>
      </c>
      <c r="DC72" s="150"/>
      <c r="DE72" s="25" t="str">
        <f t="shared" si="12"/>
        <v>BLANK</v>
      </c>
      <c r="DG72" s="46"/>
      <c r="DH72" s="60"/>
      <c r="DI72" s="49"/>
      <c r="DJ72" s="49"/>
      <c r="DK72" s="49"/>
      <c r="DL72" s="49" t="s">
        <v>722</v>
      </c>
      <c r="DM72" s="150"/>
      <c r="DO72" s="25" t="str">
        <f t="shared" si="8"/>
        <v>N/A</v>
      </c>
    </row>
    <row r="73" spans="1:119" ht="15" customHeight="1" thickBot="1" x14ac:dyDescent="0.35">
      <c r="A73" s="46"/>
      <c r="B73" s="49"/>
      <c r="C73" s="49"/>
      <c r="D73" s="25"/>
      <c r="E73" s="25"/>
      <c r="F73" s="49" t="s">
        <v>723</v>
      </c>
      <c r="G73" s="50"/>
      <c r="I73" s="25" t="str">
        <f>IF(G73="","BLANK","EQ")</f>
        <v>BLANK</v>
      </c>
      <c r="K73" s="47"/>
      <c r="L73" s="49"/>
      <c r="M73" s="49"/>
      <c r="N73" s="49"/>
      <c r="O73" s="49"/>
      <c r="P73" s="49" t="s">
        <v>724</v>
      </c>
      <c r="Q73" s="50"/>
      <c r="S73" s="25" t="str">
        <f>IF(Q73="","BLANK",IF(Q73&lt;Q72,"REJECT","EQ"))</f>
        <v>BLANK</v>
      </c>
      <c r="U73" s="46"/>
      <c r="V73" s="60"/>
      <c r="W73" s="49"/>
      <c r="X73" s="49"/>
      <c r="Y73" s="49"/>
      <c r="Z73" s="49" t="s">
        <v>718</v>
      </c>
      <c r="AA73" s="149"/>
      <c r="AB73" s="19" t="str">
        <f>IF($A$25="mm","mm","in")</f>
        <v>mm</v>
      </c>
      <c r="AC73" s="25" t="str">
        <f t="shared" si="14"/>
        <v>BLANK</v>
      </c>
      <c r="AE73" s="46"/>
      <c r="AF73" s="60"/>
      <c r="AG73" s="49"/>
      <c r="AH73" s="49"/>
      <c r="AI73" s="49"/>
      <c r="AJ73" s="49" t="s">
        <v>718</v>
      </c>
      <c r="AK73" s="149"/>
      <c r="AL73" s="19" t="str">
        <f>IF($A$25="mm","mm","in")</f>
        <v>mm</v>
      </c>
      <c r="AM73" s="25" t="str">
        <f t="shared" si="15"/>
        <v>BLANK</v>
      </c>
      <c r="AO73" s="46"/>
      <c r="AP73" s="60"/>
      <c r="AQ73" s="49"/>
      <c r="AR73" s="49"/>
      <c r="AS73" s="49"/>
      <c r="AT73" s="49" t="s">
        <v>718</v>
      </c>
      <c r="AU73" s="149"/>
      <c r="AV73" s="19" t="str">
        <f>IF($A$25="mm","mm","in")</f>
        <v>mm</v>
      </c>
      <c r="AW73" s="25" t="str">
        <f t="shared" si="16"/>
        <v>BLANK</v>
      </c>
      <c r="AY73" s="46"/>
      <c r="AZ73" s="60"/>
      <c r="BA73" s="49"/>
      <c r="BB73" s="49"/>
      <c r="BC73" s="49"/>
      <c r="BD73" s="49" t="s">
        <v>718</v>
      </c>
      <c r="BE73" s="149"/>
      <c r="BF73" s="19" t="str">
        <f>IF($A$25="mm","mm","in")</f>
        <v>mm</v>
      </c>
      <c r="BG73" s="25" t="str">
        <f t="shared" si="17"/>
        <v>BLANK</v>
      </c>
      <c r="BI73" s="46"/>
      <c r="BJ73" s="60"/>
      <c r="BK73" s="49"/>
      <c r="BL73" s="49"/>
      <c r="BM73" s="49"/>
      <c r="BN73" s="49" t="s">
        <v>718</v>
      </c>
      <c r="BO73" s="149"/>
      <c r="BP73" s="19" t="str">
        <f>IF($A$25="mm","mm","in")</f>
        <v>mm</v>
      </c>
      <c r="BQ73" s="25" t="str">
        <f t="shared" si="13"/>
        <v>N/A</v>
      </c>
      <c r="BS73" s="46"/>
      <c r="BT73" s="60"/>
      <c r="BU73" s="49"/>
      <c r="BV73" s="49"/>
      <c r="BW73" s="49"/>
      <c r="BX73" s="49" t="s">
        <v>725</v>
      </c>
      <c r="BY73" s="57"/>
      <c r="BZ73" s="19" t="str">
        <f>IF($A$25="mm","N","lbs")</f>
        <v>N</v>
      </c>
      <c r="CA73" s="25" t="str">
        <f t="shared" si="9"/>
        <v>BLANK</v>
      </c>
      <c r="CC73" s="46"/>
      <c r="CD73" s="60"/>
      <c r="CE73" s="49"/>
      <c r="CF73" s="49"/>
      <c r="CG73" s="49"/>
      <c r="CH73" s="49" t="s">
        <v>725</v>
      </c>
      <c r="CI73" s="57"/>
      <c r="CJ73" s="19" t="str">
        <f>IF($A$25="mm","N","lbs")</f>
        <v>N</v>
      </c>
      <c r="CK73" s="25" t="str">
        <f t="shared" si="10"/>
        <v>BLANK</v>
      </c>
      <c r="CM73" s="46"/>
      <c r="CN73" s="60"/>
      <c r="CO73" s="49"/>
      <c r="CP73" s="49"/>
      <c r="CQ73" s="49"/>
      <c r="CR73" s="49" t="s">
        <v>725</v>
      </c>
      <c r="CS73" s="57"/>
      <c r="CT73" s="19" t="str">
        <f>IF($A$25="mm","N","lbs")</f>
        <v>N</v>
      </c>
      <c r="CU73" s="25" t="str">
        <f t="shared" si="11"/>
        <v>BLANK</v>
      </c>
      <c r="CW73" s="46"/>
      <c r="CX73" s="60"/>
      <c r="CY73" s="49"/>
      <c r="CZ73" s="49"/>
      <c r="DA73" s="49"/>
      <c r="DB73" s="49" t="s">
        <v>725</v>
      </c>
      <c r="DC73" s="57"/>
      <c r="DD73" s="19" t="str">
        <f>IF($A$25="mm","N","lbs")</f>
        <v>N</v>
      </c>
      <c r="DE73" s="25" t="str">
        <f t="shared" si="12"/>
        <v>BLANK</v>
      </c>
      <c r="DG73" s="46"/>
      <c r="DH73" s="60"/>
      <c r="DI73" s="49"/>
      <c r="DJ73" s="49"/>
      <c r="DK73" s="49"/>
      <c r="DL73" s="49" t="s">
        <v>725</v>
      </c>
      <c r="DM73" s="57"/>
      <c r="DN73" s="19" t="str">
        <f>IF($A$25="mm","N","lbs")</f>
        <v>N</v>
      </c>
      <c r="DO73" s="25" t="str">
        <f t="shared" si="8"/>
        <v>N/A</v>
      </c>
    </row>
    <row r="74" spans="1:119" ht="15" customHeight="1" thickBot="1" x14ac:dyDescent="0.35">
      <c r="A74" s="46"/>
      <c r="B74" s="49"/>
      <c r="C74" s="49"/>
      <c r="D74" s="25"/>
      <c r="E74" s="25"/>
      <c r="F74" s="49" t="s">
        <v>726</v>
      </c>
      <c r="G74" s="50"/>
      <c r="I74" s="25" t="str">
        <f>IF(G74="","BLANK","EQ")</f>
        <v>BLANK</v>
      </c>
      <c r="K74" s="296" t="s">
        <v>727</v>
      </c>
      <c r="L74" s="296"/>
      <c r="M74" s="296"/>
      <c r="N74" s="296"/>
      <c r="O74" s="296"/>
      <c r="P74" s="296"/>
      <c r="Q74" s="296"/>
      <c r="R74" s="296"/>
      <c r="S74" s="296"/>
      <c r="U74" s="46"/>
      <c r="V74" s="60"/>
      <c r="W74" s="49"/>
      <c r="X74" s="49"/>
      <c r="Y74" s="49"/>
      <c r="Z74" s="49" t="s">
        <v>722</v>
      </c>
      <c r="AA74" s="150"/>
      <c r="AC74" s="25" t="str">
        <f t="shared" si="14"/>
        <v>BLANK</v>
      </c>
      <c r="AE74" s="46"/>
      <c r="AF74" s="60"/>
      <c r="AG74" s="49"/>
      <c r="AH74" s="49"/>
      <c r="AI74" s="49"/>
      <c r="AJ74" s="49" t="s">
        <v>722</v>
      </c>
      <c r="AK74" s="150"/>
      <c r="AM74" s="25" t="str">
        <f t="shared" si="15"/>
        <v>BLANK</v>
      </c>
      <c r="AO74" s="46"/>
      <c r="AP74" s="60"/>
      <c r="AQ74" s="49"/>
      <c r="AR74" s="49"/>
      <c r="AS74" s="49"/>
      <c r="AT74" s="49" t="s">
        <v>722</v>
      </c>
      <c r="AU74" s="150"/>
      <c r="AW74" s="25" t="str">
        <f t="shared" si="16"/>
        <v>BLANK</v>
      </c>
      <c r="AY74" s="46"/>
      <c r="AZ74" s="60"/>
      <c r="BA74" s="49"/>
      <c r="BB74" s="49"/>
      <c r="BC74" s="49"/>
      <c r="BD74" s="49" t="s">
        <v>722</v>
      </c>
      <c r="BE74" s="150"/>
      <c r="BG74" s="25" t="str">
        <f t="shared" si="17"/>
        <v>BLANK</v>
      </c>
      <c r="BI74" s="46"/>
      <c r="BJ74" s="60"/>
      <c r="BK74" s="49"/>
      <c r="BL74" s="49"/>
      <c r="BM74" s="49"/>
      <c r="BN74" s="49" t="s">
        <v>722</v>
      </c>
      <c r="BO74" s="150"/>
      <c r="BQ74" s="25" t="str">
        <f t="shared" si="13"/>
        <v>N/A</v>
      </c>
      <c r="BS74" s="46"/>
      <c r="BT74" s="60"/>
      <c r="BU74" s="49"/>
      <c r="BV74" s="49"/>
      <c r="BW74" s="49"/>
      <c r="BX74" s="49" t="s">
        <v>728</v>
      </c>
      <c r="BY74" s="50"/>
      <c r="BZ74" s="19" t="str">
        <f>IF($A$25="mm","mm","in")</f>
        <v>mm</v>
      </c>
      <c r="CA74" s="25" t="str">
        <f t="shared" si="9"/>
        <v>BLANK</v>
      </c>
      <c r="CC74" s="46"/>
      <c r="CD74" s="60"/>
      <c r="CE74" s="49"/>
      <c r="CF74" s="49"/>
      <c r="CG74" s="49"/>
      <c r="CH74" s="49" t="s">
        <v>728</v>
      </c>
      <c r="CI74" s="50"/>
      <c r="CJ74" s="19" t="str">
        <f>IF($A$25="mm","mm","in")</f>
        <v>mm</v>
      </c>
      <c r="CK74" s="25" t="str">
        <f t="shared" si="10"/>
        <v>BLANK</v>
      </c>
      <c r="CM74" s="46"/>
      <c r="CN74" s="60"/>
      <c r="CO74" s="49"/>
      <c r="CP74" s="49"/>
      <c r="CQ74" s="49"/>
      <c r="CR74" s="49" t="s">
        <v>728</v>
      </c>
      <c r="CS74" s="50"/>
      <c r="CT74" s="19" t="str">
        <f>IF($A$25="mm","mm","in")</f>
        <v>mm</v>
      </c>
      <c r="CU74" s="25" t="str">
        <f t="shared" si="11"/>
        <v>BLANK</v>
      </c>
      <c r="CW74" s="46"/>
      <c r="CX74" s="60"/>
      <c r="CY74" s="49"/>
      <c r="CZ74" s="49"/>
      <c r="DA74" s="49"/>
      <c r="DB74" s="49" t="s">
        <v>728</v>
      </c>
      <c r="DC74" s="50"/>
      <c r="DD74" s="19" t="str">
        <f>IF($A$25="mm","mm","in")</f>
        <v>mm</v>
      </c>
      <c r="DE74" s="25" t="str">
        <f t="shared" si="12"/>
        <v>BLANK</v>
      </c>
      <c r="DG74" s="46"/>
      <c r="DH74" s="60"/>
      <c r="DI74" s="49"/>
      <c r="DJ74" s="49"/>
      <c r="DK74" s="49"/>
      <c r="DL74" s="49" t="s">
        <v>728</v>
      </c>
      <c r="DM74" s="50"/>
      <c r="DN74" s="19" t="str">
        <f>IF($A$25="mm","mm","in")</f>
        <v>mm</v>
      </c>
      <c r="DO74" s="25" t="str">
        <f t="shared" si="8"/>
        <v>N/A</v>
      </c>
    </row>
    <row r="75" spans="1:119" ht="15" customHeight="1" x14ac:dyDescent="0.3">
      <c r="A75" s="47" t="s">
        <v>729</v>
      </c>
      <c r="B75" s="49"/>
      <c r="C75" s="49"/>
      <c r="D75" s="25"/>
      <c r="E75" s="25"/>
      <c r="F75" s="49" t="s">
        <v>730</v>
      </c>
      <c r="G75" s="25">
        <f>G73*G66</f>
        <v>0</v>
      </c>
      <c r="H75" s="19" t="s">
        <v>701</v>
      </c>
      <c r="I75" s="25" t="str">
        <f>IF(G75="","BLANK",IF(G75&gt;600,"REJECT","EQ"))</f>
        <v>EQ</v>
      </c>
      <c r="K75" s="296" t="str">
        <f>IF(Q77="Welded","Indicate weld paths in image.","")</f>
        <v/>
      </c>
      <c r="L75" s="296"/>
      <c r="M75" s="296"/>
      <c r="N75" s="296"/>
      <c r="O75" s="296"/>
      <c r="P75" s="296"/>
      <c r="Q75" s="296"/>
      <c r="R75" s="296"/>
      <c r="S75" s="296"/>
      <c r="U75" s="46"/>
      <c r="V75" s="60"/>
      <c r="W75" s="49"/>
      <c r="X75" s="49"/>
      <c r="Y75" s="49"/>
      <c r="Z75" s="49" t="s">
        <v>725</v>
      </c>
      <c r="AA75" s="57"/>
      <c r="AB75" s="19" t="str">
        <f>IF($A$25="mm","N","lbs")</f>
        <v>N</v>
      </c>
      <c r="AC75" s="25" t="str">
        <f t="shared" si="14"/>
        <v>BLANK</v>
      </c>
      <c r="AD75" s="52"/>
      <c r="AE75" s="46"/>
      <c r="AF75" s="60"/>
      <c r="AG75" s="49"/>
      <c r="AH75" s="49"/>
      <c r="AI75" s="49"/>
      <c r="AJ75" s="49" t="s">
        <v>725</v>
      </c>
      <c r="AK75" s="57"/>
      <c r="AL75" s="19" t="str">
        <f>IF($A$25="mm","N","lbs")</f>
        <v>N</v>
      </c>
      <c r="AM75" s="25" t="str">
        <f t="shared" si="15"/>
        <v>BLANK</v>
      </c>
      <c r="AO75" s="46"/>
      <c r="AP75" s="60"/>
      <c r="AQ75" s="49"/>
      <c r="AR75" s="49"/>
      <c r="AS75" s="49"/>
      <c r="AT75" s="49" t="s">
        <v>725</v>
      </c>
      <c r="AU75" s="57"/>
      <c r="AV75" s="19" t="str">
        <f>IF($A$25="mm","N","lbs")</f>
        <v>N</v>
      </c>
      <c r="AW75" s="25" t="str">
        <f t="shared" si="16"/>
        <v>BLANK</v>
      </c>
      <c r="AY75" s="46"/>
      <c r="AZ75" s="60"/>
      <c r="BA75" s="49"/>
      <c r="BB75" s="49"/>
      <c r="BC75" s="49"/>
      <c r="BD75" s="49" t="s">
        <v>725</v>
      </c>
      <c r="BE75" s="57"/>
      <c r="BF75" s="19" t="str">
        <f>IF($A$25="mm","N","lbs")</f>
        <v>N</v>
      </c>
      <c r="BG75" s="25" t="str">
        <f t="shared" si="17"/>
        <v>BLANK</v>
      </c>
      <c r="BI75" s="46"/>
      <c r="BJ75" s="60"/>
      <c r="BK75" s="49"/>
      <c r="BL75" s="49"/>
      <c r="BM75" s="49"/>
      <c r="BN75" s="49" t="s">
        <v>725</v>
      </c>
      <c r="BO75" s="57"/>
      <c r="BP75" s="19" t="str">
        <f>IF($A$25="mm","N","lbs")</f>
        <v>N</v>
      </c>
      <c r="BQ75" s="25" t="str">
        <f t="shared" si="13"/>
        <v>N/A</v>
      </c>
      <c r="BS75" s="46"/>
      <c r="BT75" s="60"/>
      <c r="BU75" s="49"/>
      <c r="BV75" s="49"/>
      <c r="BW75" s="49"/>
      <c r="BX75" s="49" t="s">
        <v>731</v>
      </c>
      <c r="BY75" s="58">
        <f>BY70*BY73</f>
        <v>0</v>
      </c>
      <c r="BZ75" s="102" t="str">
        <f>IF(BY75=0,"",BY75/$U$23)</f>
        <v/>
      </c>
      <c r="CA75" s="25" t="str">
        <f>IF(BZ75&lt;=1,"REJECT","EQ")</f>
        <v>EQ</v>
      </c>
      <c r="CB75" s="52"/>
      <c r="CC75" s="46"/>
      <c r="CD75" s="60"/>
      <c r="CE75" s="49"/>
      <c r="CF75" s="49"/>
      <c r="CG75" s="49"/>
      <c r="CH75" s="49" t="s">
        <v>731</v>
      </c>
      <c r="CI75" s="58">
        <f>CI70*CI73</f>
        <v>0</v>
      </c>
      <c r="CJ75" s="102" t="str">
        <f>IF(CI75=0,"",CI75/$U$23)</f>
        <v/>
      </c>
      <c r="CK75" s="25" t="str">
        <f>IF(CJ75&lt;=1,"REJECT","EQ")</f>
        <v>EQ</v>
      </c>
      <c r="CM75" s="46"/>
      <c r="CN75" s="60"/>
      <c r="CO75" s="49"/>
      <c r="CP75" s="49"/>
      <c r="CQ75" s="49"/>
      <c r="CR75" s="49" t="s">
        <v>731</v>
      </c>
      <c r="CS75" s="58">
        <f>CS70*CS73</f>
        <v>0</v>
      </c>
      <c r="CT75" s="102" t="str">
        <f>IF(CS75=0,"",CS75/$U$23)</f>
        <v/>
      </c>
      <c r="CU75" s="25" t="str">
        <f>IF(CT75&lt;=1,"REJECT","EQ")</f>
        <v>EQ</v>
      </c>
      <c r="CW75" s="46"/>
      <c r="CX75" s="60"/>
      <c r="CY75" s="49"/>
      <c r="CZ75" s="49"/>
      <c r="DA75" s="49"/>
      <c r="DB75" s="49" t="s">
        <v>731</v>
      </c>
      <c r="DC75" s="58">
        <f>DC70*DC73</f>
        <v>0</v>
      </c>
      <c r="DD75" s="102" t="str">
        <f>IF(DC75=0,"",DC75/$U$23)</f>
        <v/>
      </c>
      <c r="DE75" s="25" t="str">
        <f>IF(DD75&lt;=1,"REJECT","EQ")</f>
        <v>EQ</v>
      </c>
      <c r="DG75" s="46"/>
      <c r="DH75" s="60"/>
      <c r="DI75" s="49"/>
      <c r="DJ75" s="49"/>
      <c r="DK75" s="49"/>
      <c r="DL75" s="49" t="s">
        <v>731</v>
      </c>
      <c r="DM75" s="58">
        <f>DM70*DM73</f>
        <v>0</v>
      </c>
      <c r="DN75" s="102" t="str">
        <f>IF(DM75=0,"",DM75/$U$23)</f>
        <v/>
      </c>
      <c r="DO75" s="25" t="str">
        <f>IF(OR($L$23&lt;40*IF($A$25="mm",1,2.2046),AND($U$22="Corner Attachment",NOT($U$25="None"))),"N/A",IF(DN75&lt;=1,"REJECT","EQ"))</f>
        <v>N/A</v>
      </c>
    </row>
    <row r="76" spans="1:119" ht="15" customHeight="1" thickBot="1" x14ac:dyDescent="0.35">
      <c r="A76" s="46"/>
      <c r="B76" s="49"/>
      <c r="C76" s="49"/>
      <c r="D76" s="25"/>
      <c r="E76" s="25"/>
      <c r="F76" s="49" t="s">
        <v>732</v>
      </c>
      <c r="G76" s="25">
        <f>G73*G74*G67*(G68/1000)/1000</f>
        <v>0</v>
      </c>
      <c r="H76" s="19" t="s">
        <v>733</v>
      </c>
      <c r="I76" s="25" t="str">
        <f>IF(G76="","BLANK","EQ")</f>
        <v>EQ</v>
      </c>
      <c r="K76" s="272" t="str">
        <f>IF(COUNTIF(S77:S83,"BLANK"),"BLANK",IF(OR(SUMPRODUCT(--ISERROR(S77:S83))&gt;0,COUNTIF(S77:S83,"REJECT")),"REJECT",IF(COUNTIF(S77:S83,"CHECK"),"CHECK","EQ")))</f>
        <v>BLANK</v>
      </c>
      <c r="L76" s="272"/>
      <c r="M76" s="272"/>
      <c r="N76" s="272"/>
      <c r="O76" s="272"/>
      <c r="P76" s="272"/>
      <c r="Q76" s="272"/>
      <c r="R76" s="272"/>
      <c r="S76" s="272"/>
      <c r="U76" s="46"/>
      <c r="V76" s="60"/>
      <c r="W76" s="49"/>
      <c r="X76" s="49"/>
      <c r="Y76" s="49"/>
      <c r="Z76" s="49" t="s">
        <v>728</v>
      </c>
      <c r="AA76" s="50"/>
      <c r="AB76" s="19" t="str">
        <f>IF($A$25="mm","mm","in")</f>
        <v>mm</v>
      </c>
      <c r="AC76" s="25" t="str">
        <f t="shared" si="14"/>
        <v>BLANK</v>
      </c>
      <c r="AE76" s="46"/>
      <c r="AF76" s="60"/>
      <c r="AG76" s="49"/>
      <c r="AH76" s="49"/>
      <c r="AI76" s="49"/>
      <c r="AJ76" s="49" t="s">
        <v>728</v>
      </c>
      <c r="AK76" s="50"/>
      <c r="AL76" s="19" t="str">
        <f>IF($A$25="mm","mm","in")</f>
        <v>mm</v>
      </c>
      <c r="AM76" s="25" t="str">
        <f t="shared" si="15"/>
        <v>BLANK</v>
      </c>
      <c r="AO76" s="46"/>
      <c r="AP76" s="60"/>
      <c r="AQ76" s="49"/>
      <c r="AR76" s="49"/>
      <c r="AS76" s="49"/>
      <c r="AT76" s="49" t="s">
        <v>728</v>
      </c>
      <c r="AU76" s="50"/>
      <c r="AV76" s="19" t="str">
        <f>IF($A$25="mm","mm","in")</f>
        <v>mm</v>
      </c>
      <c r="AW76" s="25" t="str">
        <f t="shared" si="16"/>
        <v>BLANK</v>
      </c>
      <c r="AY76" s="46"/>
      <c r="AZ76" s="60"/>
      <c r="BA76" s="49"/>
      <c r="BB76" s="49"/>
      <c r="BC76" s="49"/>
      <c r="BD76" s="49" t="s">
        <v>728</v>
      </c>
      <c r="BE76" s="50"/>
      <c r="BF76" s="19" t="str">
        <f>IF($A$25="mm","mm","in")</f>
        <v>mm</v>
      </c>
      <c r="BG76" s="25" t="str">
        <f t="shared" si="17"/>
        <v>BLANK</v>
      </c>
      <c r="BI76" s="46"/>
      <c r="BJ76" s="60"/>
      <c r="BK76" s="49"/>
      <c r="BL76" s="49"/>
      <c r="BM76" s="49"/>
      <c r="BN76" s="49" t="s">
        <v>728</v>
      </c>
      <c r="BO76" s="50"/>
      <c r="BP76" s="19" t="str">
        <f>IF($A$25="mm","mm","in")</f>
        <v>mm</v>
      </c>
      <c r="BQ76" s="25" t="str">
        <f t="shared" si="13"/>
        <v>N/A</v>
      </c>
      <c r="BS76" s="46"/>
      <c r="BT76" s="60"/>
      <c r="BU76" s="49"/>
      <c r="BV76" s="49"/>
      <c r="BW76" s="49"/>
      <c r="BX76" s="49" t="s">
        <v>734</v>
      </c>
      <c r="BY76" s="58">
        <f>BY67*BY68*BY74*IF($A$25="mm",1/10^6,1)</f>
        <v>0</v>
      </c>
      <c r="BZ76" s="102" t="str">
        <f>IF(BY76=0,"",BY76/$U$23)</f>
        <v/>
      </c>
      <c r="CA76" s="25" t="str">
        <f t="shared" ref="CA76:CA77" si="18">IF(BZ76&lt;=1,"REJECT","EQ")</f>
        <v>EQ</v>
      </c>
      <c r="CC76" s="46"/>
      <c r="CD76" s="60"/>
      <c r="CE76" s="49"/>
      <c r="CF76" s="49"/>
      <c r="CG76" s="49"/>
      <c r="CH76" s="49" t="s">
        <v>734</v>
      </c>
      <c r="CI76" s="58">
        <f>CI67*CI68*CI74*IF($A$25="mm",1/10^6,1)</f>
        <v>0</v>
      </c>
      <c r="CJ76" s="102" t="str">
        <f>IF(CI76=0,"",CI76/$U$23)</f>
        <v/>
      </c>
      <c r="CK76" s="25" t="str">
        <f t="shared" ref="CK76:CK77" si="19">IF(CJ76&lt;=1,"REJECT","EQ")</f>
        <v>EQ</v>
      </c>
      <c r="CM76" s="46"/>
      <c r="CN76" s="60"/>
      <c r="CO76" s="49"/>
      <c r="CP76" s="49"/>
      <c r="CQ76" s="49"/>
      <c r="CR76" s="49" t="s">
        <v>734</v>
      </c>
      <c r="CS76" s="58">
        <f>CS67*CS68*CS74*IF($A$25="mm",1/10^6,1)</f>
        <v>0</v>
      </c>
      <c r="CT76" s="102" t="str">
        <f>IF(CS76=0,"",CS76/$U$23)</f>
        <v/>
      </c>
      <c r="CU76" s="25" t="str">
        <f t="shared" ref="CU76:CU77" si="20">IF(CT76&lt;=1,"REJECT","EQ")</f>
        <v>EQ</v>
      </c>
      <c r="CW76" s="46"/>
      <c r="CX76" s="60"/>
      <c r="CY76" s="49"/>
      <c r="CZ76" s="49"/>
      <c r="DA76" s="49"/>
      <c r="DB76" s="49" t="s">
        <v>734</v>
      </c>
      <c r="DC76" s="58">
        <f>DC67*DC68*DC74*IF($A$25="mm",1/10^6,1)</f>
        <v>0</v>
      </c>
      <c r="DD76" s="102" t="str">
        <f>IF(DC76=0,"",DC76/$U$23)</f>
        <v/>
      </c>
      <c r="DE76" s="25" t="str">
        <f t="shared" ref="DE76:DE77" si="21">IF(DD76&lt;=1,"REJECT","EQ")</f>
        <v>EQ</v>
      </c>
      <c r="DG76" s="46"/>
      <c r="DH76" s="60"/>
      <c r="DI76" s="49"/>
      <c r="DJ76" s="49"/>
      <c r="DK76" s="49"/>
      <c r="DL76" s="49" t="s">
        <v>734</v>
      </c>
      <c r="DM76" s="58">
        <f>DM67*DM68*DM74*IF($A$25="mm",1/10^6,1)</f>
        <v>0</v>
      </c>
      <c r="DN76" s="102" t="str">
        <f>IF(DM76=0,"",DM76/$U$23)</f>
        <v/>
      </c>
      <c r="DO76" s="25" t="str">
        <f>IF(OR($L$23&lt;40*IF($A$25="mm",1,2.2046),AND($U$22="Corner Attachment",NOT($U$25="None"))),"N/A",IF(DN76&lt;=1,"REJECT","EQ"))</f>
        <v>N/A</v>
      </c>
    </row>
    <row r="77" spans="1:119" ht="15" customHeight="1" thickBot="1" x14ac:dyDescent="0.35">
      <c r="A77" s="46"/>
      <c r="B77" s="49"/>
      <c r="C77" s="49"/>
      <c r="D77" s="25"/>
      <c r="E77" s="25"/>
      <c r="F77" s="49"/>
      <c r="G77" s="25"/>
      <c r="H77" s="25"/>
      <c r="I77" s="25"/>
      <c r="K77" s="47" t="s">
        <v>702</v>
      </c>
      <c r="L77" s="49"/>
      <c r="M77" s="49"/>
      <c r="N77" s="49"/>
      <c r="O77" s="49"/>
      <c r="P77" s="64" t="s">
        <v>735</v>
      </c>
      <c r="Q77" s="243" t="s">
        <v>736</v>
      </c>
      <c r="R77" s="244"/>
      <c r="S77" s="25" t="s">
        <v>89</v>
      </c>
      <c r="U77" s="46"/>
      <c r="V77" s="60"/>
      <c r="W77" s="49"/>
      <c r="X77" s="49"/>
      <c r="Y77" s="49"/>
      <c r="Z77" s="49" t="s">
        <v>731</v>
      </c>
      <c r="AA77" s="58">
        <f>AA72*AA75</f>
        <v>0</v>
      </c>
      <c r="AB77" s="102" t="str">
        <f>IF(AA77=0,"",AA77/$U$23)</f>
        <v/>
      </c>
      <c r="AC77" s="25" t="str">
        <f>IF(AB77&lt;=1,"REJECT","EQ")</f>
        <v>EQ</v>
      </c>
      <c r="AE77" s="46"/>
      <c r="AF77" s="60"/>
      <c r="AG77" s="49"/>
      <c r="AH77" s="49"/>
      <c r="AI77" s="49"/>
      <c r="AJ77" s="49" t="s">
        <v>731</v>
      </c>
      <c r="AK77" s="58">
        <f>AK72*AK75</f>
        <v>0</v>
      </c>
      <c r="AL77" s="102" t="str">
        <f>IF(AK77=0,"",AK77/$U$23)</f>
        <v/>
      </c>
      <c r="AM77" s="25" t="str">
        <f>IF(AL77&lt;=1,"REJECT","EQ")</f>
        <v>EQ</v>
      </c>
      <c r="AO77" s="46"/>
      <c r="AP77" s="60"/>
      <c r="AQ77" s="49"/>
      <c r="AR77" s="49"/>
      <c r="AS77" s="49"/>
      <c r="AT77" s="49" t="s">
        <v>731</v>
      </c>
      <c r="AU77" s="58">
        <f>AU72*AU75</f>
        <v>0</v>
      </c>
      <c r="AV77" s="102" t="str">
        <f>IF(AU77=0,"",AU77/$U$23)</f>
        <v/>
      </c>
      <c r="AW77" s="25" t="str">
        <f>IF(AV77&lt;=1,"REJECT","EQ")</f>
        <v>EQ</v>
      </c>
      <c r="AY77" s="46"/>
      <c r="AZ77" s="60"/>
      <c r="BA77" s="49"/>
      <c r="BB77" s="49"/>
      <c r="BC77" s="49"/>
      <c r="BD77" s="49" t="s">
        <v>731</v>
      </c>
      <c r="BE77" s="58">
        <f>BE72*BE75</f>
        <v>0</v>
      </c>
      <c r="BF77" s="102" t="str">
        <f>IF(BE77=0,"",BE77/$U$23)</f>
        <v/>
      </c>
      <c r="BG77" s="25" t="str">
        <f>IF(BF77&lt;=1,"REJECT","EQ")</f>
        <v>EQ</v>
      </c>
      <c r="BI77" s="46"/>
      <c r="BJ77" s="60"/>
      <c r="BK77" s="49"/>
      <c r="BL77" s="49"/>
      <c r="BM77" s="49"/>
      <c r="BN77" s="49" t="s">
        <v>731</v>
      </c>
      <c r="BO77" s="58">
        <f>BO72*BO75</f>
        <v>0</v>
      </c>
      <c r="BP77" s="102" t="str">
        <f>IF(BO77=0,"",BO77/$U$23)</f>
        <v/>
      </c>
      <c r="BQ77" s="25" t="str">
        <f>IF(OR($L$23&lt;40*IF($A$25="mm",1,2.2046),AND($U$22="Corner Attachment",NOT($U$24="None"))),"N/A",IF(BP77&lt;=1,"REJECT","EQ"))</f>
        <v>N/A</v>
      </c>
      <c r="BS77" s="46"/>
      <c r="BT77" s="60"/>
      <c r="BU77" s="49"/>
      <c r="BV77" s="49"/>
      <c r="BW77" s="49"/>
      <c r="BX77" s="49" t="s">
        <v>737</v>
      </c>
      <c r="BY77" s="58">
        <f>2*BY67*BY70*BY69*BY68*IF($A$25="mm",1/10^6,1)</f>
        <v>0</v>
      </c>
      <c r="BZ77" s="102" t="str">
        <f>IF(BY77=0,"",BY77/$U$23)</f>
        <v/>
      </c>
      <c r="CA77" s="25" t="str">
        <f t="shared" si="18"/>
        <v>EQ</v>
      </c>
      <c r="CC77" s="46"/>
      <c r="CD77" s="60"/>
      <c r="CE77" s="49"/>
      <c r="CF77" s="49"/>
      <c r="CG77" s="49"/>
      <c r="CH77" s="49" t="s">
        <v>737</v>
      </c>
      <c r="CI77" s="58">
        <f>2*CI67*CI70*CI69*CI68*IF($A$25="mm",1/10^6,1)</f>
        <v>0</v>
      </c>
      <c r="CJ77" s="102" t="str">
        <f>IF(CI77=0,"",CI77/$U$23)</f>
        <v/>
      </c>
      <c r="CK77" s="25" t="str">
        <f t="shared" si="19"/>
        <v>EQ</v>
      </c>
      <c r="CM77" s="46"/>
      <c r="CN77" s="60"/>
      <c r="CO77" s="49"/>
      <c r="CP77" s="49"/>
      <c r="CQ77" s="49"/>
      <c r="CR77" s="49" t="s">
        <v>737</v>
      </c>
      <c r="CS77" s="58">
        <f>2*CS67*CS70*CS69*CS68*IF($A$25="mm",1/10^6,1)</f>
        <v>0</v>
      </c>
      <c r="CT77" s="102" t="str">
        <f>IF(CS77=0,"",CS77/$U$23)</f>
        <v/>
      </c>
      <c r="CU77" s="25" t="str">
        <f t="shared" si="20"/>
        <v>EQ</v>
      </c>
      <c r="CW77" s="46"/>
      <c r="CX77" s="60"/>
      <c r="CY77" s="49"/>
      <c r="CZ77" s="49"/>
      <c r="DA77" s="49"/>
      <c r="DB77" s="49" t="s">
        <v>737</v>
      </c>
      <c r="DC77" s="58">
        <f>2*DC67*DC70*DC69*DC68*IF($A$25="mm",1/10^6,1)</f>
        <v>0</v>
      </c>
      <c r="DD77" s="102" t="str">
        <f>IF(DC77=0,"",DC77/$U$23)</f>
        <v/>
      </c>
      <c r="DE77" s="25" t="str">
        <f t="shared" si="21"/>
        <v>EQ</v>
      </c>
      <c r="DG77" s="46"/>
      <c r="DH77" s="60"/>
      <c r="DI77" s="49"/>
      <c r="DJ77" s="49"/>
      <c r="DK77" s="49"/>
      <c r="DL77" s="49" t="s">
        <v>737</v>
      </c>
      <c r="DM77" s="58">
        <f>2*DM67*DM70*DM69*DM68*IF($A$25="mm",1/10^6,1)</f>
        <v>0</v>
      </c>
      <c r="DN77" s="102" t="str">
        <f>IF(DM77=0,"",DM77/$U$23)</f>
        <v/>
      </c>
      <c r="DO77" s="25" t="str">
        <f>IF(OR($L$23&lt;40*IF($A$25="mm",1,2.2046),AND($U$22="Corner Attachment",NOT($U$25="None"))),"N/A",IF(DN77&lt;=1,"REJECT","EQ"))</f>
        <v>N/A</v>
      </c>
    </row>
    <row r="78" spans="1:119" ht="15" customHeight="1" thickBot="1" x14ac:dyDescent="0.35">
      <c r="A78" s="272" t="str">
        <f>IF(COUNTIF(I79:I86,"BLANK"),"BLANK",IF(OR(SUMPRODUCT(--ISERROR(I79:I86))&gt;0,COUNTIF(I79:I86,"REJECT")),"REJECT",IF(COUNTIF(I79:I86,"CHECK"),"CHECK","EQ")))</f>
        <v>BLANK</v>
      </c>
      <c r="B78" s="272"/>
      <c r="C78" s="272"/>
      <c r="D78" s="272"/>
      <c r="E78" s="272"/>
      <c r="F78" s="272"/>
      <c r="G78" s="272"/>
      <c r="H78" s="272"/>
      <c r="I78" s="272"/>
      <c r="K78" s="47"/>
      <c r="L78" s="49"/>
      <c r="M78" s="49"/>
      <c r="N78" s="49"/>
      <c r="O78" s="49"/>
      <c r="P78" s="64" t="str">
        <f>IF(NOT(Q77="Bolted"),"","Size of fasteners:")</f>
        <v>Size of fasteners:</v>
      </c>
      <c r="Q78" s="243" t="s">
        <v>738</v>
      </c>
      <c r="R78" s="244"/>
      <c r="S78" s="25" t="str">
        <f>IF(NOT(Q77="Bolted"),"N/A","EQ")</f>
        <v>EQ</v>
      </c>
      <c r="U78" s="46"/>
      <c r="V78" s="60"/>
      <c r="W78" s="49"/>
      <c r="X78" s="49"/>
      <c r="Y78" s="49"/>
      <c r="Z78" s="49" t="s">
        <v>734</v>
      </c>
      <c r="AA78" s="58">
        <f>AA69*AA70*AA76*IF($A$25="mm",1/10^6,1)</f>
        <v>0</v>
      </c>
      <c r="AB78" s="102" t="str">
        <f>IF(AA78=0,"",AA78/$U$23)</f>
        <v/>
      </c>
      <c r="AC78" s="25" t="str">
        <f t="shared" ref="AC78:AC79" si="22">IF(AB78&lt;=1,"REJECT","EQ")</f>
        <v>EQ</v>
      </c>
      <c r="AE78" s="46"/>
      <c r="AF78" s="60"/>
      <c r="AG78" s="49"/>
      <c r="AH78" s="49"/>
      <c r="AI78" s="49"/>
      <c r="AJ78" s="49" t="s">
        <v>734</v>
      </c>
      <c r="AK78" s="58">
        <f>AK69*AK70*AK76*IF($A$25="mm",1/10^6,1)</f>
        <v>0</v>
      </c>
      <c r="AL78" s="102" t="str">
        <f>IF(AK78=0,"",AK78/$U$23)</f>
        <v/>
      </c>
      <c r="AM78" s="25" t="str">
        <f t="shared" ref="AM78:AM79" si="23">IF(AL78&lt;=1,"REJECT","EQ")</f>
        <v>EQ</v>
      </c>
      <c r="AO78" s="46"/>
      <c r="AP78" s="60"/>
      <c r="AQ78" s="49"/>
      <c r="AR78" s="49"/>
      <c r="AS78" s="49"/>
      <c r="AT78" s="49" t="s">
        <v>734</v>
      </c>
      <c r="AU78" s="58">
        <f>AU69*AU70*AU76*IF($A$25="mm",1/10^6,1)</f>
        <v>0</v>
      </c>
      <c r="AV78" s="102" t="str">
        <f>IF(AU78=0,"",AU78/$U$23)</f>
        <v/>
      </c>
      <c r="AW78" s="25" t="str">
        <f t="shared" ref="AW78:AW79" si="24">IF(AV78&lt;=1,"REJECT","EQ")</f>
        <v>EQ</v>
      </c>
      <c r="AY78" s="46"/>
      <c r="AZ78" s="60"/>
      <c r="BA78" s="49"/>
      <c r="BB78" s="49"/>
      <c r="BC78" s="49"/>
      <c r="BD78" s="49" t="s">
        <v>734</v>
      </c>
      <c r="BE78" s="58">
        <f>BE69*BE70*BE76*IF($A$25="mm",1/10^6,1)</f>
        <v>0</v>
      </c>
      <c r="BF78" s="102" t="str">
        <f>IF(BE78=0,"",BE78/$U$23)</f>
        <v/>
      </c>
      <c r="BG78" s="25" t="str">
        <f t="shared" ref="BG78:BG79" si="25">IF(BF78&lt;=1,"REJECT","EQ")</f>
        <v>EQ</v>
      </c>
      <c r="BI78" s="46"/>
      <c r="BJ78" s="60"/>
      <c r="BK78" s="49"/>
      <c r="BL78" s="49"/>
      <c r="BM78" s="49"/>
      <c r="BN78" s="49" t="s">
        <v>734</v>
      </c>
      <c r="BO78" s="58">
        <f>BO69*BO70*BO76*IF($A$25="mm",1/10^6,1)</f>
        <v>0</v>
      </c>
      <c r="BP78" s="102" t="str">
        <f>IF(BO78=0,"",BO78/$U$23)</f>
        <v/>
      </c>
      <c r="BQ78" s="25" t="str">
        <f>IF(OR($L$23&lt;40*IF($A$25="mm",1,2.2046),AND($U$22="Corner Attachment",NOT($U$24="None"))),"N/A",IF(BP78&lt;=1,"REJECT","EQ"))</f>
        <v>N/A</v>
      </c>
      <c r="BS78" s="46"/>
      <c r="BT78" s="60"/>
      <c r="BU78" s="49"/>
      <c r="BV78" s="49"/>
      <c r="BW78" s="49"/>
      <c r="BX78" s="49"/>
      <c r="BY78" s="58"/>
      <c r="BZ78" s="102"/>
      <c r="CA78" s="25"/>
      <c r="CC78" s="46"/>
      <c r="CD78" s="60"/>
      <c r="CE78" s="49"/>
      <c r="CF78" s="49"/>
      <c r="CG78" s="49"/>
      <c r="CH78" s="49"/>
      <c r="CI78" s="58"/>
      <c r="CJ78" s="102"/>
      <c r="CK78" s="25"/>
      <c r="CM78" s="46"/>
      <c r="CN78" s="60"/>
      <c r="CO78" s="49"/>
      <c r="CP78" s="49"/>
      <c r="CQ78" s="49"/>
      <c r="CR78" s="49"/>
      <c r="CS78" s="58"/>
      <c r="CT78" s="102"/>
      <c r="CU78" s="25"/>
      <c r="CW78" s="46"/>
      <c r="CX78" s="60"/>
      <c r="CY78" s="49"/>
      <c r="CZ78" s="49"/>
      <c r="DA78" s="49"/>
      <c r="DB78" s="49"/>
      <c r="DC78" s="58"/>
      <c r="DD78" s="102"/>
      <c r="DE78" s="25"/>
      <c r="DG78" s="46"/>
      <c r="DH78" s="60"/>
      <c r="DI78" s="49"/>
      <c r="DJ78" s="49"/>
      <c r="DK78" s="49"/>
      <c r="DL78" s="49"/>
      <c r="DM78" s="58"/>
      <c r="DN78" s="102"/>
      <c r="DO78" s="25"/>
    </row>
    <row r="79" spans="1:119" ht="15" customHeight="1" x14ac:dyDescent="0.3">
      <c r="A79" s="47" t="s">
        <v>739</v>
      </c>
      <c r="B79" s="46" t="s">
        <v>740</v>
      </c>
      <c r="F79" s="49" t="s">
        <v>741</v>
      </c>
      <c r="G79" s="151"/>
      <c r="H79" s="19" t="str">
        <f>IF($A$25="mm","Pa","psi")</f>
        <v>Pa</v>
      </c>
      <c r="I79" s="25" t="str">
        <f t="shared" ref="I79:I86" si="26">IF(G79="","BLANK","EQ")</f>
        <v>BLANK</v>
      </c>
      <c r="K79" s="47"/>
      <c r="L79" s="49"/>
      <c r="M79" s="49"/>
      <c r="N79" s="49"/>
      <c r="O79" s="49"/>
      <c r="P79" s="64" t="str">
        <f>IF(NOT(Q77="Bolted"),"","Number of fasteners:")</f>
        <v>Number of fasteners:</v>
      </c>
      <c r="Q79" s="57"/>
      <c r="S79" s="25" t="str">
        <f>IF(NOT(Q77="Bolted"),"N/A",IF(Q79="","BLANK",
IF(AND(Q78="4mm (#10)",Q79&lt;S69*3),"REJECT",
IF(AND(Q78="5mm (#12)",Q79&lt;S69*2),"REJECT",
IF(Q79&lt;S69,"REJECT","EQ")))))</f>
        <v>BLANK</v>
      </c>
      <c r="U79" s="46"/>
      <c r="V79" s="60"/>
      <c r="W79" s="49"/>
      <c r="X79" s="49"/>
      <c r="Y79" s="49"/>
      <c r="Z79" s="49" t="s">
        <v>737</v>
      </c>
      <c r="AA79" s="58">
        <f>2*AA69*AA72*AA71*AA70*IF($A$25="mm",1/10^6,1)</f>
        <v>0</v>
      </c>
      <c r="AB79" s="102" t="str">
        <f>IF(AA79=0,"",AA79/$U$23)</f>
        <v/>
      </c>
      <c r="AC79" s="25" t="str">
        <f t="shared" si="22"/>
        <v>EQ</v>
      </c>
      <c r="AE79" s="46"/>
      <c r="AF79" s="60"/>
      <c r="AG79" s="49"/>
      <c r="AH79" s="49"/>
      <c r="AI79" s="49"/>
      <c r="AJ79" s="49" t="s">
        <v>737</v>
      </c>
      <c r="AK79" s="58">
        <f>2*AK69*AK72*AK71*AK70*IF($A$25="mm",1/10^6,1)</f>
        <v>0</v>
      </c>
      <c r="AL79" s="102" t="str">
        <f>IF(AK79=0,"",AK79/$U$23)</f>
        <v/>
      </c>
      <c r="AM79" s="25" t="str">
        <f t="shared" si="23"/>
        <v>EQ</v>
      </c>
      <c r="AO79" s="46"/>
      <c r="AP79" s="60"/>
      <c r="AQ79" s="49"/>
      <c r="AR79" s="49"/>
      <c r="AS79" s="49"/>
      <c r="AT79" s="49" t="s">
        <v>737</v>
      </c>
      <c r="AU79" s="58">
        <f>2*AU69*AU72*AU71*AU70*IF($A$25="mm",1/10^6,1)</f>
        <v>0</v>
      </c>
      <c r="AV79" s="102" t="str">
        <f>IF(AU79=0,"",AU79/$U$23)</f>
        <v/>
      </c>
      <c r="AW79" s="25" t="str">
        <f t="shared" si="24"/>
        <v>EQ</v>
      </c>
      <c r="AY79" s="46"/>
      <c r="AZ79" s="60"/>
      <c r="BA79" s="49"/>
      <c r="BB79" s="49"/>
      <c r="BC79" s="49"/>
      <c r="BD79" s="49" t="s">
        <v>737</v>
      </c>
      <c r="BE79" s="58">
        <f>2*BE69*BE72*BE71*BE70*IF($A$25="mm",1/10^6,1)</f>
        <v>0</v>
      </c>
      <c r="BF79" s="102" t="str">
        <f>IF(BE79=0,"",BE79/$U$23)</f>
        <v/>
      </c>
      <c r="BG79" s="25" t="str">
        <f t="shared" si="25"/>
        <v>EQ</v>
      </c>
      <c r="BI79" s="46"/>
      <c r="BJ79" s="60"/>
      <c r="BK79" s="49"/>
      <c r="BL79" s="49"/>
      <c r="BM79" s="49"/>
      <c r="BN79" s="49" t="s">
        <v>737</v>
      </c>
      <c r="BO79" s="58">
        <f>2*BO69*BO72*BO71*BO70*IF($A$25="mm",1/10^6,1)</f>
        <v>0</v>
      </c>
      <c r="BP79" s="102" t="str">
        <f>IF(BO79=0,"",BO79/$U$23)</f>
        <v/>
      </c>
      <c r="BQ79" s="25" t="str">
        <f>IF(OR($L$23&lt;40*IF($A$25="mm",1,2.2046),AND($U$22="Corner Attachment",NOT($U$24="None"))),"N/A",IF(BP79&lt;=1,"REJECT","EQ"))</f>
        <v>N/A</v>
      </c>
      <c r="BS79" s="46"/>
      <c r="BT79" s="60"/>
      <c r="BU79" s="49"/>
      <c r="BV79" s="25"/>
      <c r="BW79" s="25" t="s">
        <v>742</v>
      </c>
      <c r="BX79" s="49"/>
      <c r="BY79" s="58"/>
      <c r="BZ79" s="102"/>
      <c r="CA79" s="25"/>
      <c r="CC79" s="46"/>
      <c r="CD79" s="60"/>
      <c r="CE79" s="49"/>
      <c r="CF79" s="25"/>
      <c r="CG79" s="25" t="s">
        <v>742</v>
      </c>
      <c r="CH79" s="49"/>
      <c r="CI79" s="58"/>
      <c r="CJ79" s="102"/>
      <c r="CK79" s="25"/>
      <c r="CM79" s="46"/>
      <c r="CN79" s="60"/>
      <c r="CO79" s="49"/>
      <c r="CP79" s="25"/>
      <c r="CQ79" s="25" t="s">
        <v>742</v>
      </c>
      <c r="CR79" s="49"/>
      <c r="CS79" s="58"/>
      <c r="CT79" s="102"/>
      <c r="CU79" s="25"/>
      <c r="CW79" s="46"/>
      <c r="CX79" s="60"/>
      <c r="CY79" s="49"/>
      <c r="CZ79" s="25"/>
      <c r="DA79" s="25" t="s">
        <v>742</v>
      </c>
      <c r="DB79" s="49"/>
      <c r="DC79" s="58"/>
      <c r="DD79" s="102"/>
      <c r="DE79" s="25"/>
      <c r="DG79" s="46"/>
      <c r="DH79" s="60"/>
      <c r="DI79" s="49"/>
      <c r="DJ79" s="25"/>
      <c r="DK79" s="25" t="s">
        <v>742</v>
      </c>
      <c r="DL79" s="49"/>
      <c r="DM79" s="58"/>
      <c r="DN79" s="102"/>
      <c r="DO79" s="25"/>
    </row>
    <row r="80" spans="1:119" ht="15" customHeight="1" thickBot="1" x14ac:dyDescent="0.35">
      <c r="F80" s="49" t="s">
        <v>743</v>
      </c>
      <c r="G80" s="151"/>
      <c r="H80" s="19" t="str">
        <f>IF($A$25="mm","Pa","psi")</f>
        <v>Pa</v>
      </c>
      <c r="I80" s="25" t="str">
        <f t="shared" si="26"/>
        <v>BLANK</v>
      </c>
      <c r="K80" s="47"/>
      <c r="L80" s="63"/>
      <c r="M80" s="60"/>
      <c r="N80" s="60"/>
      <c r="O80" s="60"/>
      <c r="P80" s="64" t="str">
        <f>IF(NOT(Q77="Bonded"),"","Shear capability of 1 x 6mm Metric 8.8 (1/4in Grade 5):")</f>
        <v/>
      </c>
      <c r="Q80" s="76"/>
      <c r="R80" s="19" t="str">
        <f>IF($A$25="mm","N","lbs")</f>
        <v>N</v>
      </c>
      <c r="S80" s="55" t="str">
        <f>IF(NOT(Q77="Bonded"),"N/A",IF(Q80="","BLANK","EQ"))</f>
        <v>N/A</v>
      </c>
      <c r="U80" s="46"/>
      <c r="V80" s="60"/>
      <c r="W80" s="49"/>
      <c r="X80" s="49"/>
      <c r="Y80" s="49"/>
      <c r="Z80" s="49"/>
      <c r="AA80" s="58"/>
      <c r="AB80" s="102"/>
      <c r="AC80" s="25"/>
      <c r="AE80" s="46"/>
      <c r="AF80" s="60"/>
      <c r="AG80" s="49"/>
      <c r="AH80" s="49"/>
      <c r="AI80" s="49"/>
      <c r="AJ80" s="49"/>
      <c r="AK80" s="58"/>
      <c r="AL80" s="102"/>
      <c r="AM80" s="25"/>
      <c r="AO80" s="46"/>
      <c r="AP80" s="60"/>
      <c r="AQ80" s="49"/>
      <c r="AR80" s="49"/>
      <c r="AS80" s="49"/>
      <c r="AT80" s="49"/>
      <c r="AU80" s="58"/>
      <c r="AV80" s="102"/>
      <c r="AW80" s="25"/>
      <c r="AY80" s="46"/>
      <c r="AZ80" s="60"/>
      <c r="BA80" s="49"/>
      <c r="BB80" s="49"/>
      <c r="BC80" s="49"/>
      <c r="BD80" s="49"/>
      <c r="BE80" s="58"/>
      <c r="BF80" s="102"/>
      <c r="BG80" s="25"/>
      <c r="BI80" s="46"/>
      <c r="BJ80" s="60"/>
      <c r="BK80" s="49"/>
      <c r="BL80" s="49"/>
      <c r="BM80" s="49"/>
      <c r="BN80" s="49"/>
      <c r="BO80" s="58"/>
      <c r="BP80" s="102"/>
      <c r="BQ80" s="25"/>
      <c r="BS80" s="272" t="str">
        <f>IF(COUNTIF(CA81:CA90,"BLANK"),"BLANK",IF(OR(SUMPRODUCT(--ISERROR(CA81:CA90))&gt;0,COUNTIF(CA81:CA90,"REJECT")),"REJECT",IF(COUNTIF(CA81:CA90,"CHECK"),"CHECK","EQ")))</f>
        <v>BLANK</v>
      </c>
      <c r="BT80" s="272"/>
      <c r="BU80" s="272"/>
      <c r="BV80" s="272"/>
      <c r="BW80" s="272"/>
      <c r="BX80" s="272"/>
      <c r="BY80" s="272"/>
      <c r="BZ80" s="272"/>
      <c r="CA80" s="272"/>
      <c r="CC80" s="272" t="str">
        <f>IF(COUNTIF(CK81:CK90,"BLANK"),"BLANK",IF(OR(SUMPRODUCT(--ISERROR(CK81:CK90))&gt;0,COUNTIF(CK81:CK90,"REJECT")),"REJECT",IF(COUNTIF(CK81:CK90,"CHECK"),"CHECK","EQ")))</f>
        <v>BLANK</v>
      </c>
      <c r="CD80" s="272"/>
      <c r="CE80" s="272"/>
      <c r="CF80" s="272"/>
      <c r="CG80" s="272"/>
      <c r="CH80" s="272"/>
      <c r="CI80" s="272"/>
      <c r="CJ80" s="272"/>
      <c r="CK80" s="272"/>
      <c r="CM80" s="272" t="str">
        <f>IF(COUNTIF(CU81:CU90,"BLANK"),"BLANK",IF(OR(SUMPRODUCT(--ISERROR(CU81:CU90))&gt;0,COUNTIF(CU81:CU90,"REJECT")),"REJECT",IF(COUNTIF(CU81:CU90,"CHECK"),"CHECK","EQ")))</f>
        <v>BLANK</v>
      </c>
      <c r="CN80" s="272"/>
      <c r="CO80" s="272"/>
      <c r="CP80" s="272"/>
      <c r="CQ80" s="272"/>
      <c r="CR80" s="272"/>
      <c r="CS80" s="272"/>
      <c r="CT80" s="272"/>
      <c r="CU80" s="272"/>
      <c r="CW80" s="272" t="str">
        <f>IF(COUNTIF(DE81:DE90,"BLANK"),"BLANK",IF(OR(SUMPRODUCT(--ISERROR(DE81:DE90))&gt;0,COUNTIF(DE81:DE90,"REJECT")),"REJECT",IF(COUNTIF(DE81:DE90,"CHECK"),"CHECK","EQ")))</f>
        <v>BLANK</v>
      </c>
      <c r="CX80" s="272"/>
      <c r="CY80" s="272"/>
      <c r="CZ80" s="272"/>
      <c r="DA80" s="272"/>
      <c r="DB80" s="272"/>
      <c r="DC80" s="272"/>
      <c r="DD80" s="272"/>
      <c r="DE80" s="272"/>
      <c r="DG80" s="272" t="str">
        <f>IF(COUNTIF(DO81:DO90,"BLANK"),"BLANK",IF(OR(SUMPRODUCT(--ISERROR(DO81:DO90))&gt;0,COUNTIF(DO81:DO90,"REJECT")),"REJECT",IF(COUNTIF(DO81:DO90,"CHECK"),"CHECK","EQ")))</f>
        <v>EQ</v>
      </c>
      <c r="DH80" s="272"/>
      <c r="DI80" s="272"/>
      <c r="DJ80" s="272"/>
      <c r="DK80" s="272"/>
      <c r="DL80" s="272"/>
      <c r="DM80" s="272"/>
      <c r="DN80" s="272"/>
      <c r="DO80" s="272"/>
    </row>
    <row r="81" spans="1:119" ht="15" customHeight="1" thickBot="1" x14ac:dyDescent="0.35">
      <c r="F81" s="49" t="s">
        <v>708</v>
      </c>
      <c r="G81" s="151"/>
      <c r="H81" s="19" t="str">
        <f>IF($A$25="mm","Pa","psi")</f>
        <v>Pa</v>
      </c>
      <c r="I81" s="25" t="str">
        <f t="shared" si="26"/>
        <v>BLANK</v>
      </c>
      <c r="K81" s="49"/>
      <c r="L81" s="60"/>
      <c r="M81" s="60"/>
      <c r="N81" s="60"/>
      <c r="O81" s="60"/>
      <c r="P81" s="64" t="str">
        <f>IF(NOT(Q77="Bonded"),"","Shear strength of adhesive:")</f>
        <v/>
      </c>
      <c r="Q81" s="76"/>
      <c r="R81" s="19" t="str">
        <f>IF($A$25="mm","N/mm^2","psi")</f>
        <v>N/mm^2</v>
      </c>
      <c r="S81" s="55" t="str">
        <f>IF(NOT(Q77="Bonded"),"N/A",IF(Q81="","BLANK","EQ"))</f>
        <v>N/A</v>
      </c>
      <c r="U81" s="310" t="s">
        <v>744</v>
      </c>
      <c r="V81" s="310"/>
      <c r="W81" s="310"/>
      <c r="X81" s="310"/>
      <c r="Y81" s="310"/>
      <c r="Z81" s="310"/>
      <c r="AA81" s="310"/>
      <c r="AB81" s="310"/>
      <c r="AC81" s="310"/>
      <c r="AE81" s="310" t="s">
        <v>744</v>
      </c>
      <c r="AF81" s="310"/>
      <c r="AG81" s="310"/>
      <c r="AH81" s="310"/>
      <c r="AI81" s="310"/>
      <c r="AJ81" s="310"/>
      <c r="AK81" s="310"/>
      <c r="AL81" s="310"/>
      <c r="AM81" s="310"/>
      <c r="AO81" s="310" t="s">
        <v>744</v>
      </c>
      <c r="AP81" s="310"/>
      <c r="AQ81" s="310"/>
      <c r="AR81" s="310"/>
      <c r="AS81" s="310"/>
      <c r="AT81" s="310"/>
      <c r="AU81" s="310"/>
      <c r="AV81" s="310"/>
      <c r="AW81" s="310"/>
      <c r="AY81" s="310" t="s">
        <v>744</v>
      </c>
      <c r="AZ81" s="310"/>
      <c r="BA81" s="310"/>
      <c r="BB81" s="310"/>
      <c r="BC81" s="310"/>
      <c r="BD81" s="310"/>
      <c r="BE81" s="310"/>
      <c r="BF81" s="310"/>
      <c r="BG81" s="310"/>
      <c r="BI81" s="310" t="s">
        <v>744</v>
      </c>
      <c r="BJ81" s="310"/>
      <c r="BK81" s="310"/>
      <c r="BL81" s="310"/>
      <c r="BM81" s="310"/>
      <c r="BN81" s="310"/>
      <c r="BO81" s="310"/>
      <c r="BP81" s="310"/>
      <c r="BQ81" s="310"/>
      <c r="BS81" s="46"/>
      <c r="BT81" s="60"/>
      <c r="BU81" s="49"/>
      <c r="BV81" s="49"/>
      <c r="BW81" s="49"/>
      <c r="BX81" s="49" t="s">
        <v>745</v>
      </c>
      <c r="BY81" s="312" t="s">
        <v>301</v>
      </c>
      <c r="BZ81" s="313"/>
      <c r="CA81" s="25" t="str">
        <f>IF(BY81="","BLANK","EQ")</f>
        <v>EQ</v>
      </c>
      <c r="CC81" s="46"/>
      <c r="CD81" s="60"/>
      <c r="CE81" s="49"/>
      <c r="CF81" s="49"/>
      <c r="CG81" s="49"/>
      <c r="CH81" s="49" t="s">
        <v>745</v>
      </c>
      <c r="CI81" s="312" t="s">
        <v>301</v>
      </c>
      <c r="CJ81" s="313"/>
      <c r="CK81" s="25" t="str">
        <f>IF(CI81="","BLANK","EQ")</f>
        <v>EQ</v>
      </c>
      <c r="CM81" s="46"/>
      <c r="CN81" s="60"/>
      <c r="CO81" s="49"/>
      <c r="CP81" s="49"/>
      <c r="CQ81" s="49"/>
      <c r="CR81" s="49" t="s">
        <v>745</v>
      </c>
      <c r="CS81" s="312" t="s">
        <v>301</v>
      </c>
      <c r="CT81" s="313"/>
      <c r="CU81" s="25" t="str">
        <f>IF(CS81="","BLANK","EQ")</f>
        <v>EQ</v>
      </c>
      <c r="CW81" s="46"/>
      <c r="CX81" s="60"/>
      <c r="CY81" s="49"/>
      <c r="CZ81" s="49"/>
      <c r="DA81" s="49"/>
      <c r="DB81" s="49" t="s">
        <v>745</v>
      </c>
      <c r="DC81" s="312" t="s">
        <v>301</v>
      </c>
      <c r="DD81" s="313"/>
      <c r="DE81" s="25" t="str">
        <f>IF(DC81="","BLANK","EQ")</f>
        <v>EQ</v>
      </c>
      <c r="DG81" s="46"/>
      <c r="DH81" s="60"/>
      <c r="DI81" s="49"/>
      <c r="DJ81" s="49"/>
      <c r="DK81" s="49"/>
      <c r="DL81" s="49" t="s">
        <v>745</v>
      </c>
      <c r="DM81" s="312" t="s">
        <v>301</v>
      </c>
      <c r="DN81" s="313"/>
      <c r="DO81" s="25" t="str">
        <f>IF(OR($L$23&lt;40*IF($A$25="mm",1,2.2046),AND($U$22="Corner Attachment",NOT($U$25="None"))),"N/A",IF(DM81="","BLANK","EQ"))</f>
        <v>N/A</v>
      </c>
    </row>
    <row r="82" spans="1:119" ht="15" customHeight="1" thickBot="1" x14ac:dyDescent="0.35">
      <c r="A82" s="25"/>
      <c r="B82" s="25"/>
      <c r="C82" s="25"/>
      <c r="D82" s="25"/>
      <c r="E82" s="25"/>
      <c r="F82" s="49" t="s">
        <v>746</v>
      </c>
      <c r="G82" s="50"/>
      <c r="H82" s="46" t="str">
        <f>IF($A$25="mm","mm^4","in^4")</f>
        <v>mm^4</v>
      </c>
      <c r="I82" s="25" t="str">
        <f t="shared" si="26"/>
        <v>BLANK</v>
      </c>
      <c r="K82" s="60"/>
      <c r="L82" s="60"/>
      <c r="M82" s="60"/>
      <c r="N82" s="60"/>
      <c r="O82" s="60"/>
      <c r="P82" s="73" t="str">
        <f>IF(NOT(Q77="Bonded"),"","Minimum bond area:")</f>
        <v/>
      </c>
      <c r="Q82" s="76"/>
      <c r="R82" s="19" t="str">
        <f>IF($A$25="mm","mm^2","in^2")</f>
        <v>mm^2</v>
      </c>
      <c r="S82" s="55" t="str">
        <f>IF(NOT(Q77="Bonded"),"N/A",IF(Q82="","BLANK","EQ"))</f>
        <v>N/A</v>
      </c>
      <c r="U82" s="310" t="s">
        <v>747</v>
      </c>
      <c r="V82" s="310"/>
      <c r="W82" s="310"/>
      <c r="X82" s="310"/>
      <c r="Y82" s="310"/>
      <c r="Z82" s="310"/>
      <c r="AA82" s="310"/>
      <c r="AB82" s="310"/>
      <c r="AC82" s="310"/>
      <c r="AE82" s="310" t="s">
        <v>747</v>
      </c>
      <c r="AF82" s="310"/>
      <c r="AG82" s="310"/>
      <c r="AH82" s="310"/>
      <c r="AI82" s="310"/>
      <c r="AJ82" s="310"/>
      <c r="AK82" s="310"/>
      <c r="AL82" s="310"/>
      <c r="AM82" s="310"/>
      <c r="AO82" s="310" t="s">
        <v>747</v>
      </c>
      <c r="AP82" s="310"/>
      <c r="AQ82" s="310"/>
      <c r="AR82" s="310"/>
      <c r="AS82" s="310"/>
      <c r="AT82" s="310"/>
      <c r="AU82" s="310"/>
      <c r="AV82" s="310"/>
      <c r="AW82" s="310"/>
      <c r="AY82" s="310" t="s">
        <v>747</v>
      </c>
      <c r="AZ82" s="310"/>
      <c r="BA82" s="310"/>
      <c r="BB82" s="310"/>
      <c r="BC82" s="310"/>
      <c r="BD82" s="310"/>
      <c r="BE82" s="310"/>
      <c r="BF82" s="310"/>
      <c r="BG82" s="310"/>
      <c r="BI82" s="310" t="s">
        <v>747</v>
      </c>
      <c r="BJ82" s="310"/>
      <c r="BK82" s="310"/>
      <c r="BL82" s="310"/>
      <c r="BM82" s="310"/>
      <c r="BN82" s="310"/>
      <c r="BO82" s="310"/>
      <c r="BP82" s="310"/>
      <c r="BQ82" s="310"/>
      <c r="BS82" s="122"/>
      <c r="BU82" s="61"/>
      <c r="BV82" s="61"/>
      <c r="BW82" s="61"/>
      <c r="BX82" s="25"/>
      <c r="BY82" s="125" t="s">
        <v>3</v>
      </c>
      <c r="BZ82" s="128"/>
      <c r="CA82" s="25" t="str">
        <f>IF(BY81="Composite","N/A",IF(BY82="","BLANK","EQ"))</f>
        <v>EQ</v>
      </c>
      <c r="CC82" s="122"/>
      <c r="CE82" s="61"/>
      <c r="CF82" s="61"/>
      <c r="CG82" s="61"/>
      <c r="CH82" s="25"/>
      <c r="CI82" s="125" t="s">
        <v>3</v>
      </c>
      <c r="CJ82" s="128"/>
      <c r="CK82" s="25" t="str">
        <f>IF(CI81="Composite","N/A",IF(CI82="","BLANK","EQ"))</f>
        <v>EQ</v>
      </c>
      <c r="CM82" s="122"/>
      <c r="CO82" s="61"/>
      <c r="CP82" s="61"/>
      <c r="CQ82" s="61"/>
      <c r="CR82" s="25"/>
      <c r="CS82" s="125" t="s">
        <v>3</v>
      </c>
      <c r="CT82" s="128"/>
      <c r="CU82" s="25" t="str">
        <f>IF(CS81="Composite","N/A",IF(CS82="","BLANK","EQ"))</f>
        <v>EQ</v>
      </c>
      <c r="CW82" s="122"/>
      <c r="CY82" s="61"/>
      <c r="CZ82" s="61"/>
      <c r="DA82" s="61"/>
      <c r="DB82" s="25"/>
      <c r="DC82" s="125" t="s">
        <v>3</v>
      </c>
      <c r="DD82" s="128"/>
      <c r="DE82" s="25" t="str">
        <f>IF(DC81="Composite","N/A",IF(DC82="","BLANK","EQ"))</f>
        <v>EQ</v>
      </c>
      <c r="DG82" s="122"/>
      <c r="DI82" s="61"/>
      <c r="DJ82" s="61"/>
      <c r="DK82" s="61"/>
      <c r="DL82" s="25"/>
      <c r="DM82" s="125" t="s">
        <v>3</v>
      </c>
      <c r="DN82" s="128"/>
      <c r="DO82" s="25" t="str">
        <f>IF(OR($L$23&lt;40*IF($A$25="mm",1,2.2046),AND($U$22="Corner Attachment",NOT($U$25="None")),DM81="Composite"),"N/A",IF(DM82="","BLANK","EQ"))</f>
        <v>N/A</v>
      </c>
    </row>
    <row r="83" spans="1:119" ht="15" customHeight="1" x14ac:dyDescent="0.3">
      <c r="A83" s="47"/>
      <c r="B83" s="48"/>
      <c r="C83" s="48"/>
      <c r="D83" s="48"/>
      <c r="E83" s="48"/>
      <c r="F83" s="49" t="s">
        <v>748</v>
      </c>
      <c r="G83" s="50"/>
      <c r="H83" s="46" t="str">
        <f>IF($A$25="mm","mm^4","in^4")</f>
        <v>mm^4</v>
      </c>
      <c r="I83" s="25" t="str">
        <f t="shared" si="26"/>
        <v>BLANK</v>
      </c>
      <c r="K83" s="47"/>
      <c r="L83" s="49"/>
      <c r="M83" s="49"/>
      <c r="N83" s="49"/>
      <c r="O83" s="49"/>
      <c r="P83" s="49" t="str">
        <f>IF(NOT(Q77="Bonded"),"","Minimum bond strength &gt;= baseline x bolts in shear:")</f>
        <v/>
      </c>
      <c r="Q83" s="67" t="str">
        <f>IF(Q82="","",Q81*Q82)</f>
        <v/>
      </c>
      <c r="R83" s="75" t="str">
        <f>IF(OR(Q83="",Q80=""),"",Q83/(S69*Q80))</f>
        <v/>
      </c>
      <c r="S83" s="55" t="str">
        <f>IF(NOT(Q77="Bonded"),"N/A",IF(Q83&lt;S69*Q80,"REJECT","EQ"))</f>
        <v>N/A</v>
      </c>
      <c r="U83" s="272" t="str">
        <f>IF(COUNTIF(AC84:AC91,"BLANK"),"BLANK",IF(OR(SUMPRODUCT(--ISERROR(AC84:AC91))&gt;0,COUNTIF(AC84:AC91,"REJECT")),"REJECT",IF(COUNTIF(AC84:AC91,"CHECK"),"CHECK","EQ")))</f>
        <v>EQ</v>
      </c>
      <c r="V83" s="272"/>
      <c r="W83" s="272"/>
      <c r="X83" s="272"/>
      <c r="Y83" s="272"/>
      <c r="Z83" s="272"/>
      <c r="AA83" s="272"/>
      <c r="AB83" s="272"/>
      <c r="AC83" s="272"/>
      <c r="AE83" s="272" t="str">
        <f>IF(COUNTIF(AM84:AM91,"BLANK"),"BLANK",IF(OR(SUMPRODUCT(--ISERROR(AM84:AM91))&gt;0,COUNTIF(AM84:AM91,"REJECT")),"REJECT",IF(COUNTIF(AM84:AM91,"CHECK"),"CHECK","EQ")))</f>
        <v>EQ</v>
      </c>
      <c r="AF83" s="272"/>
      <c r="AG83" s="272"/>
      <c r="AH83" s="272"/>
      <c r="AI83" s="272"/>
      <c r="AJ83" s="272"/>
      <c r="AK83" s="272"/>
      <c r="AL83" s="272"/>
      <c r="AM83" s="272"/>
      <c r="AO83" s="272" t="str">
        <f>IF(COUNTIF(AW84:AW91,"BLANK"),"BLANK",IF(OR(SUMPRODUCT(--ISERROR(AW84:AW91))&gt;0,COUNTIF(AW84:AW91,"REJECT")),"REJECT",IF(COUNTIF(AW84:AW91,"CHECK"),"CHECK","EQ")))</f>
        <v>EQ</v>
      </c>
      <c r="AP83" s="272"/>
      <c r="AQ83" s="272"/>
      <c r="AR83" s="272"/>
      <c r="AS83" s="272"/>
      <c r="AT83" s="272"/>
      <c r="AU83" s="272"/>
      <c r="AV83" s="272"/>
      <c r="AW83" s="272"/>
      <c r="AY83" s="272" t="str">
        <f>IF(COUNTIF(BG84:BG91,"BLANK"),"BLANK",IF(OR(SUMPRODUCT(--ISERROR(BG84:BG91))&gt;0,COUNTIF(BG84:BG91,"REJECT")),"REJECT",IF(COUNTIF(BG84:BG91,"CHECK"),"CHECK","EQ")))</f>
        <v>EQ</v>
      </c>
      <c r="AZ83" s="272"/>
      <c r="BA83" s="272"/>
      <c r="BB83" s="272"/>
      <c r="BC83" s="272"/>
      <c r="BD83" s="272"/>
      <c r="BE83" s="272"/>
      <c r="BF83" s="272"/>
      <c r="BG83" s="272"/>
      <c r="BI83" s="272" t="str">
        <f>IF(COUNTIF(BQ84:BQ91,"BLANK"),"BLANK",IF(OR(SUMPRODUCT(--ISERROR(BQ84:BQ91))&gt;0,COUNTIF(BQ84:BQ91,"REJECT")),"REJECT",IF(COUNTIF(BQ84:BQ91,"CHECK"),"CHECK","EQ")))</f>
        <v>EQ</v>
      </c>
      <c r="BJ83" s="272"/>
      <c r="BK83" s="272"/>
      <c r="BL83" s="272"/>
      <c r="BM83" s="272"/>
      <c r="BN83" s="272"/>
      <c r="BO83" s="272"/>
      <c r="BP83" s="272"/>
      <c r="BQ83" s="272"/>
      <c r="BS83" s="41"/>
      <c r="BX83" s="49" t="str">
        <f>IF(BY82="Round","Chassis tube diameter:","Square side:")</f>
        <v>Chassis tube diameter:</v>
      </c>
      <c r="BY83" s="152"/>
      <c r="BZ83" s="19" t="str">
        <f>IF($A$25="mm","mm","in")</f>
        <v>mm</v>
      </c>
      <c r="CA83" s="25" t="str">
        <f>IF(BY81="Composite","N/A",IF(BY83="","BLANK","EQ"))</f>
        <v>BLANK</v>
      </c>
      <c r="CC83" s="41"/>
      <c r="CH83" s="49" t="str">
        <f>IF(CI82="Round","Chassis tube diameter:","Square side:")</f>
        <v>Chassis tube diameter:</v>
      </c>
      <c r="CI83" s="152"/>
      <c r="CJ83" s="19" t="str">
        <f>IF($A$25="mm","mm","in")</f>
        <v>mm</v>
      </c>
      <c r="CK83" s="25" t="str">
        <f>IF(CI81="Composite","N/A",IF(CI83="","BLANK","EQ"))</f>
        <v>BLANK</v>
      </c>
      <c r="CM83" s="41"/>
      <c r="CR83" s="49" t="str">
        <f>IF(CS82="Round","Chassis tube diameter:","Square side:")</f>
        <v>Chassis tube diameter:</v>
      </c>
      <c r="CS83" s="152"/>
      <c r="CT83" s="19" t="str">
        <f>IF($A$25="mm","mm","in")</f>
        <v>mm</v>
      </c>
      <c r="CU83" s="25" t="str">
        <f>IF(CS81="Composite","N/A",IF(CS83="","BLANK","EQ"))</f>
        <v>BLANK</v>
      </c>
      <c r="CW83" s="41"/>
      <c r="DB83" s="49" t="str">
        <f>IF(DC82="Round","Chassis tube diameter:","Square side:")</f>
        <v>Chassis tube diameter:</v>
      </c>
      <c r="DC83" s="152"/>
      <c r="DD83" s="19" t="str">
        <f>IF($A$25="mm","mm","in")</f>
        <v>mm</v>
      </c>
      <c r="DE83" s="25" t="str">
        <f>IF(DC81="Composite","N/A",IF(DC83="","BLANK","EQ"))</f>
        <v>BLANK</v>
      </c>
      <c r="DG83" s="41"/>
      <c r="DL83" s="49" t="str">
        <f>IF(DM82="Round","Chassis tube diameter:","Square side:")</f>
        <v>Chassis tube diameter:</v>
      </c>
      <c r="DM83" s="152"/>
      <c r="DN83" s="19" t="str">
        <f>IF($A$25="mm","mm","in")</f>
        <v>mm</v>
      </c>
      <c r="DO83" s="25" t="str">
        <f>IF(OR($L$23&lt;40*IF($A$25="mm",1,2.2046),AND($U$22="Corner Attachment",NOT($U$25="None")),DM81="Composite"),"N/A",IF(DM83="","BLANK","EQ"))</f>
        <v>N/A</v>
      </c>
    </row>
    <row r="84" spans="1:119" ht="15" customHeight="1" x14ac:dyDescent="0.3">
      <c r="A84" s="47"/>
      <c r="B84" s="49"/>
      <c r="C84" s="49"/>
      <c r="D84" s="49"/>
      <c r="E84" s="49"/>
      <c r="F84" s="49" t="s">
        <v>749</v>
      </c>
      <c r="G84" s="153"/>
      <c r="H84" s="19" t="str">
        <f>IF($A$25="mm","mm","in")</f>
        <v>mm</v>
      </c>
      <c r="I84" s="25" t="str">
        <f t="shared" si="26"/>
        <v>BLANK</v>
      </c>
      <c r="K84" s="60"/>
      <c r="L84" s="49"/>
      <c r="M84" s="49"/>
      <c r="N84" s="49"/>
      <c r="O84" s="49"/>
      <c r="Q84" s="67"/>
      <c r="R84" s="68"/>
      <c r="S84" s="55"/>
      <c r="Z84" s="49" t="s">
        <v>556</v>
      </c>
      <c r="AA84" s="50"/>
      <c r="AB84" s="19" t="str">
        <f>IF($A$25="mm","mm","in")</f>
        <v>mm</v>
      </c>
      <c r="AC84" s="25" t="str">
        <f>IF(AA65=0,"N/A",
IF(AA84="","BLANK","EQ"))</f>
        <v>N/A</v>
      </c>
      <c r="AE84" s="19"/>
      <c r="AF84" s="19"/>
      <c r="AJ84" s="49" t="s">
        <v>556</v>
      </c>
      <c r="AK84" s="50"/>
      <c r="AL84" s="19" t="str">
        <f>IF($A$25="mm","mm","in")</f>
        <v>mm</v>
      </c>
      <c r="AM84" s="25" t="str">
        <f>IF(AK65=0,"N/A",
IF(AK84="","BLANK","EQ"))</f>
        <v>N/A</v>
      </c>
      <c r="AT84" s="49" t="s">
        <v>556</v>
      </c>
      <c r="AU84" s="50"/>
      <c r="AV84" s="19" t="str">
        <f>IF($A$25="mm","mm","in")</f>
        <v>mm</v>
      </c>
      <c r="AW84" s="25" t="str">
        <f>IF(AU65=0,"N/A",
IF(AU84="","BLANK","EQ"))</f>
        <v>N/A</v>
      </c>
      <c r="BD84" s="49" t="s">
        <v>556</v>
      </c>
      <c r="BE84" s="50"/>
      <c r="BF84" s="19" t="str">
        <f>IF($A$25="mm","mm","in")</f>
        <v>mm</v>
      </c>
      <c r="BG84" s="25" t="str">
        <f>IF(BE65=0,"N/A",
IF(BE84="","BLANK","EQ"))</f>
        <v>N/A</v>
      </c>
      <c r="BN84" s="49" t="s">
        <v>556</v>
      </c>
      <c r="BO84" s="50"/>
      <c r="BP84" s="19" t="str">
        <f>IF($A$25="mm","mm","in")</f>
        <v>mm</v>
      </c>
      <c r="BQ84" s="25" t="str">
        <f>IF(BO65=0,"N/A",
IF(BO84="","BLANK","EQ"))</f>
        <v>N/A</v>
      </c>
      <c r="BS84" s="41"/>
      <c r="BX84" s="49" t="s">
        <v>750</v>
      </c>
      <c r="BY84" s="154"/>
      <c r="BZ84" s="19" t="str">
        <f>IF($A$25="mm","mm","in")</f>
        <v>mm</v>
      </c>
      <c r="CA84" s="25" t="str">
        <f>IF(BY81="Composite","N/A",IF(BY84="","BLANK","EQ"))</f>
        <v>BLANK</v>
      </c>
      <c r="CC84" s="41"/>
      <c r="CH84" s="49" t="s">
        <v>750</v>
      </c>
      <c r="CI84" s="154"/>
      <c r="CJ84" s="19" t="str">
        <f>IF($A$25="mm","mm","in")</f>
        <v>mm</v>
      </c>
      <c r="CK84" s="25" t="str">
        <f>IF(CI81="Composite","N/A",IF(CI84="","BLANK","EQ"))</f>
        <v>BLANK</v>
      </c>
      <c r="CM84" s="41"/>
      <c r="CR84" s="49" t="s">
        <v>750</v>
      </c>
      <c r="CS84" s="154"/>
      <c r="CT84" s="19" t="str">
        <f>IF($A$25="mm","mm","in")</f>
        <v>mm</v>
      </c>
      <c r="CU84" s="25" t="str">
        <f>IF(CS81="Composite","N/A",IF(CS84="","BLANK","EQ"))</f>
        <v>BLANK</v>
      </c>
      <c r="CW84" s="41"/>
      <c r="DB84" s="49" t="s">
        <v>750</v>
      </c>
      <c r="DC84" s="154"/>
      <c r="DD84" s="19" t="str">
        <f>IF($A$25="mm","mm","in")</f>
        <v>mm</v>
      </c>
      <c r="DE84" s="25" t="str">
        <f>IF(DC81="Composite","N/A",IF(DC84="","BLANK","EQ"))</f>
        <v>BLANK</v>
      </c>
      <c r="DG84" s="41"/>
      <c r="DL84" s="49" t="s">
        <v>750</v>
      </c>
      <c r="DM84" s="154"/>
      <c r="DN84" s="19" t="str">
        <f>IF($A$25="mm","mm","in")</f>
        <v>mm</v>
      </c>
      <c r="DO84" s="25" t="str">
        <f>IF(OR($L$23&lt;40*IF($A$25="mm",1,2.2046),AND($U$22="Corner Attachment",NOT($U$25="None")),DM81="Composite"),"N/A",IF(DM84="","BLANK","EQ"))</f>
        <v>N/A</v>
      </c>
    </row>
    <row r="85" spans="1:119" ht="15" customHeight="1" x14ac:dyDescent="0.3">
      <c r="A85" s="25"/>
      <c r="B85" s="49"/>
      <c r="C85" s="49"/>
      <c r="D85" s="49"/>
      <c r="E85" s="49"/>
      <c r="F85" s="49" t="s">
        <v>751</v>
      </c>
      <c r="G85" s="50"/>
      <c r="H85" s="19" t="str">
        <f>IF($A$25="mm","mm","in")</f>
        <v>mm</v>
      </c>
      <c r="I85" s="25" t="str">
        <f t="shared" si="26"/>
        <v>BLANK</v>
      </c>
      <c r="K85" s="293" t="s">
        <v>752</v>
      </c>
      <c r="L85" s="293"/>
      <c r="M85" s="293"/>
      <c r="N85" s="293"/>
      <c r="O85" s="293"/>
      <c r="P85" s="293"/>
      <c r="Q85" s="293"/>
      <c r="R85" s="293"/>
      <c r="S85" s="293"/>
      <c r="Z85" s="49" t="s">
        <v>557</v>
      </c>
      <c r="AA85" s="50"/>
      <c r="AB85" s="19" t="str">
        <f>IF($A$25="mm","mm","in")</f>
        <v>mm</v>
      </c>
      <c r="AC85" s="25" t="str">
        <f>IF(AC84="N/A","N/A",IF(AA85="","BLANK","EQ"))</f>
        <v>N/A</v>
      </c>
      <c r="AE85" s="19"/>
      <c r="AF85" s="19"/>
      <c r="AJ85" s="49" t="s">
        <v>557</v>
      </c>
      <c r="AK85" s="50"/>
      <c r="AL85" s="19" t="str">
        <f>IF($A$25="mm","mm","in")</f>
        <v>mm</v>
      </c>
      <c r="AM85" s="25" t="str">
        <f>IF(AM84="N/A","N/A",IF(AK85="","BLANK","EQ"))</f>
        <v>N/A</v>
      </c>
      <c r="AT85" s="49" t="s">
        <v>557</v>
      </c>
      <c r="AU85" s="50"/>
      <c r="AV85" s="19" t="str">
        <f>IF($A$25="mm","mm","in")</f>
        <v>mm</v>
      </c>
      <c r="AW85" s="25" t="str">
        <f>IF(AW84="N/A","N/A",IF(AU85="","BLANK","EQ"))</f>
        <v>N/A</v>
      </c>
      <c r="AX85" s="49"/>
      <c r="BD85" s="49" t="s">
        <v>557</v>
      </c>
      <c r="BE85" s="50"/>
      <c r="BF85" s="19" t="str">
        <f>IF($A$25="mm","mm","in")</f>
        <v>mm</v>
      </c>
      <c r="BG85" s="25" t="str">
        <f>IF(BG84="N/A","N/A",IF(BE85="","BLANK","EQ"))</f>
        <v>N/A</v>
      </c>
      <c r="BN85" s="49" t="s">
        <v>557</v>
      </c>
      <c r="BO85" s="50"/>
      <c r="BP85" s="19" t="str">
        <f>IF($A$25="mm","mm","in")</f>
        <v>mm</v>
      </c>
      <c r="BQ85" s="25" t="str">
        <f>IF(BQ84="N/A","N/A",IF(BO85="","BLANK","EQ"))</f>
        <v>N/A</v>
      </c>
      <c r="BS85" s="47" t="s">
        <v>539</v>
      </c>
      <c r="BT85" s="49"/>
      <c r="BU85" s="49"/>
      <c r="BV85" s="49"/>
      <c r="BW85" s="47" t="s">
        <v>753</v>
      </c>
      <c r="BX85" s="25"/>
      <c r="BY85" s="25"/>
      <c r="CA85" s="25" t="str">
        <f>IF(BY81="Composite","N/A","EQ")</f>
        <v>EQ</v>
      </c>
      <c r="CC85" s="47" t="s">
        <v>539</v>
      </c>
      <c r="CD85" s="49"/>
      <c r="CE85" s="49"/>
      <c r="CF85" s="49"/>
      <c r="CG85" s="47" t="s">
        <v>753</v>
      </c>
      <c r="CH85" s="25"/>
      <c r="CI85" s="25"/>
      <c r="CK85" s="25" t="str">
        <f>IF(CI81="Composite","N/A","EQ")</f>
        <v>EQ</v>
      </c>
      <c r="CM85" s="47" t="s">
        <v>539</v>
      </c>
      <c r="CN85" s="49"/>
      <c r="CO85" s="49"/>
      <c r="CP85" s="49"/>
      <c r="CQ85" s="47" t="s">
        <v>753</v>
      </c>
      <c r="CR85" s="25"/>
      <c r="CS85" s="25"/>
      <c r="CU85" s="25" t="str">
        <f>IF(CS81="Composite","N/A","EQ")</f>
        <v>EQ</v>
      </c>
      <c r="CW85" s="47" t="s">
        <v>539</v>
      </c>
      <c r="CX85" s="49"/>
      <c r="CY85" s="49"/>
      <c r="CZ85" s="49"/>
      <c r="DA85" s="47" t="s">
        <v>753</v>
      </c>
      <c r="DB85" s="25"/>
      <c r="DC85" s="25"/>
      <c r="DE85" s="25" t="str">
        <f>IF(DC81="Composite","N/A","EQ")</f>
        <v>EQ</v>
      </c>
      <c r="DG85" s="47" t="s">
        <v>539</v>
      </c>
      <c r="DH85" s="49"/>
      <c r="DI85" s="49"/>
      <c r="DJ85" s="49"/>
      <c r="DK85" s="47" t="s">
        <v>753</v>
      </c>
      <c r="DL85" s="25"/>
      <c r="DM85" s="25"/>
      <c r="DO85" s="25" t="str">
        <f>IF(OR($L$23&lt;40*IF($A$25="mm",1,2.2046),AND($U$22="Corner Attachment",NOT($U$25="None")),DM81="Composite"),"N/A","EQ")</f>
        <v>N/A</v>
      </c>
    </row>
    <row r="86" spans="1:119" ht="15" customHeight="1" x14ac:dyDescent="0.3">
      <c r="A86" s="47"/>
      <c r="B86" s="49"/>
      <c r="C86" s="49"/>
      <c r="D86" s="49"/>
      <c r="E86" s="49"/>
      <c r="F86" s="49" t="s">
        <v>754</v>
      </c>
      <c r="G86" s="50"/>
      <c r="H86" s="19" t="str">
        <f>IF($A$25="mm","mm","in")</f>
        <v>mm</v>
      </c>
      <c r="I86" s="25" t="str">
        <f t="shared" si="26"/>
        <v>BLANK</v>
      </c>
      <c r="K86" s="272" t="str">
        <f>IF(COUNTIF(S87:S113,"BLANK"),"BLANK",IF(OR(SUMPRODUCT(--ISERROR(S87:S113))&gt;0,COUNTIF(S87:S113,"REJECT")),"REJECT",IF(COUNTIF(S87:S113,"CHECK"),"CHECK","EQ")))</f>
        <v>BLANK</v>
      </c>
      <c r="L86" s="272"/>
      <c r="M86" s="272"/>
      <c r="N86" s="272"/>
      <c r="O86" s="272"/>
      <c r="P86" s="272"/>
      <c r="Q86" s="272"/>
      <c r="R86" s="272"/>
      <c r="S86" s="272"/>
      <c r="U86" s="25"/>
      <c r="V86" s="25"/>
      <c r="W86" s="25"/>
      <c r="X86" s="25"/>
      <c r="Y86" s="25"/>
      <c r="Z86" s="49" t="s">
        <v>755</v>
      </c>
      <c r="AA86" s="58" t="str">
        <f>IF(OR(AA84="",AA85="",),"",$U$23*AA65*0.5*AA85*IF($A$25="mm",1/10^6,1)/(AA84*AA85^3*IF($A$25="mm",1/10^12,1)))</f>
        <v/>
      </c>
      <c r="AB86" s="103" t="str">
        <f>IF(AA86="","",AA86/AA68)</f>
        <v/>
      </c>
      <c r="AC86" s="25" t="str">
        <f>IF(AC84="N/A","N/A",IF(AB86="","EQ",IF(AB86&lt;=1,"EQ","REJECT")))</f>
        <v>N/A</v>
      </c>
      <c r="AE86" s="25"/>
      <c r="AF86" s="25"/>
      <c r="AG86" s="25"/>
      <c r="AH86" s="25"/>
      <c r="AI86" s="25"/>
      <c r="AJ86" s="49" t="s">
        <v>755</v>
      </c>
      <c r="AK86" s="58" t="str">
        <f>IF(OR(AK84="",AK85="",),"",$U$23*AK65*0.5*AK85*IF($A$25="mm",1/10^6,1)/(AK84*AK85^3*IF($A$25="mm",1/10^12,1)))</f>
        <v/>
      </c>
      <c r="AL86" s="103" t="str">
        <f>IF(AK86="","",AK86/AK68)</f>
        <v/>
      </c>
      <c r="AM86" s="25" t="str">
        <f>IF(AM84="N/A","N/A",IF(AL86="","EQ",IF(AL86&lt;=1,"EQ","REJECT")))</f>
        <v>N/A</v>
      </c>
      <c r="AO86" s="25"/>
      <c r="AP86" s="25"/>
      <c r="AQ86" s="25"/>
      <c r="AR86" s="25"/>
      <c r="AS86" s="25"/>
      <c r="AT86" s="49" t="s">
        <v>755</v>
      </c>
      <c r="AU86" s="58" t="str">
        <f>IF(OR(AU84="",AU85="",),"",$U$23*AU65*0.5*AU85*IF($A$25="mm",1/10^6,1)/(AU84*AU85^3*IF($A$25="mm",1/10^12,1)))</f>
        <v/>
      </c>
      <c r="AV86" s="103" t="str">
        <f>IF(AU86="","",AU86/AU68)</f>
        <v/>
      </c>
      <c r="AW86" s="25" t="str">
        <f>IF(AW84="N/A","N/A",IF(AV86="","EQ",IF(AV86&lt;=1,"EQ","REJECT")))</f>
        <v>N/A</v>
      </c>
      <c r="AX86" s="52"/>
      <c r="AY86" s="25"/>
      <c r="AZ86" s="25"/>
      <c r="BA86" s="25"/>
      <c r="BB86" s="25"/>
      <c r="BC86" s="25"/>
      <c r="BD86" s="49" t="s">
        <v>755</v>
      </c>
      <c r="BE86" s="58" t="str">
        <f>IF(OR(BE84="",BE85="",),"",$U$23*BE65*0.5*BE85*IF($A$25="mm",1/10^6,1)/(BE84*BE85^3*IF($A$25="mm",1/10^12,1)))</f>
        <v/>
      </c>
      <c r="BF86" s="103" t="str">
        <f>IF(BE86="","",BE86/BE68)</f>
        <v/>
      </c>
      <c r="BG86" s="25" t="str">
        <f>IF(BG84="N/A","N/A",IF(BF86="","EQ",IF(BF86&lt;=1,"EQ","REJECT")))</f>
        <v>N/A</v>
      </c>
      <c r="BI86" s="25"/>
      <c r="BJ86" s="25"/>
      <c r="BK86" s="25"/>
      <c r="BL86" s="25"/>
      <c r="BM86" s="25"/>
      <c r="BN86" s="49" t="s">
        <v>755</v>
      </c>
      <c r="BO86" s="58" t="str">
        <f>IF(OR(BO84="",BO85="",),"",$U$23*BO65*0.5*BO85*IF($A$25="mm",1/10^6,1)/(BO84*BO85^3*IF($A$25="mm",1/10^12,1)))</f>
        <v/>
      </c>
      <c r="BP86" s="103" t="str">
        <f>IF(BO86="","",BO86/BO68)</f>
        <v/>
      </c>
      <c r="BQ86" s="25" t="str">
        <f>IF(BQ84="N/A","N/A",IF(BP86="","EQ",IF(BP86&lt;=1,"EQ","REJECT")))</f>
        <v>N/A</v>
      </c>
      <c r="BS86" s="47" t="s">
        <v>534</v>
      </c>
      <c r="BT86" s="49"/>
      <c r="BU86" s="49"/>
      <c r="BV86" s="49"/>
      <c r="BW86" s="49"/>
      <c r="BX86" s="49" t="s">
        <v>512</v>
      </c>
      <c r="BY86" s="58">
        <f>INDEX($I$3:$I$19,MATCH(BY64,$E$3:$E$19,0))</f>
        <v>365000000</v>
      </c>
      <c r="BZ86" s="19" t="str">
        <f>IF($A$25="mm","Pa","psi")</f>
        <v>Pa</v>
      </c>
      <c r="CA86" s="25" t="str">
        <f>IF(CA85="N/A","N/A","EQ")</f>
        <v>EQ</v>
      </c>
      <c r="CC86" s="47" t="s">
        <v>534</v>
      </c>
      <c r="CD86" s="49"/>
      <c r="CE86" s="49"/>
      <c r="CF86" s="49"/>
      <c r="CG86" s="49"/>
      <c r="CH86" s="49" t="s">
        <v>512</v>
      </c>
      <c r="CI86" s="58">
        <f>INDEX($I$3:$I$19,MATCH(CI64,$E$3:$E$19,0))</f>
        <v>365000000</v>
      </c>
      <c r="CJ86" s="19" t="str">
        <f>IF($A$25="mm","Pa","psi")</f>
        <v>Pa</v>
      </c>
      <c r="CK86" s="25" t="str">
        <f>IF(CK85="N/A","N/A","EQ")</f>
        <v>EQ</v>
      </c>
      <c r="CM86" s="47" t="s">
        <v>534</v>
      </c>
      <c r="CN86" s="49"/>
      <c r="CO86" s="49"/>
      <c r="CP86" s="49"/>
      <c r="CQ86" s="49"/>
      <c r="CR86" s="49" t="s">
        <v>512</v>
      </c>
      <c r="CS86" s="58">
        <f>INDEX($I$3:$I$19,MATCH(CS64,$E$3:$E$19,0))</f>
        <v>365000000</v>
      </c>
      <c r="CT86" s="19" t="str">
        <f>IF($A$25="mm","Pa","psi")</f>
        <v>Pa</v>
      </c>
      <c r="CU86" s="25" t="str">
        <f>IF(CU85="N/A","N/A","EQ")</f>
        <v>EQ</v>
      </c>
      <c r="CW86" s="47" t="s">
        <v>534</v>
      </c>
      <c r="CX86" s="49"/>
      <c r="CY86" s="49"/>
      <c r="CZ86" s="49"/>
      <c r="DA86" s="49"/>
      <c r="DB86" s="49" t="s">
        <v>512</v>
      </c>
      <c r="DC86" s="58">
        <f>INDEX($I$3:$I$19,MATCH(DC64,$E$3:$E$19,0))</f>
        <v>365000000</v>
      </c>
      <c r="DD86" s="19" t="str">
        <f>IF($A$25="mm","Pa","psi")</f>
        <v>Pa</v>
      </c>
      <c r="DE86" s="25" t="str">
        <f>IF(DE85="N/A","N/A","EQ")</f>
        <v>EQ</v>
      </c>
      <c r="DG86" s="47" t="s">
        <v>534</v>
      </c>
      <c r="DH86" s="49"/>
      <c r="DI86" s="49"/>
      <c r="DJ86" s="49"/>
      <c r="DK86" s="49"/>
      <c r="DL86" s="49" t="s">
        <v>512</v>
      </c>
      <c r="DM86" s="58">
        <f>INDEX($I$3:$I$19,MATCH(DM64,$E$3:$E$19,0))</f>
        <v>365000000</v>
      </c>
      <c r="DN86" s="19" t="str">
        <f>IF($A$25="mm","Pa","psi")</f>
        <v>Pa</v>
      </c>
      <c r="DO86" s="25" t="str">
        <f>IF(DO85="N/A","N/A","EQ")</f>
        <v>N/A</v>
      </c>
    </row>
    <row r="87" spans="1:119" ht="15" customHeight="1" x14ac:dyDescent="0.3">
      <c r="B87" s="49"/>
      <c r="C87" s="49"/>
      <c r="D87" s="49"/>
      <c r="E87" s="49"/>
      <c r="F87" s="25"/>
      <c r="G87" s="25"/>
      <c r="I87" s="25"/>
      <c r="K87" s="289" t="s">
        <v>756</v>
      </c>
      <c r="L87" s="289"/>
      <c r="M87" s="289"/>
      <c r="N87" s="289"/>
      <c r="O87" s="289"/>
      <c r="P87" s="252"/>
      <c r="Q87" s="57"/>
      <c r="R87" s="19" t="str">
        <f>IF($A$25="mm","mm","in")</f>
        <v>mm</v>
      </c>
      <c r="S87" s="25" t="str">
        <f>IF(Q87="","BLANK","EQ")</f>
        <v>BLANK</v>
      </c>
      <c r="U87" s="41"/>
      <c r="Z87" s="49" t="s">
        <v>558</v>
      </c>
      <c r="AA87" s="58" t="str">
        <f>IF(OR(AA84="",AA85=""),"",3*$U$23/(2*AA84*AA85*IF($A$25="mm",1/10^6,1)))</f>
        <v/>
      </c>
      <c r="AB87" s="103" t="str">
        <f>IF(AA87="","",AA87/AA69)</f>
        <v/>
      </c>
      <c r="AC87" s="25" t="str">
        <f>IF(AC84="N/A","N/A",IF(AB87="","EQ",IF(AB87&lt;=1,"EQ","REJECT")))</f>
        <v>N/A</v>
      </c>
      <c r="AE87" s="41"/>
      <c r="AF87" s="19"/>
      <c r="AJ87" s="49" t="s">
        <v>558</v>
      </c>
      <c r="AK87" s="58" t="str">
        <f>IF(OR(AK84="",AK85=""),"",3*$U$23/(2*AK84*AK85*IF($A$25="mm",1/10^6,1)))</f>
        <v/>
      </c>
      <c r="AL87" s="103" t="str">
        <f>IF(AK87="","",AK87/AK69)</f>
        <v/>
      </c>
      <c r="AM87" s="25" t="str">
        <f>IF(AM84="N/A","N/A",IF(AL87="","EQ",IF(AL87&lt;=1,"EQ","REJECT")))</f>
        <v>N/A</v>
      </c>
      <c r="AO87" s="41"/>
      <c r="AT87" s="49" t="s">
        <v>558</v>
      </c>
      <c r="AU87" s="58" t="str">
        <f>IF(OR(AU84="",AU85=""),"",3*$U$23/(2*AU84*AU85*IF($A$25="mm",1/10^6,1)))</f>
        <v/>
      </c>
      <c r="AV87" s="103" t="str">
        <f>IF(AU87="","",AU87/AU69)</f>
        <v/>
      </c>
      <c r="AW87" s="25" t="str">
        <f>IF(AW84="N/A","N/A",IF(AV87="","EQ",IF(AV87&lt;=1,"EQ","REJECT")))</f>
        <v>N/A</v>
      </c>
      <c r="AY87" s="41"/>
      <c r="BD87" s="49" t="s">
        <v>558</v>
      </c>
      <c r="BE87" s="58" t="str">
        <f>IF(OR(BE84="",BE85=""),"",3*$U$23/(2*BE84*BE85*IF($A$25="mm",1/10^6,1)))</f>
        <v/>
      </c>
      <c r="BF87" s="103" t="str">
        <f>IF(BE87="","",BE87/BE69)</f>
        <v/>
      </c>
      <c r="BG87" s="25" t="str">
        <f>IF(BG84="N/A","N/A",IF(BF87="","EQ",IF(BF87&lt;=1,"EQ","REJECT")))</f>
        <v>N/A</v>
      </c>
      <c r="BI87" s="41"/>
      <c r="BN87" s="49" t="s">
        <v>558</v>
      </c>
      <c r="BO87" s="58" t="str">
        <f>IF(OR(BO84="",BO85=""),"",3*$U$23/(2*BO84*BO85*IF($A$25="mm",1/10^6,1)))</f>
        <v/>
      </c>
      <c r="BP87" s="103" t="str">
        <f>IF(BO87="","",BO87/BO69)</f>
        <v/>
      </c>
      <c r="BQ87" s="25" t="str">
        <f>IF(BQ84="N/A","N/A",IF(BP87="","EQ",IF(BP87&lt;=1,"EQ","REJECT")))</f>
        <v>N/A</v>
      </c>
      <c r="BS87" s="47"/>
      <c r="BT87" s="49"/>
      <c r="BU87" s="49"/>
      <c r="BV87" s="49"/>
      <c r="BW87" s="49"/>
      <c r="BX87" s="49" t="s">
        <v>537</v>
      </c>
      <c r="BY87" s="58">
        <f>IF(BY82="Round",
(PI()/4)*((BY83/2)^4-((BY83-2*BY84)/2)^4),
(BY83^4-(BY83-2*BY84)^4)/12)</f>
        <v>0</v>
      </c>
      <c r="BZ87" s="19" t="str">
        <f>IF($A$25="mm","mm^4","in^4")</f>
        <v>mm^4</v>
      </c>
      <c r="CA87" s="25" t="str">
        <f>IF(CA86="N/A","N/A",
IF(BY87=0,"BLANK","EQ"))</f>
        <v>BLANK</v>
      </c>
      <c r="CC87" s="47"/>
      <c r="CD87" s="49"/>
      <c r="CE87" s="49"/>
      <c r="CF87" s="49"/>
      <c r="CG87" s="49"/>
      <c r="CH87" s="49" t="s">
        <v>537</v>
      </c>
      <c r="CI87" s="58">
        <f>IF(CI82="Round",
(PI()/4)*((CI83/2)^4-((CI83-2*CI84)/2)^4),
(CI83^4-(CI83-2*CI84)^4)/12)</f>
        <v>0</v>
      </c>
      <c r="CJ87" s="19" t="str">
        <f>IF($A$25="mm","mm^4","in^4")</f>
        <v>mm^4</v>
      </c>
      <c r="CK87" s="25" t="str">
        <f>IF(CK86="N/A","N/A",
IF(CI87=0,"BLANK","EQ"))</f>
        <v>BLANK</v>
      </c>
      <c r="CM87" s="47"/>
      <c r="CN87" s="49"/>
      <c r="CO87" s="49"/>
      <c r="CP87" s="49"/>
      <c r="CQ87" s="49"/>
      <c r="CR87" s="49" t="s">
        <v>537</v>
      </c>
      <c r="CS87" s="58">
        <f>IF(CS82="Round",
(PI()/4)*((CS83/2)^4-((CS83-2*CS84)/2)^4),
(CS83^4-(CS83-2*CS84)^4)/12)</f>
        <v>0</v>
      </c>
      <c r="CT87" s="19" t="str">
        <f>IF($A$25="mm","mm^4","in^4")</f>
        <v>mm^4</v>
      </c>
      <c r="CU87" s="25" t="str">
        <f>IF(CU86="N/A","N/A",
IF(CS87=0,"BLANK","EQ"))</f>
        <v>BLANK</v>
      </c>
      <c r="CW87" s="47"/>
      <c r="CX87" s="49"/>
      <c r="CY87" s="49"/>
      <c r="CZ87" s="49"/>
      <c r="DA87" s="49"/>
      <c r="DB87" s="49" t="s">
        <v>537</v>
      </c>
      <c r="DC87" s="58">
        <f>IF(DC82="Round",
(PI()/4)*((DC83/2)^4-((DC83-2*DC84)/2)^4),
(DC83^4-(DC83-2*DC84)^4)/12)</f>
        <v>0</v>
      </c>
      <c r="DD87" s="19" t="str">
        <f>IF($A$25="mm","mm^4","in^4")</f>
        <v>mm^4</v>
      </c>
      <c r="DE87" s="25" t="str">
        <f>IF(DE86="N/A","N/A",
IF(DC87=0,"BLANK","EQ"))</f>
        <v>BLANK</v>
      </c>
      <c r="DG87" s="47"/>
      <c r="DH87" s="49"/>
      <c r="DI87" s="49"/>
      <c r="DJ87" s="49"/>
      <c r="DK87" s="49"/>
      <c r="DL87" s="49" t="s">
        <v>537</v>
      </c>
      <c r="DM87" s="58">
        <f>IF(DM82="Round",
(PI()/4)*((DM83/2)^4-((DM83-2*DM84)/2)^4),
(DM83^4-(DM83-2*DM84)^4)/12)</f>
        <v>0</v>
      </c>
      <c r="DN87" s="19" t="str">
        <f>IF($A$25="mm","mm^4","in^4")</f>
        <v>mm^4</v>
      </c>
      <c r="DO87" s="25" t="str">
        <f>IF(DO86="N/A","N/A",
IF(DM87=0,"BLANK","EQ"))</f>
        <v>N/A</v>
      </c>
    </row>
    <row r="88" spans="1:119" ht="15" customHeight="1" thickBot="1" x14ac:dyDescent="0.35">
      <c r="A88" s="272" t="str">
        <f>IF(COUNTIF(I89,"BLANK"),"BLANK",IF(OR(SUMPRODUCT(--ISERROR(I89))&gt;0,COUNTIF(I89,"REJECT")),"REJECT",IF(COUNTIF(I89,"CHECK"),"CHECK","EQ")))</f>
        <v>BLANK</v>
      </c>
      <c r="B88" s="272"/>
      <c r="C88" s="272"/>
      <c r="D88" s="272"/>
      <c r="E88" s="272"/>
      <c r="F88" s="272"/>
      <c r="G88" s="272"/>
      <c r="H88" s="272"/>
      <c r="I88" s="272"/>
      <c r="K88" s="289" t="s">
        <v>757</v>
      </c>
      <c r="L88" s="289"/>
      <c r="M88" s="289"/>
      <c r="N88" s="289"/>
      <c r="O88" s="289"/>
      <c r="P88" s="252"/>
      <c r="Q88" s="57"/>
      <c r="R88" s="19" t="str">
        <f>IF($A$25="mm","mm","in")</f>
        <v>mm</v>
      </c>
      <c r="S88" s="25" t="str">
        <f>IF(Q88="","BLANK","EQ")</f>
        <v>BLANK</v>
      </c>
      <c r="Z88" s="49" t="s">
        <v>559</v>
      </c>
      <c r="AA88" s="50"/>
      <c r="AB88" s="19" t="str">
        <f>IF($A$25="mm","mm","in")</f>
        <v>mm</v>
      </c>
      <c r="AC88" s="25" t="str">
        <f>IF(AA65=0,"N/A",
IF(AA88="","BLANK","EQ"))</f>
        <v>N/A</v>
      </c>
      <c r="AE88" s="19"/>
      <c r="AF88" s="19"/>
      <c r="AJ88" s="49" t="s">
        <v>559</v>
      </c>
      <c r="AK88" s="50"/>
      <c r="AL88" s="19" t="str">
        <f>IF($A$25="mm","mm","in")</f>
        <v>mm</v>
      </c>
      <c r="AM88" s="25" t="str">
        <f>IF(AK65=0,"N/A",
IF(AK88="","BLANK","EQ"))</f>
        <v>N/A</v>
      </c>
      <c r="AT88" s="49" t="s">
        <v>559</v>
      </c>
      <c r="AU88" s="50"/>
      <c r="AV88" s="19" t="str">
        <f>IF($A$25="mm","mm","in")</f>
        <v>mm</v>
      </c>
      <c r="AW88" s="25" t="str">
        <f>IF(AU65=0,"N/A",
IF(AU88="","BLANK","EQ"))</f>
        <v>N/A</v>
      </c>
      <c r="BD88" s="49" t="s">
        <v>559</v>
      </c>
      <c r="BE88" s="50"/>
      <c r="BF88" s="19" t="str">
        <f>IF($A$25="mm","mm","in")</f>
        <v>mm</v>
      </c>
      <c r="BG88" s="25" t="str">
        <f>IF(BE65=0,"N/A",
IF(BE88="","BLANK","EQ"))</f>
        <v>N/A</v>
      </c>
      <c r="BN88" s="49" t="s">
        <v>559</v>
      </c>
      <c r="BO88" s="50"/>
      <c r="BP88" s="19" t="str">
        <f>IF($A$25="mm","mm","in")</f>
        <v>mm</v>
      </c>
      <c r="BQ88" s="25" t="str">
        <f>IF(BO65=0,"N/A",
IF(BO88="","BLANK","EQ"))</f>
        <v>N/A</v>
      </c>
      <c r="BT88" s="49"/>
      <c r="BU88" s="49"/>
      <c r="BV88" s="49"/>
      <c r="BX88" s="49" t="s">
        <v>758</v>
      </c>
      <c r="BY88" s="50"/>
      <c r="BZ88" s="19" t="str">
        <f>IF($A$25="mm","mm","in")</f>
        <v>mm</v>
      </c>
      <c r="CA88" s="25" t="str">
        <f>IF(CA87="N/A","N/A",
IF(BY88="","BLANK","EQ"))</f>
        <v>BLANK</v>
      </c>
      <c r="CD88" s="49"/>
      <c r="CE88" s="49"/>
      <c r="CF88" s="49"/>
      <c r="CH88" s="49" t="s">
        <v>758</v>
      </c>
      <c r="CI88" s="50"/>
      <c r="CJ88" s="19" t="str">
        <f>IF($A$25="mm","mm","in")</f>
        <v>mm</v>
      </c>
      <c r="CK88" s="25" t="str">
        <f>IF(CK87="N/A","N/A",
IF(CI88="","BLANK","EQ"))</f>
        <v>BLANK</v>
      </c>
      <c r="CN88" s="49"/>
      <c r="CO88" s="49"/>
      <c r="CP88" s="49"/>
      <c r="CR88" s="49" t="s">
        <v>758</v>
      </c>
      <c r="CS88" s="50"/>
      <c r="CT88" s="19" t="str">
        <f>IF($A$25="mm","mm","in")</f>
        <v>mm</v>
      </c>
      <c r="CU88" s="25" t="str">
        <f>IF(CU87="N/A","N/A",
IF(CS88="","BLANK","EQ"))</f>
        <v>BLANK</v>
      </c>
      <c r="CX88" s="49"/>
      <c r="CY88" s="49"/>
      <c r="CZ88" s="49"/>
      <c r="DB88" s="49" t="s">
        <v>758</v>
      </c>
      <c r="DC88" s="50"/>
      <c r="DD88" s="19" t="str">
        <f>IF($A$25="mm","mm","in")</f>
        <v>mm</v>
      </c>
      <c r="DE88" s="25" t="str">
        <f>IF(DE87="N/A","N/A",
IF(DC88="","BLANK","EQ"))</f>
        <v>BLANK</v>
      </c>
      <c r="DH88" s="49"/>
      <c r="DI88" s="49"/>
      <c r="DJ88" s="49"/>
      <c r="DL88" s="49" t="s">
        <v>758</v>
      </c>
      <c r="DM88" s="50"/>
      <c r="DN88" s="19" t="str">
        <f>IF($A$25="mm","mm","in")</f>
        <v>mm</v>
      </c>
      <c r="DO88" s="25" t="str">
        <f>IF(DO87="N/A","N/A",
IF(DM88="","BLANK","EQ"))</f>
        <v>N/A</v>
      </c>
    </row>
    <row r="89" spans="1:119" ht="15" customHeight="1" thickBot="1" x14ac:dyDescent="0.35">
      <c r="A89" s="47" t="s">
        <v>739</v>
      </c>
      <c r="B89" s="46" t="s">
        <v>759</v>
      </c>
      <c r="C89" s="49"/>
      <c r="D89" s="274" t="s">
        <v>760</v>
      </c>
      <c r="E89" s="311"/>
      <c r="F89" s="311"/>
      <c r="G89" s="311"/>
      <c r="H89" s="275"/>
      <c r="I89" s="25" t="str">
        <f>IF(OR(LEFT(D89,9)="Examples:",D89=""),"BLANK","EQ")</f>
        <v>BLANK</v>
      </c>
      <c r="K89" s="47" t="s">
        <v>761</v>
      </c>
      <c r="L89" s="292" t="s">
        <v>762</v>
      </c>
      <c r="M89" s="292"/>
      <c r="N89" s="292"/>
      <c r="O89" s="292"/>
      <c r="P89" s="243" t="s">
        <v>160</v>
      </c>
      <c r="Q89" s="244"/>
      <c r="S89" s="25" t="s">
        <v>89</v>
      </c>
      <c r="Z89" s="49" t="s">
        <v>560</v>
      </c>
      <c r="AA89" s="50"/>
      <c r="AB89" s="19" t="str">
        <f>IF($A$25="mm","mm","in")</f>
        <v>mm</v>
      </c>
      <c r="AC89" s="25" t="str">
        <f>IF(AC88="N/A","N/A",IF(AA89="","BLANK","EQ"))</f>
        <v>N/A</v>
      </c>
      <c r="AE89" s="19"/>
      <c r="AF89" s="19"/>
      <c r="AJ89" s="49" t="s">
        <v>560</v>
      </c>
      <c r="AK89" s="50"/>
      <c r="AL89" s="19" t="str">
        <f>IF($A$25="mm","mm","in")</f>
        <v>mm</v>
      </c>
      <c r="AM89" s="25" t="str">
        <f>IF(AM88="N/A","N/A",IF(AK89="","BLANK","EQ"))</f>
        <v>N/A</v>
      </c>
      <c r="AT89" s="49" t="s">
        <v>560</v>
      </c>
      <c r="AU89" s="50"/>
      <c r="AV89" s="19" t="str">
        <f>IF($A$25="mm","mm","in")</f>
        <v>mm</v>
      </c>
      <c r="AW89" s="25" t="str">
        <f>IF(AW88="N/A","N/A",IF(AU89="","BLANK","EQ"))</f>
        <v>N/A</v>
      </c>
      <c r="BD89" s="49" t="s">
        <v>560</v>
      </c>
      <c r="BE89" s="50"/>
      <c r="BF89" s="19" t="str">
        <f>IF($A$25="mm","mm","in")</f>
        <v>mm</v>
      </c>
      <c r="BG89" s="25" t="str">
        <f>IF(BG88="N/A","N/A",IF(BE89="","BLANK","EQ"))</f>
        <v>N/A</v>
      </c>
      <c r="BN89" s="49" t="s">
        <v>560</v>
      </c>
      <c r="BO89" s="50"/>
      <c r="BP89" s="19" t="str">
        <f>IF($A$25="mm","mm","in")</f>
        <v>mm</v>
      </c>
      <c r="BQ89" s="25" t="str">
        <f>IF(BQ88="N/A","N/A",IF(BO89="","BLANK","EQ"))</f>
        <v>N/A</v>
      </c>
      <c r="BT89" s="49"/>
      <c r="BU89" s="49"/>
      <c r="BV89" s="49"/>
      <c r="BX89" s="49" t="s">
        <v>763</v>
      </c>
      <c r="BY89" s="50"/>
      <c r="BZ89" s="19" t="str">
        <f>IF($A$25="mm","mm","in")</f>
        <v>mm</v>
      </c>
      <c r="CA89" s="25" t="str">
        <f>IF(CA88="N/A","N/A",
IF(OR(BY88="",BY89=""),"BLANK",IF(BY89&gt;BY88,"REJECT","EQ")))</f>
        <v>BLANK</v>
      </c>
      <c r="CD89" s="49"/>
      <c r="CE89" s="49"/>
      <c r="CF89" s="49"/>
      <c r="CH89" s="49" t="s">
        <v>763</v>
      </c>
      <c r="CI89" s="50"/>
      <c r="CJ89" s="19" t="str">
        <f>IF($A$25="mm","mm","in")</f>
        <v>mm</v>
      </c>
      <c r="CK89" s="25" t="str">
        <f>IF(CK88="N/A","N/A",
IF(OR(CI88="",CI89=""),"BLANK",IF(CI89&gt;CI88,"REJECT","EQ")))</f>
        <v>BLANK</v>
      </c>
      <c r="CN89" s="49"/>
      <c r="CO89" s="49"/>
      <c r="CP89" s="49"/>
      <c r="CR89" s="49" t="s">
        <v>763</v>
      </c>
      <c r="CS89" s="50"/>
      <c r="CT89" s="19" t="str">
        <f>IF($A$25="mm","mm","in")</f>
        <v>mm</v>
      </c>
      <c r="CU89" s="25" t="str">
        <f>IF(CU88="N/A","N/A",
IF(OR(CS88="",CS89=""),"BLANK",IF(CS89&gt;CS88,"REJECT","EQ")))</f>
        <v>BLANK</v>
      </c>
      <c r="CX89" s="49"/>
      <c r="CY89" s="49"/>
      <c r="CZ89" s="49"/>
      <c r="DB89" s="49" t="s">
        <v>763</v>
      </c>
      <c r="DC89" s="50"/>
      <c r="DD89" s="19" t="str">
        <f>IF($A$25="mm","mm","in")</f>
        <v>mm</v>
      </c>
      <c r="DE89" s="25" t="str">
        <f>IF(DE88="N/A","N/A",
IF(OR(DC88="",DC89=""),"BLANK",IF(DC89&gt;DC88,"REJECT","EQ")))</f>
        <v>BLANK</v>
      </c>
      <c r="DH89" s="49"/>
      <c r="DI89" s="49"/>
      <c r="DJ89" s="49"/>
      <c r="DL89" s="49" t="s">
        <v>763</v>
      </c>
      <c r="DM89" s="50"/>
      <c r="DN89" s="19" t="str">
        <f>IF($A$25="mm","mm","in")</f>
        <v>mm</v>
      </c>
      <c r="DO89" s="25" t="str">
        <f>IF(DO88="N/A","N/A",
IF(OR(DM88="",DM89=""),"BLANK",IF(DM89&gt;DM88,"REJECT","EQ")))</f>
        <v>N/A</v>
      </c>
    </row>
    <row r="90" spans="1:119" ht="15" customHeight="1" thickBot="1" x14ac:dyDescent="0.35">
      <c r="A90" s="47"/>
      <c r="B90" s="49"/>
      <c r="C90" s="49"/>
      <c r="D90" s="49"/>
      <c r="E90" s="49"/>
      <c r="F90" s="25"/>
      <c r="G90" s="25"/>
      <c r="I90" s="55"/>
      <c r="K90" s="61"/>
      <c r="L90" s="61"/>
      <c r="M90" s="61"/>
      <c r="N90" s="61"/>
      <c r="O90" s="155"/>
      <c r="P90" s="49" t="s">
        <v>764</v>
      </c>
      <c r="Q90" s="156"/>
      <c r="R90" s="19" t="str">
        <f>IF($A$25="mm","mm","in")</f>
        <v>mm</v>
      </c>
      <c r="S90" s="25" t="str">
        <f>IF(P89="Other","N/A",IF(Q90="","BLANK",
IF(AND(P89="Steel",OR(AND($A$25="mm",Q90&gt;=1.25),AND($A$25="Inch",Q90&gt;=0.049))),"EQ",
IF(AND(P89="Aluminum",OR(AND($A$25="mm",Q90&gt;=3.2),AND($A$25="Inch",Q90&gt;=0.125))),"EQ","REJECT"))))</f>
        <v>BLANK</v>
      </c>
      <c r="U90" s="25"/>
      <c r="V90" s="25"/>
      <c r="W90" s="25"/>
      <c r="X90" s="25"/>
      <c r="Y90" s="25"/>
      <c r="Z90" s="49" t="s">
        <v>755</v>
      </c>
      <c r="AA90" s="58" t="str">
        <f>IF(OR(AA88="",AA89="",),"",$U$23*AA65*0.5*AA89*IF($A$25="mm",1/10^6,1)/(AA88*AA89^3*IF($A$25="mm",1/10^12,1)))</f>
        <v/>
      </c>
      <c r="AB90" s="103" t="str">
        <f>IF(AA90="","",AA90/AA68)</f>
        <v/>
      </c>
      <c r="AC90" s="25" t="str">
        <f>IF(AC88="N/A","N/A",IF(AB90="","EQ",IF(AB90&lt;=1,"EQ","REJECT")))</f>
        <v>N/A</v>
      </c>
      <c r="AE90" s="25"/>
      <c r="AF90" s="25"/>
      <c r="AG90" s="25"/>
      <c r="AH90" s="25"/>
      <c r="AI90" s="25"/>
      <c r="AJ90" s="49" t="s">
        <v>755</v>
      </c>
      <c r="AK90" s="58" t="str">
        <f>IF(OR(AK88="",AK89="",),"",$U$23*AK65*0.5*AK89*IF($A$25="mm",1/10^6,1)/(AK88*AK89^3*IF($A$25="mm",1/10^12,1)))</f>
        <v/>
      </c>
      <c r="AL90" s="103" t="str">
        <f>IF(AK90="","",AK90/AK68)</f>
        <v/>
      </c>
      <c r="AM90" s="25" t="str">
        <f>IF(AM88="N/A","N/A",IF(AL90="","EQ",IF(AL90&lt;=1,"EQ","REJECT")))</f>
        <v>N/A</v>
      </c>
      <c r="AO90" s="25"/>
      <c r="AP90" s="25"/>
      <c r="AQ90" s="25"/>
      <c r="AR90" s="25"/>
      <c r="AS90" s="25"/>
      <c r="AT90" s="49" t="s">
        <v>755</v>
      </c>
      <c r="AU90" s="58" t="str">
        <f>IF(OR(AU88="",AU89="",),"",$U$23*AU65*0.5*AU89*IF($A$25="mm",1/10^6,1)/(AU88*AU89^3*IF($A$25="mm",1/10^12,1)))</f>
        <v/>
      </c>
      <c r="AV90" s="103" t="str">
        <f>IF(AU90="","",AU90/AU68)</f>
        <v/>
      </c>
      <c r="AW90" s="25" t="str">
        <f>IF(AW88="N/A","N/A",IF(AV90="","EQ",IF(AV90&lt;=1,"EQ","REJECT")))</f>
        <v>N/A</v>
      </c>
      <c r="AY90" s="25"/>
      <c r="AZ90" s="25"/>
      <c r="BA90" s="25"/>
      <c r="BB90" s="25"/>
      <c r="BC90" s="25"/>
      <c r="BD90" s="49" t="s">
        <v>755</v>
      </c>
      <c r="BE90" s="58" t="str">
        <f>IF(OR(BE88="",BE89="",),"",$U$23*BE65*0.5*BE89*IF($A$25="mm",1/10^6,1)/(BE88*BE89^3*IF($A$25="mm",1/10^12,1)))</f>
        <v/>
      </c>
      <c r="BF90" s="103" t="str">
        <f>IF(BE90="","",BE90/BE68)</f>
        <v/>
      </c>
      <c r="BG90" s="25" t="str">
        <f>IF(BG88="N/A","N/A",IF(BF90="","EQ",IF(BF90&lt;=1,"EQ","REJECT")))</f>
        <v>N/A</v>
      </c>
      <c r="BI90" s="25"/>
      <c r="BJ90" s="25"/>
      <c r="BK90" s="25"/>
      <c r="BL90" s="25"/>
      <c r="BM90" s="25"/>
      <c r="BN90" s="49" t="s">
        <v>755</v>
      </c>
      <c r="BO90" s="58" t="str">
        <f>IF(OR(BO88="",BO89="",),"",$U$23*BO65*0.5*BO89*IF($A$25="mm",1/10^6,1)/(BO88*BO89^3*IF($A$25="mm",1/10^12,1)))</f>
        <v/>
      </c>
      <c r="BP90" s="103" t="str">
        <f>IF(BO90="","",BO90/BO68)</f>
        <v/>
      </c>
      <c r="BQ90" s="25" t="str">
        <f>IF(BQ88="N/A","N/A",IF(BP90="","EQ",IF(BP90&lt;=1,"EQ","REJECT")))</f>
        <v>N/A</v>
      </c>
      <c r="BT90" s="49"/>
      <c r="BU90" s="49"/>
      <c r="BV90" s="49"/>
      <c r="BX90" s="49" t="s">
        <v>765</v>
      </c>
      <c r="BY90" s="58" t="str">
        <f>IF(OR(BY88="",BY83=""),"",IF(BY89=0,"N/A",
(BY86*BY88*IF($A$25="mm",1/1000,1)*BY87*IF($A$25="mm",1/(10^12),1))/
((IF($A$25="mm",1/1000,1)^3)*BY89*(BY88-BY89)*BY83/2)))</f>
        <v/>
      </c>
      <c r="BZ90" s="75" t="str">
        <f>IF(OR(BY90="",BY90="N/A"),"",BY90/$U$23)</f>
        <v/>
      </c>
      <c r="CA90" s="25" t="str">
        <f>IF(CA89="N/A","N/A",
IF(BY90="","BLANK",IF(BZ90&lt;0.95,"CHECK","EQ")))</f>
        <v>BLANK</v>
      </c>
      <c r="CD90" s="49"/>
      <c r="CE90" s="49"/>
      <c r="CF90" s="49"/>
      <c r="CH90" s="49" t="s">
        <v>765</v>
      </c>
      <c r="CI90" s="58" t="str">
        <f>IF(OR(CI88="",CI83=""),"",IF(CI89=0,"N/A",
(CI86*CI88*IF($A$25="mm",1/1000,1)*CI87*IF($A$25="mm",1/(10^12),1))/
((IF($A$25="mm",1/1000,1)^3)*CI89*(CI88-CI89)*CI83/2)))</f>
        <v/>
      </c>
      <c r="CJ90" s="75" t="str">
        <f>IF(OR(CI90="",CI90="N/A"),"",CI90/$U$23)</f>
        <v/>
      </c>
      <c r="CK90" s="25" t="str">
        <f>IF(CK89="N/A","N/A",
IF(CI90="","BLANK",IF(CJ90&lt;0.95,"CHECK","EQ")))</f>
        <v>BLANK</v>
      </c>
      <c r="CN90" s="49"/>
      <c r="CO90" s="49"/>
      <c r="CP90" s="49"/>
      <c r="CR90" s="49" t="s">
        <v>765</v>
      </c>
      <c r="CS90" s="58" t="str">
        <f>IF(OR(CS88="",CS83=""),"",IF(CS89=0,"N/A",
(CS86*CS88*IF($A$25="mm",1/1000,1)*CS87*IF($A$25="mm",1/(10^12),1))/
((IF($A$25="mm",1/1000,1)^3)*CS89*(CS88-CS89)*CS83/2)))</f>
        <v/>
      </c>
      <c r="CT90" s="75" t="str">
        <f>IF(OR(CS90="",CS90="N/A"),"",CS90/$U$23)</f>
        <v/>
      </c>
      <c r="CU90" s="25" t="str">
        <f>IF(CU89="N/A","N/A",
IF(CS90="","BLANK",IF(CT90&lt;0.95,"CHECK","EQ")))</f>
        <v>BLANK</v>
      </c>
      <c r="CX90" s="49"/>
      <c r="CY90" s="49"/>
      <c r="CZ90" s="49"/>
      <c r="DB90" s="49" t="s">
        <v>765</v>
      </c>
      <c r="DC90" s="58" t="str">
        <f>IF(OR(DC88="",DC83=""),"",IF(DC89=0,"N/A",
(DC86*DC88*IF($A$25="mm",1/1000,1)*DC87*IF($A$25="mm",1/(10^12),1))/
((IF($A$25="mm",1/1000,1)^3)*DC89*(DC88-DC89)*DC83/2)))</f>
        <v/>
      </c>
      <c r="DD90" s="75" t="str">
        <f>IF(OR(DC90="",DC90="N/A"),"",DC90/$U$23)</f>
        <v/>
      </c>
      <c r="DE90" s="25" t="str">
        <f>IF(DE89="N/A","N/A",
IF(DC90="","BLANK",IF(DD90&lt;0.95,"CHECK","EQ")))</f>
        <v>BLANK</v>
      </c>
      <c r="DH90" s="49"/>
      <c r="DI90" s="49"/>
      <c r="DJ90" s="49"/>
      <c r="DL90" s="49" t="s">
        <v>765</v>
      </c>
      <c r="DM90" s="58" t="str">
        <f>IF(OR(DM88="",DM83=""),"",IF(DM89=0,"N/A",
(DM86*DM88*IF($A$25="mm",1/1000,1)*DM87*IF($A$25="mm",1/(10^12),1))/
((IF($A$25="mm",1/1000,1)^3)*DM89*(DM88-DM89)*DM83/2)))</f>
        <v/>
      </c>
      <c r="DN90" s="75" t="str">
        <f>IF(OR(DM90="",DM90="N/A"),"",DM90/$U$23)</f>
        <v/>
      </c>
      <c r="DO90" s="25" t="str">
        <f>IF(DO89="N/A","N/A",
IF(DM90="","BLANK",IF(DN90&lt;0.95,"CHECK","EQ")))</f>
        <v>N/A</v>
      </c>
    </row>
    <row r="91" spans="1:119" ht="15" customHeight="1" thickBot="1" x14ac:dyDescent="0.35">
      <c r="A91" s="49"/>
      <c r="B91" s="49"/>
      <c r="C91" s="49"/>
      <c r="D91" s="49"/>
      <c r="E91" s="49"/>
      <c r="F91" s="58"/>
      <c r="G91" s="58"/>
      <c r="I91" s="25"/>
      <c r="K91" s="289" t="s">
        <v>766</v>
      </c>
      <c r="L91" s="289"/>
      <c r="M91" s="289"/>
      <c r="N91" s="289"/>
      <c r="O91" s="289"/>
      <c r="P91" s="251"/>
      <c r="Q91" s="308"/>
      <c r="R91" s="309"/>
      <c r="S91" s="25" t="str">
        <f>IF(NOT(P89="Other"),"N/A",IF(Q91="","BLANK","EQ"))</f>
        <v>N/A</v>
      </c>
      <c r="U91" s="41"/>
      <c r="Z91" s="49" t="s">
        <v>558</v>
      </c>
      <c r="AA91" s="58" t="str">
        <f>IF(OR(AA88="",AA89=""),"",3*$U$23/(2*AA88*AA89*IF($A$25="mm",1/10^6,1)))</f>
        <v/>
      </c>
      <c r="AB91" s="103" t="str">
        <f>IF(AA91="","",AA91/AA69)</f>
        <v/>
      </c>
      <c r="AC91" s="25" t="str">
        <f>IF(AC88="N/A","N/A",IF(AB91="","EQ",IF(AB91&lt;=1,"EQ","REJECT")))</f>
        <v>N/A</v>
      </c>
      <c r="AE91" s="41"/>
      <c r="AF91" s="19"/>
      <c r="AJ91" s="49" t="s">
        <v>558</v>
      </c>
      <c r="AK91" s="58" t="str">
        <f>IF(OR(AK88="",AK89=""),"",3*$U$23/(2*AK88*AK89*IF($A$25="mm",1/10^6,1)))</f>
        <v/>
      </c>
      <c r="AL91" s="103" t="str">
        <f>IF(AK91="","",AK91/AK69)</f>
        <v/>
      </c>
      <c r="AM91" s="25" t="str">
        <f>IF(AM88="N/A","N/A",IF(AL91="","EQ",IF(AL91&lt;=1,"EQ","REJECT")))</f>
        <v>N/A</v>
      </c>
      <c r="AO91" s="41"/>
      <c r="AT91" s="49" t="s">
        <v>558</v>
      </c>
      <c r="AU91" s="58" t="str">
        <f>IF(OR(AU88="",AU89=""),"",3*$U$23/(2*AU88*AU89*IF($A$25="mm",1/10^6,1)))</f>
        <v/>
      </c>
      <c r="AV91" s="103" t="str">
        <f>IF(AU91="","",AU91/AU69)</f>
        <v/>
      </c>
      <c r="AW91" s="25" t="str">
        <f>IF(AW88="N/A","N/A",IF(AV91="","EQ",IF(AV91&lt;=1,"EQ","REJECT")))</f>
        <v>N/A</v>
      </c>
      <c r="AY91" s="41"/>
      <c r="BD91" s="49" t="s">
        <v>558</v>
      </c>
      <c r="BE91" s="58" t="str">
        <f>IF(OR(BE88="",BE89=""),"",3*$U$23/(2*BE88*BE89*IF($A$25="mm",1/10^6,1)))</f>
        <v/>
      </c>
      <c r="BF91" s="103" t="str">
        <f>IF(BE91="","",BE91/BE69)</f>
        <v/>
      </c>
      <c r="BG91" s="25" t="str">
        <f>IF(BG88="N/A","N/A",IF(BF91="","EQ",IF(BF91&lt;=1,"EQ","REJECT")))</f>
        <v>N/A</v>
      </c>
      <c r="BI91" s="41"/>
      <c r="BN91" s="49" t="s">
        <v>558</v>
      </c>
      <c r="BO91" s="58" t="str">
        <f>IF(OR(BO88="",BO89=""),"",3*$U$23/(2*BO88*BO89*IF($A$25="mm",1/10^6,1)))</f>
        <v/>
      </c>
      <c r="BP91" s="103" t="str">
        <f>IF(BO91="","",BO91/BO69)</f>
        <v/>
      </c>
      <c r="BQ91" s="25" t="str">
        <f>IF(BQ88="N/A","N/A",IF(BP91="","EQ",IF(BP91&lt;=1,"EQ","REJECT")))</f>
        <v>N/A</v>
      </c>
      <c r="BS91" s="46"/>
      <c r="BT91" s="60"/>
      <c r="BU91" s="49"/>
      <c r="BV91" s="49"/>
      <c r="BW91" s="49"/>
      <c r="BX91" s="49"/>
      <c r="BY91" s="58"/>
      <c r="BZ91" s="102"/>
      <c r="CA91" s="25"/>
      <c r="CC91" s="46"/>
      <c r="CD91" s="60"/>
      <c r="CE91" s="49"/>
      <c r="CF91" s="49"/>
      <c r="CG91" s="49"/>
      <c r="CH91" s="49"/>
      <c r="CI91" s="58"/>
      <c r="CJ91" s="102"/>
      <c r="CK91" s="25"/>
      <c r="CM91" s="46"/>
      <c r="CN91" s="60"/>
      <c r="CO91" s="49"/>
      <c r="CP91" s="49"/>
      <c r="CQ91" s="49"/>
      <c r="CR91" s="49"/>
      <c r="CS91" s="58"/>
      <c r="CT91" s="102"/>
      <c r="CU91" s="25"/>
      <c r="CW91" s="46"/>
      <c r="CX91" s="60"/>
      <c r="CY91" s="49"/>
      <c r="CZ91" s="49"/>
      <c r="DA91" s="49"/>
      <c r="DB91" s="49"/>
      <c r="DC91" s="58"/>
      <c r="DD91" s="102"/>
      <c r="DE91" s="25"/>
      <c r="DG91" s="46"/>
      <c r="DH91" s="60"/>
      <c r="DI91" s="49"/>
      <c r="DJ91" s="49"/>
      <c r="DK91" s="49"/>
      <c r="DL91" s="49"/>
      <c r="DM91" s="58"/>
      <c r="DN91" s="102"/>
      <c r="DO91" s="25"/>
    </row>
    <row r="92" spans="1:119" ht="15" customHeight="1" x14ac:dyDescent="0.3">
      <c r="A92" s="60"/>
      <c r="B92" s="49"/>
      <c r="C92" s="49"/>
      <c r="D92" s="49"/>
      <c r="E92" s="49"/>
      <c r="F92" s="58"/>
      <c r="G92" s="58"/>
      <c r="I92" s="25"/>
      <c r="K92" s="289" t="s">
        <v>767</v>
      </c>
      <c r="L92" s="289"/>
      <c r="M92" s="289"/>
      <c r="N92" s="289"/>
      <c r="O92" s="289"/>
      <c r="P92" s="289"/>
      <c r="Q92" s="55">
        <f>Q93+Q95+Q94</f>
        <v>0</v>
      </c>
      <c r="R92" s="19" t="str">
        <f>IF($A$25="mm","mm","in")</f>
        <v>mm</v>
      </c>
      <c r="S92" s="55" t="str">
        <f>IF(NOT(P89="Other"),"N/A","EQ")</f>
        <v>N/A</v>
      </c>
      <c r="U92" s="46"/>
      <c r="V92" s="60"/>
      <c r="W92" s="49"/>
      <c r="X92" s="49"/>
      <c r="Y92" s="49"/>
      <c r="Z92" s="49"/>
      <c r="AA92" s="58"/>
      <c r="AB92" s="102"/>
      <c r="AC92" s="25"/>
      <c r="AE92" s="46"/>
      <c r="AF92" s="60"/>
      <c r="AG92" s="49"/>
      <c r="AH92" s="49"/>
      <c r="AI92" s="49"/>
      <c r="AJ92" s="49"/>
      <c r="AK92" s="58"/>
      <c r="AL92" s="102"/>
      <c r="AM92" s="25"/>
      <c r="AO92" s="46"/>
      <c r="AP92" s="60"/>
      <c r="AQ92" s="49"/>
      <c r="AR92" s="49"/>
      <c r="AS92" s="49"/>
      <c r="AT92" s="49"/>
      <c r="AU92" s="58"/>
      <c r="AV92" s="102"/>
      <c r="AW92" s="25"/>
      <c r="AY92" s="46"/>
      <c r="AZ92" s="60"/>
      <c r="BA92" s="49"/>
      <c r="BB92" s="49"/>
      <c r="BC92" s="49"/>
      <c r="BD92" s="49"/>
      <c r="BE92" s="58"/>
      <c r="BF92" s="102"/>
      <c r="BG92" s="25"/>
      <c r="BI92" s="46"/>
      <c r="BJ92" s="60"/>
      <c r="BK92" s="49"/>
      <c r="BL92" s="49"/>
      <c r="BM92" s="49"/>
      <c r="BN92" s="49"/>
      <c r="BO92" s="58"/>
      <c r="BP92" s="102"/>
      <c r="BQ92" s="25"/>
      <c r="BS92" s="310" t="s">
        <v>768</v>
      </c>
      <c r="BT92" s="310"/>
      <c r="BU92" s="310"/>
      <c r="BV92" s="310"/>
      <c r="BW92" s="310"/>
      <c r="BX92" s="310"/>
      <c r="BY92" s="310"/>
      <c r="BZ92" s="310"/>
      <c r="CA92" s="310"/>
      <c r="CC92" s="310" t="s">
        <v>768</v>
      </c>
      <c r="CD92" s="310"/>
      <c r="CE92" s="310"/>
      <c r="CF92" s="310"/>
      <c r="CG92" s="310"/>
      <c r="CH92" s="310"/>
      <c r="CI92" s="310"/>
      <c r="CJ92" s="310"/>
      <c r="CK92" s="310"/>
      <c r="CM92" s="310" t="s">
        <v>768</v>
      </c>
      <c r="CN92" s="310"/>
      <c r="CO92" s="310"/>
      <c r="CP92" s="310"/>
      <c r="CQ92" s="310"/>
      <c r="CR92" s="310"/>
      <c r="CS92" s="310"/>
      <c r="CT92" s="310"/>
      <c r="CU92" s="310"/>
      <c r="CW92" s="310" t="s">
        <v>768</v>
      </c>
      <c r="CX92" s="310"/>
      <c r="CY92" s="310"/>
      <c r="CZ92" s="310"/>
      <c r="DA92" s="310"/>
      <c r="DB92" s="310"/>
      <c r="DC92" s="310"/>
      <c r="DD92" s="310"/>
      <c r="DE92" s="310"/>
      <c r="DG92" s="310" t="s">
        <v>768</v>
      </c>
      <c r="DH92" s="310"/>
      <c r="DI92" s="310"/>
      <c r="DJ92" s="310"/>
      <c r="DK92" s="310"/>
      <c r="DL92" s="310"/>
      <c r="DM92" s="310"/>
      <c r="DN92" s="310"/>
      <c r="DO92" s="310"/>
    </row>
    <row r="93" spans="1:119" ht="15" customHeight="1" x14ac:dyDescent="0.3">
      <c r="A93" s="47"/>
      <c r="B93" s="49"/>
      <c r="C93" s="49"/>
      <c r="D93" s="49"/>
      <c r="E93" s="49"/>
      <c r="F93" s="58"/>
      <c r="G93" s="58"/>
      <c r="I93" s="25"/>
      <c r="K93" s="288" t="s">
        <v>769</v>
      </c>
      <c r="L93" s="288"/>
      <c r="M93" s="288"/>
      <c r="N93" s="288"/>
      <c r="O93" s="288"/>
      <c r="P93" s="306"/>
      <c r="Q93" s="76"/>
      <c r="R93" s="19" t="str">
        <f>IF($A$25="mm","mm","in")</f>
        <v>mm</v>
      </c>
      <c r="S93" s="25" t="str">
        <f>IF(NOT(P89="Other"),"N/A",IF(Q93="","BLANK","EQ"))</f>
        <v>N/A</v>
      </c>
      <c r="U93" s="310" t="s">
        <v>770</v>
      </c>
      <c r="V93" s="310"/>
      <c r="W93" s="310"/>
      <c r="X93" s="310"/>
      <c r="Y93" s="310"/>
      <c r="Z93" s="310"/>
      <c r="AA93" s="310"/>
      <c r="AB93" s="310"/>
      <c r="AC93" s="310"/>
      <c r="AE93" s="310" t="s">
        <v>770</v>
      </c>
      <c r="AF93" s="310"/>
      <c r="AG93" s="310"/>
      <c r="AH93" s="310"/>
      <c r="AI93" s="310"/>
      <c r="AJ93" s="310"/>
      <c r="AK93" s="310"/>
      <c r="AL93" s="310"/>
      <c r="AM93" s="310"/>
      <c r="AO93" s="310" t="s">
        <v>770</v>
      </c>
      <c r="AP93" s="310"/>
      <c r="AQ93" s="310"/>
      <c r="AR93" s="310"/>
      <c r="AS93" s="310"/>
      <c r="AT93" s="310"/>
      <c r="AU93" s="310"/>
      <c r="AV93" s="310"/>
      <c r="AW93" s="310"/>
      <c r="AY93" s="310" t="s">
        <v>770</v>
      </c>
      <c r="AZ93" s="310"/>
      <c r="BA93" s="310"/>
      <c r="BB93" s="310"/>
      <c r="BC93" s="310"/>
      <c r="BD93" s="310"/>
      <c r="BE93" s="310"/>
      <c r="BF93" s="310"/>
      <c r="BG93" s="310"/>
      <c r="BI93" s="310" t="s">
        <v>770</v>
      </c>
      <c r="BJ93" s="310"/>
      <c r="BK93" s="310"/>
      <c r="BL93" s="310"/>
      <c r="BM93" s="310"/>
      <c r="BN93" s="310"/>
      <c r="BO93" s="310"/>
      <c r="BP93" s="310"/>
      <c r="BQ93" s="310"/>
      <c r="BS93" s="310" t="s">
        <v>747</v>
      </c>
      <c r="BT93" s="310"/>
      <c r="BU93" s="310"/>
      <c r="BV93" s="310"/>
      <c r="BW93" s="310"/>
      <c r="BX93" s="310"/>
      <c r="BY93" s="310"/>
      <c r="BZ93" s="310"/>
      <c r="CA93" s="310"/>
      <c r="CC93" s="310" t="s">
        <v>771</v>
      </c>
      <c r="CD93" s="310"/>
      <c r="CE93" s="310"/>
      <c r="CF93" s="310"/>
      <c r="CG93" s="310"/>
      <c r="CH93" s="310"/>
      <c r="CI93" s="310"/>
      <c r="CJ93" s="310"/>
      <c r="CK93" s="310"/>
      <c r="CM93" s="310" t="s">
        <v>771</v>
      </c>
      <c r="CN93" s="310"/>
      <c r="CO93" s="310"/>
      <c r="CP93" s="310"/>
      <c r="CQ93" s="310"/>
      <c r="CR93" s="310"/>
      <c r="CS93" s="310"/>
      <c r="CT93" s="310"/>
      <c r="CU93" s="310"/>
      <c r="CW93" s="310" t="s">
        <v>771</v>
      </c>
      <c r="CX93" s="310"/>
      <c r="CY93" s="310"/>
      <c r="CZ93" s="310"/>
      <c r="DA93" s="310"/>
      <c r="DB93" s="310"/>
      <c r="DC93" s="310"/>
      <c r="DD93" s="310"/>
      <c r="DE93" s="310"/>
      <c r="DG93" s="310" t="s">
        <v>771</v>
      </c>
      <c r="DH93" s="310"/>
      <c r="DI93" s="310"/>
      <c r="DJ93" s="310"/>
      <c r="DK93" s="310"/>
      <c r="DL93" s="310"/>
      <c r="DM93" s="310"/>
      <c r="DN93" s="310"/>
      <c r="DO93" s="310"/>
    </row>
    <row r="94" spans="1:119" ht="15" customHeight="1" thickBot="1" x14ac:dyDescent="0.35">
      <c r="A94" s="60"/>
      <c r="B94" s="49"/>
      <c r="C94" s="49"/>
      <c r="D94" s="49"/>
      <c r="E94" s="49"/>
      <c r="F94" s="58"/>
      <c r="G94" s="58"/>
      <c r="I94" s="25"/>
      <c r="K94" s="289" t="s">
        <v>772</v>
      </c>
      <c r="L94" s="289"/>
      <c r="M94" s="289"/>
      <c r="N94" s="289"/>
      <c r="O94" s="289"/>
      <c r="P94" s="252"/>
      <c r="Q94" s="50"/>
      <c r="R94" s="19" t="str">
        <f>IF($A$25="mm","mm","in")</f>
        <v>mm</v>
      </c>
      <c r="S94" s="25" t="str">
        <f>IF(NOT(P89="Other"),"N/A",IF(Q94="","BLANK","EQ"))</f>
        <v>N/A</v>
      </c>
      <c r="U94" s="272" t="str">
        <f>IF(COUNTIF(AC95:AC121,"BLANK"),"BLANK",IF(OR(SUMPRODUCT(--ISERROR(AC95:AC121))&gt;0,COUNTIF(AC95:AC121,"REJECT")),"REJECT",IF(COUNTIF(AC95:AC121,"CHECK"),"CHECK","EQ")))</f>
        <v>EQ</v>
      </c>
      <c r="V94" s="272"/>
      <c r="W94" s="272"/>
      <c r="X94" s="272"/>
      <c r="Y94" s="272"/>
      <c r="Z94" s="272"/>
      <c r="AA94" s="272"/>
      <c r="AB94" s="272"/>
      <c r="AC94" s="272"/>
      <c r="AE94" s="272" t="str">
        <f>IF(COUNTIF(AM95:AM121,"BLANK"),"BLANK",IF(OR(SUMPRODUCT(--ISERROR(AM95:AM121))&gt;0,COUNTIF(AM95:AM121,"REJECT")),"REJECT",IF(COUNTIF(AM95:AM121,"CHECK"),"CHECK","EQ")))</f>
        <v>EQ</v>
      </c>
      <c r="AF94" s="272"/>
      <c r="AG94" s="272"/>
      <c r="AH94" s="272"/>
      <c r="AI94" s="272"/>
      <c r="AJ94" s="272"/>
      <c r="AK94" s="272"/>
      <c r="AL94" s="272"/>
      <c r="AM94" s="272"/>
      <c r="AO94" s="272" t="str">
        <f>IF(COUNTIF(AW95:AW121,"BLANK"),"BLANK",IF(OR(SUMPRODUCT(--ISERROR(AW95:AW121))&gt;0,COUNTIF(AW95:AW121,"REJECT")),"REJECT",IF(COUNTIF(AW95:AW121,"CHECK"),"CHECK","EQ")))</f>
        <v>EQ</v>
      </c>
      <c r="AP94" s="272"/>
      <c r="AQ94" s="272"/>
      <c r="AR94" s="272"/>
      <c r="AS94" s="272"/>
      <c r="AT94" s="272"/>
      <c r="AU94" s="272"/>
      <c r="AV94" s="272"/>
      <c r="AW94" s="272"/>
      <c r="AY94" s="272" t="str">
        <f>IF(COUNTIF(BG95:BG121,"BLANK"),"BLANK",IF(OR(SUMPRODUCT(--ISERROR(BG95:BG121))&gt;0,COUNTIF(BG95:BG121,"REJECT")),"REJECT",IF(COUNTIF(BG95:BG121,"CHECK"),"CHECK","EQ")))</f>
        <v>EQ</v>
      </c>
      <c r="AZ94" s="272"/>
      <c r="BA94" s="272"/>
      <c r="BB94" s="272"/>
      <c r="BC94" s="272"/>
      <c r="BD94" s="272"/>
      <c r="BE94" s="272"/>
      <c r="BF94" s="272"/>
      <c r="BG94" s="272"/>
      <c r="BI94" s="272" t="str">
        <f>IF(COUNTIF(BQ95:BQ121,"BLANK"),"BLANK",IF(OR(SUMPRODUCT(--ISERROR(BQ95:BQ121))&gt;0,COUNTIF(BQ95:BQ121,"REJECT")),"REJECT",IF(COUNTIF(BQ95:BQ121,"CHECK"),"CHECK","EQ")))</f>
        <v>EQ</v>
      </c>
      <c r="BJ94" s="272"/>
      <c r="BK94" s="272"/>
      <c r="BL94" s="272"/>
      <c r="BM94" s="272"/>
      <c r="BN94" s="272"/>
      <c r="BO94" s="272"/>
      <c r="BP94" s="272"/>
      <c r="BQ94" s="272"/>
      <c r="BS94" s="272" t="str">
        <f>IF(COUNTIF(CA95:CA102,"BLANK"),"BLANK",IF(OR(SUMPRODUCT(--ISERROR(CA95:CA102))&gt;0,COUNTIF(CA95:CA102,"REJECT")),"REJECT",IF(COUNTIF(CA95:CA102,"CHECK"),"CHECK","EQ")))</f>
        <v>EQ</v>
      </c>
      <c r="BT94" s="272"/>
      <c r="BU94" s="272"/>
      <c r="BV94" s="272"/>
      <c r="BW94" s="272"/>
      <c r="BX94" s="272"/>
      <c r="BY94" s="272"/>
      <c r="BZ94" s="272"/>
      <c r="CA94" s="272"/>
      <c r="CC94" s="272" t="str">
        <f>IF(COUNTIF(CK95:CK102,"BLANK"),"BLANK",IF(OR(SUMPRODUCT(--ISERROR(CK95:CK102))&gt;0,COUNTIF(CK95:CK102,"REJECT")),"REJECT",IF(COUNTIF(CK95:CK102,"CHECK"),"CHECK","EQ")))</f>
        <v>EQ</v>
      </c>
      <c r="CD94" s="272"/>
      <c r="CE94" s="272"/>
      <c r="CF94" s="272"/>
      <c r="CG94" s="272"/>
      <c r="CH94" s="272"/>
      <c r="CI94" s="272"/>
      <c r="CJ94" s="272"/>
      <c r="CK94" s="272"/>
      <c r="CM94" s="272" t="str">
        <f>IF(COUNTIF(CU95:CU102,"BLANK"),"BLANK",IF(OR(SUMPRODUCT(--ISERROR(CU95:CU102))&gt;0,COUNTIF(CU95:CU102,"REJECT")),"REJECT",IF(COUNTIF(CU95:CU102,"CHECK"),"CHECK","EQ")))</f>
        <v>EQ</v>
      </c>
      <c r="CN94" s="272"/>
      <c r="CO94" s="272"/>
      <c r="CP94" s="272"/>
      <c r="CQ94" s="272"/>
      <c r="CR94" s="272"/>
      <c r="CS94" s="272"/>
      <c r="CT94" s="272"/>
      <c r="CU94" s="272"/>
      <c r="CW94" s="272" t="str">
        <f>IF(COUNTIF(DE95:DE102,"BLANK"),"BLANK",IF(OR(SUMPRODUCT(--ISERROR(DE95:DE102))&gt;0,COUNTIF(DE95:DE102,"REJECT")),"REJECT",IF(COUNTIF(DE95:DE102,"CHECK"),"CHECK","EQ")))</f>
        <v>EQ</v>
      </c>
      <c r="CX94" s="272"/>
      <c r="CY94" s="272"/>
      <c r="CZ94" s="272"/>
      <c r="DA94" s="272"/>
      <c r="DB94" s="272"/>
      <c r="DC94" s="272"/>
      <c r="DD94" s="272"/>
      <c r="DE94" s="272"/>
      <c r="DG94" s="272" t="str">
        <f>IF(COUNTIF(DO95:DO102,"BLANK"),"BLANK",IF(OR(SUMPRODUCT(--ISERROR(DO95:DO102))&gt;0,COUNTIF(DO95:DO102,"REJECT")),"REJECT",IF(COUNTIF(DO95:DO102,"CHECK"),"CHECK","EQ")))</f>
        <v>EQ</v>
      </c>
      <c r="DH94" s="272"/>
      <c r="DI94" s="272"/>
      <c r="DJ94" s="272"/>
      <c r="DK94" s="272"/>
      <c r="DL94" s="272"/>
      <c r="DM94" s="272"/>
      <c r="DN94" s="272"/>
      <c r="DO94" s="272"/>
    </row>
    <row r="95" spans="1:119" ht="15" customHeight="1" thickBot="1" x14ac:dyDescent="0.35">
      <c r="A95" s="63"/>
      <c r="B95" s="63"/>
      <c r="C95" s="60"/>
      <c r="D95" s="60"/>
      <c r="E95" s="60"/>
      <c r="F95" s="67"/>
      <c r="G95" s="67"/>
      <c r="H95" s="68"/>
      <c r="I95" s="55"/>
      <c r="K95" s="289" t="s">
        <v>773</v>
      </c>
      <c r="L95" s="289"/>
      <c r="M95" s="289"/>
      <c r="N95" s="289"/>
      <c r="O95" s="289"/>
      <c r="P95" s="252"/>
      <c r="Q95" s="50"/>
      <c r="R95" s="19" t="str">
        <f>IF($A$25="mm","mm","in")</f>
        <v>mm</v>
      </c>
      <c r="S95" s="25" t="str">
        <f>IF(NOT(P89="Other"),"N/A",IF(Q95="","BLANK","EQ"))</f>
        <v>N/A</v>
      </c>
      <c r="U95" s="25"/>
      <c r="V95" s="25"/>
      <c r="W95" s="25"/>
      <c r="X95" s="25"/>
      <c r="Y95" s="25"/>
      <c r="Z95" s="49" t="s">
        <v>774</v>
      </c>
      <c r="AA95" s="308" t="s">
        <v>606</v>
      </c>
      <c r="AB95" s="309"/>
      <c r="AC95" s="25" t="str">
        <f>IF(AA65=0,"N/A","EQ")</f>
        <v>N/A</v>
      </c>
      <c r="AE95" s="25"/>
      <c r="AF95" s="25"/>
      <c r="AG95" s="25"/>
      <c r="AH95" s="25"/>
      <c r="AI95" s="25"/>
      <c r="AJ95" s="49" t="s">
        <v>774</v>
      </c>
      <c r="AK95" s="308" t="s">
        <v>606</v>
      </c>
      <c r="AL95" s="309"/>
      <c r="AM95" s="25" t="str">
        <f>IF(AK65=0,"N/A","EQ")</f>
        <v>N/A</v>
      </c>
      <c r="AO95" s="25"/>
      <c r="AP95" s="25"/>
      <c r="AQ95" s="25"/>
      <c r="AR95" s="25"/>
      <c r="AS95" s="25"/>
      <c r="AT95" s="49" t="s">
        <v>774</v>
      </c>
      <c r="AU95" s="308" t="s">
        <v>606</v>
      </c>
      <c r="AV95" s="309"/>
      <c r="AW95" s="25" t="str">
        <f>IF(AU65=0,"N/A","EQ")</f>
        <v>N/A</v>
      </c>
      <c r="AY95" s="25"/>
      <c r="AZ95" s="25"/>
      <c r="BA95" s="25"/>
      <c r="BB95" s="25"/>
      <c r="BC95" s="25"/>
      <c r="BD95" s="49" t="s">
        <v>774</v>
      </c>
      <c r="BE95" s="308" t="s">
        <v>606</v>
      </c>
      <c r="BF95" s="309"/>
      <c r="BG95" s="25" t="str">
        <f>IF(BE65=0,"N/A","EQ")</f>
        <v>N/A</v>
      </c>
      <c r="BI95" s="25"/>
      <c r="BJ95" s="25"/>
      <c r="BK95" s="25"/>
      <c r="BL95" s="25"/>
      <c r="BM95" s="25"/>
      <c r="BN95" s="49" t="s">
        <v>774</v>
      </c>
      <c r="BO95" s="308" t="s">
        <v>606</v>
      </c>
      <c r="BP95" s="309"/>
      <c r="BQ95" s="25" t="str">
        <f>IF(BO65=0,"N/A","EQ")</f>
        <v>N/A</v>
      </c>
      <c r="BX95" s="49" t="s">
        <v>556</v>
      </c>
      <c r="BY95" s="57"/>
      <c r="BZ95" s="19" t="str">
        <f>IF($A$25="mm","mm","in")</f>
        <v>mm</v>
      </c>
      <c r="CA95" s="25" t="str">
        <f>IF(BY63=0,"N/A",
IF(BY95&gt;BY71,"CHECK",
IF(BY95="","BLANK","EQ")))</f>
        <v>N/A</v>
      </c>
      <c r="CH95" s="49" t="s">
        <v>556</v>
      </c>
      <c r="CI95" s="57"/>
      <c r="CJ95" s="19" t="str">
        <f>IF($A$25="mm","mm","in")</f>
        <v>mm</v>
      </c>
      <c r="CK95" s="25" t="str">
        <f>IF(CI63=0,"N/A",
IF(CI95&gt;CI71,"CHECK",
IF(CI95="","BLANK","EQ")))</f>
        <v>N/A</v>
      </c>
      <c r="CR95" s="49" t="s">
        <v>556</v>
      </c>
      <c r="CS95" s="57"/>
      <c r="CT95" s="19" t="str">
        <f>IF($A$25="mm","mm","in")</f>
        <v>mm</v>
      </c>
      <c r="CU95" s="25" t="str">
        <f>IF(CS63=0,"N/A",
IF(CS95&gt;CS71,"CHECK",
IF(CS95="","BLANK","EQ")))</f>
        <v>N/A</v>
      </c>
      <c r="DB95" s="49" t="s">
        <v>556</v>
      </c>
      <c r="DC95" s="57"/>
      <c r="DD95" s="19" t="str">
        <f>IF($A$25="mm","mm","in")</f>
        <v>mm</v>
      </c>
      <c r="DE95" s="25" t="str">
        <f>IF(DC63=0,"N/A",
IF(DC95&gt;DC71,"CHECK",
IF(DC95="","BLANK","EQ")))</f>
        <v>N/A</v>
      </c>
      <c r="DL95" s="49" t="s">
        <v>556</v>
      </c>
      <c r="DM95" s="57"/>
      <c r="DN95" s="19" t="str">
        <f>IF($A$25="mm","mm","in")</f>
        <v>mm</v>
      </c>
      <c r="DO95" s="25" t="str">
        <f>IF(DM63=0,"N/A",
IF(DM95&gt;DM71,"CHECK",
IF(DM95="","BLANK","EQ")))</f>
        <v>N/A</v>
      </c>
    </row>
    <row r="96" spans="1:119" ht="15" customHeight="1" x14ac:dyDescent="0.3">
      <c r="A96" s="72"/>
      <c r="B96" s="60"/>
      <c r="C96" s="60"/>
      <c r="D96" s="60"/>
      <c r="E96" s="60"/>
      <c r="F96" s="67"/>
      <c r="G96" s="67"/>
      <c r="H96" s="68"/>
      <c r="I96" s="55"/>
      <c r="K96" s="293" t="s">
        <v>775</v>
      </c>
      <c r="L96" s="293"/>
      <c r="M96" s="293"/>
      <c r="N96" s="304" t="s">
        <v>775</v>
      </c>
      <c r="O96" s="293"/>
      <c r="P96" s="305"/>
      <c r="Q96" s="304" t="s">
        <v>775</v>
      </c>
      <c r="R96" s="293"/>
      <c r="S96" s="305"/>
      <c r="V96" s="47"/>
      <c r="W96" s="289" t="s">
        <v>510</v>
      </c>
      <c r="X96" s="289"/>
      <c r="Y96" s="289"/>
      <c r="Z96" s="289"/>
      <c r="AA96" s="58">
        <f>INDEX($G$3:$G$19,MATCH(AA95,$E$3:$E$19,0))</f>
        <v>200000000000</v>
      </c>
      <c r="AB96" s="19" t="str">
        <f>IF($A$25="mm","Pa","psi")</f>
        <v>Pa</v>
      </c>
      <c r="AC96" s="25" t="str">
        <f>IF(AA65=0,"N/A","EQ")</f>
        <v>N/A</v>
      </c>
      <c r="AE96" s="19"/>
      <c r="AF96" s="47"/>
      <c r="AG96" s="289" t="s">
        <v>510</v>
      </c>
      <c r="AH96" s="289"/>
      <c r="AI96" s="289"/>
      <c r="AJ96" s="289"/>
      <c r="AK96" s="58">
        <f>INDEX($G$3:$G$19,MATCH(AK95,$E$3:$E$19,0))</f>
        <v>200000000000</v>
      </c>
      <c r="AL96" s="19" t="str">
        <f>IF($A$25="mm","Pa","psi")</f>
        <v>Pa</v>
      </c>
      <c r="AM96" s="25" t="str">
        <f>IF(AK65=0,"N/A","EQ")</f>
        <v>N/A</v>
      </c>
      <c r="AP96" s="47"/>
      <c r="AQ96" s="289" t="s">
        <v>510</v>
      </c>
      <c r="AR96" s="289"/>
      <c r="AS96" s="289"/>
      <c r="AT96" s="289"/>
      <c r="AU96" s="58">
        <f>INDEX($G$3:$G$19,MATCH(AU95,$E$3:$E$19,0))</f>
        <v>200000000000</v>
      </c>
      <c r="AV96" s="19" t="str">
        <f>IF($A$25="mm","Pa","psi")</f>
        <v>Pa</v>
      </c>
      <c r="AW96" s="25" t="str">
        <f>IF(AU65=0,"N/A","EQ")</f>
        <v>N/A</v>
      </c>
      <c r="AZ96" s="47"/>
      <c r="BA96" s="289" t="s">
        <v>510</v>
      </c>
      <c r="BB96" s="289"/>
      <c r="BC96" s="289"/>
      <c r="BD96" s="289"/>
      <c r="BE96" s="58">
        <f>INDEX($G$3:$G$19,MATCH(BE95,$E$3:$E$19,0))</f>
        <v>200000000000</v>
      </c>
      <c r="BF96" s="19" t="str">
        <f>IF($A$25="mm","Pa","psi")</f>
        <v>Pa</v>
      </c>
      <c r="BG96" s="25" t="str">
        <f>IF(BE65=0,"N/A","EQ")</f>
        <v>N/A</v>
      </c>
      <c r="BJ96" s="47"/>
      <c r="BK96" s="289" t="s">
        <v>510</v>
      </c>
      <c r="BL96" s="289"/>
      <c r="BM96" s="289"/>
      <c r="BN96" s="289"/>
      <c r="BO96" s="58">
        <f>INDEX($G$3:$G$19,MATCH(BO95,$E$3:$E$19,0))</f>
        <v>200000000000</v>
      </c>
      <c r="BP96" s="19" t="str">
        <f>IF($A$25="mm","Pa","psi")</f>
        <v>Pa</v>
      </c>
      <c r="BQ96" s="25" t="str">
        <f>IF(BO65=0,"N/A","EQ")</f>
        <v>N/A</v>
      </c>
      <c r="BX96" s="49" t="s">
        <v>557</v>
      </c>
      <c r="BY96" s="50"/>
      <c r="BZ96" s="19" t="str">
        <f>IF($A$25="mm","mm","in")</f>
        <v>mm</v>
      </c>
      <c r="CA96" s="25" t="str">
        <f>IF(CA95="N/A","N/A",IF(BY96="","BLANK","EQ"))</f>
        <v>N/A</v>
      </c>
      <c r="CH96" s="49" t="s">
        <v>557</v>
      </c>
      <c r="CI96" s="50"/>
      <c r="CJ96" s="19" t="str">
        <f>IF($A$25="mm","mm","in")</f>
        <v>mm</v>
      </c>
      <c r="CK96" s="25" t="str">
        <f>IF(CK95="N/A","N/A",IF(CI96="","BLANK","EQ"))</f>
        <v>N/A</v>
      </c>
      <c r="CR96" s="49" t="s">
        <v>557</v>
      </c>
      <c r="CS96" s="50"/>
      <c r="CT96" s="19" t="str">
        <f>IF($A$25="mm","mm","in")</f>
        <v>mm</v>
      </c>
      <c r="CU96" s="25" t="str">
        <f>IF(CU95="N/A","N/A",IF(CS96="","BLANK","EQ"))</f>
        <v>N/A</v>
      </c>
      <c r="CV96" s="41"/>
      <c r="DB96" s="49" t="s">
        <v>557</v>
      </c>
      <c r="DC96" s="50"/>
      <c r="DD96" s="19" t="str">
        <f>IF($A$25="mm","mm","in")</f>
        <v>mm</v>
      </c>
      <c r="DE96" s="25" t="str">
        <f>IF(DE95="N/A","N/A",IF(DC96="","BLANK","EQ"))</f>
        <v>N/A</v>
      </c>
      <c r="DL96" s="49" t="s">
        <v>557</v>
      </c>
      <c r="DM96" s="50"/>
      <c r="DN96" s="19" t="str">
        <f>IF($A$25="mm","mm","in")</f>
        <v>mm</v>
      </c>
      <c r="DO96" s="25" t="str">
        <f>IF(DO95="N/A","N/A",IF(DM96="","BLANK","EQ"))</f>
        <v>N/A</v>
      </c>
    </row>
    <row r="97" spans="1:119" ht="15" customHeight="1" x14ac:dyDescent="0.3">
      <c r="A97" s="72"/>
      <c r="B97" s="60"/>
      <c r="C97" s="60"/>
      <c r="D97" s="60"/>
      <c r="E97" s="60"/>
      <c r="F97" s="67"/>
      <c r="G97" s="67"/>
      <c r="H97" s="68"/>
      <c r="I97" s="55"/>
      <c r="K97" s="25" t="s">
        <v>776</v>
      </c>
      <c r="L97" s="25">
        <f>IF($A$25="mm",Q88/1000,Q88)</f>
        <v>0</v>
      </c>
      <c r="M97" s="19" t="str">
        <f>IF($A$25="mm","m","in")</f>
        <v>m</v>
      </c>
      <c r="N97" s="157" t="s">
        <v>777</v>
      </c>
      <c r="O97" s="92">
        <f>L97*L98</f>
        <v>0</v>
      </c>
      <c r="P97" s="158" t="str">
        <f>IF($A$25="mm","m^2","in^2")</f>
        <v>m^2</v>
      </c>
      <c r="Q97" s="157" t="s">
        <v>778</v>
      </c>
      <c r="R97" s="92">
        <f>(L97*L98^3)/12</f>
        <v>0</v>
      </c>
      <c r="S97" s="158" t="str">
        <f>IF($A$25="mm","m^4","in^4")</f>
        <v>m^4</v>
      </c>
      <c r="U97" s="101"/>
      <c r="V97" s="289" t="s">
        <v>705</v>
      </c>
      <c r="W97" s="289"/>
      <c r="X97" s="289"/>
      <c r="Y97" s="289"/>
      <c r="Z97" s="289"/>
      <c r="AA97" s="58">
        <f>INDEX($I$3:$I$19,MATCH(AA95,$E$3:$E$19,0))</f>
        <v>365000000</v>
      </c>
      <c r="AB97" s="19" t="str">
        <f>IF($A$25="mm","Pa","psi")</f>
        <v>Pa</v>
      </c>
      <c r="AC97" s="25" t="str">
        <f>IF(AA65=0,"N/A","EQ")</f>
        <v>N/A</v>
      </c>
      <c r="AE97" s="101"/>
      <c r="AF97" s="289" t="s">
        <v>705</v>
      </c>
      <c r="AG97" s="289"/>
      <c r="AH97" s="289"/>
      <c r="AI97" s="289"/>
      <c r="AJ97" s="289"/>
      <c r="AK97" s="58">
        <f>INDEX($I$3:$I$19,MATCH(AK95,$E$3:$E$19,0))</f>
        <v>365000000</v>
      </c>
      <c r="AL97" s="19" t="str">
        <f>IF($A$25="mm","Pa","psi")</f>
        <v>Pa</v>
      </c>
      <c r="AM97" s="25" t="str">
        <f>IF(AK65=0,"N/A","EQ")</f>
        <v>N/A</v>
      </c>
      <c r="AO97" s="101"/>
      <c r="AP97" s="289" t="s">
        <v>705</v>
      </c>
      <c r="AQ97" s="289"/>
      <c r="AR97" s="289"/>
      <c r="AS97" s="289"/>
      <c r="AT97" s="289"/>
      <c r="AU97" s="58">
        <f>INDEX($I$3:$I$19,MATCH(AU95,$E$3:$E$19,0))</f>
        <v>365000000</v>
      </c>
      <c r="AV97" s="19" t="str">
        <f>IF($A$25="mm","Pa","psi")</f>
        <v>Pa</v>
      </c>
      <c r="AW97" s="25" t="str">
        <f>IF(AU65=0,"N/A","EQ")</f>
        <v>N/A</v>
      </c>
      <c r="AY97" s="101"/>
      <c r="AZ97" s="289" t="s">
        <v>705</v>
      </c>
      <c r="BA97" s="289"/>
      <c r="BB97" s="289"/>
      <c r="BC97" s="289"/>
      <c r="BD97" s="289"/>
      <c r="BE97" s="58">
        <f>INDEX($I$3:$I$19,MATCH(BE95,$E$3:$E$19,0))</f>
        <v>365000000</v>
      </c>
      <c r="BF97" s="19" t="str">
        <f>IF($A$25="mm","Pa","psi")</f>
        <v>Pa</v>
      </c>
      <c r="BG97" s="25" t="str">
        <f>IF(BE65=0,"N/A","EQ")</f>
        <v>N/A</v>
      </c>
      <c r="BI97" s="101"/>
      <c r="BJ97" s="289" t="s">
        <v>705</v>
      </c>
      <c r="BK97" s="289"/>
      <c r="BL97" s="289"/>
      <c r="BM97" s="289"/>
      <c r="BN97" s="289"/>
      <c r="BO97" s="58">
        <f>INDEX($I$3:$I$19,MATCH(BO95,$E$3:$E$19,0))</f>
        <v>365000000</v>
      </c>
      <c r="BP97" s="19" t="str">
        <f>IF($A$25="mm","Pa","psi")</f>
        <v>Pa</v>
      </c>
      <c r="BQ97" s="25" t="str">
        <f>IF(BO65=0,"N/A","EQ")</f>
        <v>N/A</v>
      </c>
      <c r="BS97" s="25"/>
      <c r="BT97" s="25"/>
      <c r="BU97" s="25"/>
      <c r="BV97" s="25"/>
      <c r="BW97" s="25"/>
      <c r="BX97" s="49" t="s">
        <v>755</v>
      </c>
      <c r="BY97" s="58" t="str">
        <f>IF(OR(BY95="",BY96="",),"",$U$23*BY63*0.5*BY96*IF($A$25="mm",1/10^6,1)/(BY95*BY96^3*IF($A$25="mm",1/10^12,1)))</f>
        <v/>
      </c>
      <c r="BZ97" s="103" t="str">
        <f>IF(BY97="","",BY97/BY$66)</f>
        <v/>
      </c>
      <c r="CA97" s="25" t="str">
        <f>IF(CA95="N/A","N/A",IF(BZ97="","EQ",IF(BZ97&lt;=1,"EQ","REJECT")))</f>
        <v>N/A</v>
      </c>
      <c r="CC97" s="25"/>
      <c r="CD97" s="25"/>
      <c r="CE97" s="25"/>
      <c r="CF97" s="25"/>
      <c r="CG97" s="25"/>
      <c r="CH97" s="49" t="s">
        <v>755</v>
      </c>
      <c r="CI97" s="58" t="str">
        <f>IF(OR(CI95="",CI96="",),"",$U$23*CI63*0.5*CI96*IF($A$25="mm",1/10^6,1)/(CI95*CI96^3*IF($A$25="mm",1/10^12,1)))</f>
        <v/>
      </c>
      <c r="CJ97" s="103" t="str">
        <f>IF(CI97="","",CI97/CI$66)</f>
        <v/>
      </c>
      <c r="CK97" s="25" t="str">
        <f>IF(CK95="N/A","N/A",IF(CJ97="","EQ",IF(CJ97&lt;=1,"EQ","REJECT")))</f>
        <v>N/A</v>
      </c>
      <c r="CM97" s="25"/>
      <c r="CN97" s="25"/>
      <c r="CO97" s="25"/>
      <c r="CP97" s="25"/>
      <c r="CQ97" s="25"/>
      <c r="CR97" s="49" t="s">
        <v>755</v>
      </c>
      <c r="CS97" s="58" t="str">
        <f>IF(OR(CS95="",CS96="",),"",$U$23*CS63*0.5*CS96*IF($A$25="mm",1/10^6,1)/(CS95*CS96^3*IF($A$25="mm",1/10^12,1)))</f>
        <v/>
      </c>
      <c r="CT97" s="103" t="str">
        <f>IF(CS97="","",CS97/CS$66)</f>
        <v/>
      </c>
      <c r="CU97" s="25" t="str">
        <f>IF(CU95="N/A","N/A",IF(CT97="","EQ",IF(CT97&lt;=1,"EQ","REJECT")))</f>
        <v>N/A</v>
      </c>
      <c r="CV97" s="41"/>
      <c r="CW97" s="25"/>
      <c r="CX97" s="25"/>
      <c r="CY97" s="25"/>
      <c r="CZ97" s="25"/>
      <c r="DA97" s="25"/>
      <c r="DB97" s="49" t="s">
        <v>755</v>
      </c>
      <c r="DC97" s="58" t="str">
        <f>IF(OR(DC95="",DC96="",),"",$U$23*DC63*0.5*DC96*IF($A$25="mm",1/10^6,1)/(DC95*DC96^3*IF($A$25="mm",1/10^12,1)))</f>
        <v/>
      </c>
      <c r="DD97" s="103" t="str">
        <f>IF(DC97="","",DC97/DC$66)</f>
        <v/>
      </c>
      <c r="DE97" s="25" t="str">
        <f>IF(DE95="N/A","N/A",IF(DD97="","EQ",IF(DD97&lt;=1,"EQ","REJECT")))</f>
        <v>N/A</v>
      </c>
      <c r="DG97" s="25"/>
      <c r="DH97" s="25"/>
      <c r="DI97" s="25"/>
      <c r="DJ97" s="25"/>
      <c r="DK97" s="25"/>
      <c r="DL97" s="49" t="s">
        <v>755</v>
      </c>
      <c r="DM97" s="58" t="str">
        <f>IF(OR(DM95="",DM96="",),"",$U$23*DM63*0.5*DM96*IF($A$25="mm",1/10^6,1)/(DM95*DM96^3*IF($A$25="mm",1/10^12,1)))</f>
        <v/>
      </c>
      <c r="DN97" s="103" t="str">
        <f>IF(DM97="","",DM97/DM$66)</f>
        <v/>
      </c>
      <c r="DO97" s="25" t="str">
        <f>IF(DO95="N/A","N/A",IF(DN97="","EQ",IF(DN97&lt;=1,"EQ","REJECT")))</f>
        <v>N/A</v>
      </c>
    </row>
    <row r="98" spans="1:119" ht="15" customHeight="1" x14ac:dyDescent="0.3">
      <c r="A98" s="47"/>
      <c r="B98" s="49"/>
      <c r="C98" s="49"/>
      <c r="D98" s="49"/>
      <c r="E98" s="49"/>
      <c r="F98" s="67"/>
      <c r="G98" s="67"/>
      <c r="H98" s="68"/>
      <c r="I98" s="55"/>
      <c r="K98" s="93" t="s">
        <v>779</v>
      </c>
      <c r="L98" s="25">
        <f>IF($A$25="mm",Q94/1000,Q94)</f>
        <v>0</v>
      </c>
      <c r="M98" s="19" t="str">
        <f>IF($A$25="mm","m","in")</f>
        <v>m</v>
      </c>
      <c r="N98" s="157" t="s">
        <v>780</v>
      </c>
      <c r="O98" s="92">
        <f>L100*L101</f>
        <v>0</v>
      </c>
      <c r="P98" s="158" t="str">
        <f>IF($A$25="mm","m^2","in^2")</f>
        <v>m^2</v>
      </c>
      <c r="Q98" s="157" t="s">
        <v>781</v>
      </c>
      <c r="R98" s="92">
        <f>(L100*L101^3)/12</f>
        <v>0</v>
      </c>
      <c r="S98" s="158" t="str">
        <f>IF($A$25="mm","m^4","in^4")</f>
        <v>m^4</v>
      </c>
      <c r="U98" s="46"/>
      <c r="V98" s="60"/>
      <c r="W98" s="289" t="s">
        <v>708</v>
      </c>
      <c r="X98" s="289"/>
      <c r="Y98" s="289"/>
      <c r="Z98" s="289"/>
      <c r="AA98" s="58">
        <f>INDEX($K$3:$K$19,MATCH(AA95,$E$3:$E$19,0))</f>
        <v>210604999.99999997</v>
      </c>
      <c r="AB98" s="19" t="str">
        <f>IF($A$25="mm","Pa","psi")</f>
        <v>Pa</v>
      </c>
      <c r="AC98" s="25" t="str">
        <f>IF(AA65=0,"N/A","EQ")</f>
        <v>N/A</v>
      </c>
      <c r="AE98" s="46"/>
      <c r="AF98" s="60"/>
      <c r="AG98" s="289" t="s">
        <v>708</v>
      </c>
      <c r="AH98" s="289"/>
      <c r="AI98" s="289"/>
      <c r="AJ98" s="289"/>
      <c r="AK98" s="58">
        <f>INDEX($K$3:$K$19,MATCH(AK95,$E$3:$E$19,0))</f>
        <v>210604999.99999997</v>
      </c>
      <c r="AL98" s="19" t="str">
        <f>IF($A$25="mm","Pa","psi")</f>
        <v>Pa</v>
      </c>
      <c r="AM98" s="25" t="str">
        <f>IF(AK65=0,"N/A","EQ")</f>
        <v>N/A</v>
      </c>
      <c r="AO98" s="46"/>
      <c r="AP98" s="60"/>
      <c r="AQ98" s="289" t="s">
        <v>708</v>
      </c>
      <c r="AR98" s="289"/>
      <c r="AS98" s="289"/>
      <c r="AT98" s="289"/>
      <c r="AU98" s="58">
        <f>INDEX($K$3:$K$19,MATCH(AU95,$E$3:$E$19,0))</f>
        <v>210604999.99999997</v>
      </c>
      <c r="AV98" s="19" t="str">
        <f>IF($A$25="mm","Pa","psi")</f>
        <v>Pa</v>
      </c>
      <c r="AW98" s="25" t="str">
        <f>IF(AU65=0,"N/A","EQ")</f>
        <v>N/A</v>
      </c>
      <c r="AY98" s="46"/>
      <c r="AZ98" s="60"/>
      <c r="BA98" s="289" t="s">
        <v>708</v>
      </c>
      <c r="BB98" s="289"/>
      <c r="BC98" s="289"/>
      <c r="BD98" s="289"/>
      <c r="BE98" s="58">
        <f>INDEX($K$3:$K$19,MATCH(BE95,$E$3:$E$19,0))</f>
        <v>210604999.99999997</v>
      </c>
      <c r="BF98" s="19" t="str">
        <f>IF($A$25="mm","Pa","psi")</f>
        <v>Pa</v>
      </c>
      <c r="BG98" s="25" t="str">
        <f>IF(BE65=0,"N/A","EQ")</f>
        <v>N/A</v>
      </c>
      <c r="BI98" s="46"/>
      <c r="BJ98" s="60"/>
      <c r="BK98" s="289" t="s">
        <v>708</v>
      </c>
      <c r="BL98" s="289"/>
      <c r="BM98" s="289"/>
      <c r="BN98" s="289"/>
      <c r="BO98" s="58">
        <f>INDEX($K$3:$K$19,MATCH(BO95,$E$3:$E$19,0))</f>
        <v>210604999.99999997</v>
      </c>
      <c r="BP98" s="19" t="str">
        <f>IF($A$25="mm","Pa","psi")</f>
        <v>Pa</v>
      </c>
      <c r="BQ98" s="25" t="str">
        <f>IF(BO65=0,"N/A","EQ")</f>
        <v>N/A</v>
      </c>
      <c r="BS98" s="41"/>
      <c r="BX98" s="49" t="s">
        <v>558</v>
      </c>
      <c r="BY98" s="58" t="str">
        <f>IF(OR(BY95="",BY96=""),"",3*$U$23/(2*BY95*BY96*IF($A$25="mm",1/10^6,1)))</f>
        <v/>
      </c>
      <c r="BZ98" s="103" t="str">
        <f>IF(BY98="","",BY98/BY$67)</f>
        <v/>
      </c>
      <c r="CA98" s="25" t="str">
        <f>IF(CA95="N/A","N/A",IF(BZ98="","EQ",IF(BZ98&lt;=1,"EQ","REJECT")))</f>
        <v>N/A</v>
      </c>
      <c r="CC98" s="41"/>
      <c r="CH98" s="49" t="s">
        <v>558</v>
      </c>
      <c r="CI98" s="58" t="str">
        <f>IF(OR(CI95="",CI96=""),"",3*$U$23/(2*CI95*CI96*IF($A$25="mm",1/10^6,1)))</f>
        <v/>
      </c>
      <c r="CJ98" s="103" t="str">
        <f>IF(CI98="","",CI98/CI$67)</f>
        <v/>
      </c>
      <c r="CK98" s="25" t="str">
        <f>IF(CK95="N/A","N/A",IF(CJ98="","EQ",IF(CJ98&lt;=1,"EQ","REJECT")))</f>
        <v>N/A</v>
      </c>
      <c r="CM98" s="41"/>
      <c r="CR98" s="49" t="s">
        <v>558</v>
      </c>
      <c r="CS98" s="58" t="str">
        <f>IF(OR(CS95="",CS96=""),"",3*$U$23/(2*CS95*CS96*IF($A$25="mm",1/10^6,1)))</f>
        <v/>
      </c>
      <c r="CT98" s="103" t="str">
        <f>IF(CS98="","",CS98/CS$67)</f>
        <v/>
      </c>
      <c r="CU98" s="25" t="str">
        <f>IF(CU95="N/A","N/A",IF(CT98="","EQ",IF(CT98&lt;=1,"EQ","REJECT")))</f>
        <v>N/A</v>
      </c>
      <c r="CW98" s="41"/>
      <c r="DB98" s="49" t="s">
        <v>558</v>
      </c>
      <c r="DC98" s="58" t="str">
        <f>IF(OR(DC95="",DC96=""),"",3*$U$23/(2*DC95*DC96*IF($A$25="mm",1/10^6,1)))</f>
        <v/>
      </c>
      <c r="DD98" s="103" t="str">
        <f>IF(DC98="","",DC98/DC$67)</f>
        <v/>
      </c>
      <c r="DE98" s="25" t="str">
        <f>IF(DE95="N/A","N/A",IF(DD98="","EQ",IF(DD98&lt;=1,"EQ","REJECT")))</f>
        <v>N/A</v>
      </c>
      <c r="DG98" s="41"/>
      <c r="DL98" s="49" t="s">
        <v>558</v>
      </c>
      <c r="DM98" s="58" t="str">
        <f>IF(OR(DM95="",DM96=""),"",3*$U$23/(2*DM95*DM96*IF($A$25="mm",1/10^6,1)))</f>
        <v/>
      </c>
      <c r="DN98" s="103" t="str">
        <f>IF(DM98="","",DM98/DM$67)</f>
        <v/>
      </c>
      <c r="DO98" s="25" t="str">
        <f>IF(DO95="N/A","N/A",IF(DN98="","EQ",IF(DN98&lt;=1,"EQ","REJECT")))</f>
        <v>N/A</v>
      </c>
    </row>
    <row r="99" spans="1:119" ht="15" customHeight="1" thickBot="1" x14ac:dyDescent="0.35">
      <c r="A99" s="47"/>
      <c r="B99" s="49"/>
      <c r="C99" s="49"/>
      <c r="D99" s="49"/>
      <c r="E99" s="49"/>
      <c r="F99" s="67"/>
      <c r="G99" s="67"/>
      <c r="H99" s="68"/>
      <c r="I99" s="55"/>
      <c r="K99" s="93" t="s">
        <v>782</v>
      </c>
      <c r="L99" s="25">
        <f>IF($A$25="mm",Q92/1000,Q92)</f>
        <v>0</v>
      </c>
      <c r="M99" s="19" t="str">
        <f>IF($A$25="mm","m","in")</f>
        <v>m</v>
      </c>
      <c r="N99" s="157" t="s">
        <v>783</v>
      </c>
      <c r="O99" s="95">
        <f>L101/2</f>
        <v>0</v>
      </c>
      <c r="P99" s="158" t="str">
        <f>IF($A$25="mm","m","in")</f>
        <v>m</v>
      </c>
      <c r="Q99" s="157" t="s">
        <v>784</v>
      </c>
      <c r="R99" s="92">
        <f>IF(O101="","",R97+(O97*(O101-O99)^2))</f>
        <v>0</v>
      </c>
      <c r="S99" s="158" t="str">
        <f>IF($A$25="mm","m^4","in^4")</f>
        <v>m^4</v>
      </c>
      <c r="U99" s="46"/>
      <c r="V99" s="60"/>
      <c r="W99" s="49"/>
      <c r="X99" s="49"/>
      <c r="Y99" s="49"/>
      <c r="Z99" s="49" t="str">
        <f>IF(AA65=0,"","Accumulator total skin/wall thickness:")</f>
        <v/>
      </c>
      <c r="AA99" s="50"/>
      <c r="AB99" s="19" t="str">
        <f>IF($A$25="mm","mm","in")</f>
        <v>mm</v>
      </c>
      <c r="AC99" s="25" t="str">
        <f>IF(AA65=0,"N/A",IF(AA99="","BLANK","EQ"))</f>
        <v>N/A</v>
      </c>
      <c r="AE99" s="46"/>
      <c r="AF99" s="60"/>
      <c r="AG99" s="49"/>
      <c r="AH99" s="49"/>
      <c r="AI99" s="49"/>
      <c r="AJ99" s="49" t="str">
        <f>IF(AK65=0,"","Accumulator total skin/wall thickness:")</f>
        <v/>
      </c>
      <c r="AK99" s="50"/>
      <c r="AL99" s="19" t="str">
        <f>IF($A$25="mm","mm","in")</f>
        <v>mm</v>
      </c>
      <c r="AM99" s="25" t="str">
        <f>IF(AK65=0,"N/A",IF(AK99="","BLANK","EQ"))</f>
        <v>N/A</v>
      </c>
      <c r="AO99" s="46"/>
      <c r="AP99" s="60"/>
      <c r="AQ99" s="49"/>
      <c r="AR99" s="49"/>
      <c r="AS99" s="49"/>
      <c r="AT99" s="49" t="str">
        <f>IF(AU65=0,"","Accumulator total skin/wall thickness:")</f>
        <v/>
      </c>
      <c r="AU99" s="50"/>
      <c r="AV99" s="19" t="str">
        <f>IF($A$25="mm","mm","in")</f>
        <v>mm</v>
      </c>
      <c r="AW99" s="25" t="str">
        <f>IF(AU65=0,"N/A",IF(AU99="","BLANK","EQ"))</f>
        <v>N/A</v>
      </c>
      <c r="AY99" s="46"/>
      <c r="AZ99" s="60"/>
      <c r="BA99" s="49"/>
      <c r="BB99" s="49"/>
      <c r="BC99" s="49"/>
      <c r="BD99" s="49" t="str">
        <f>IF(BE65=0,"","Accumulator total skin/wall thickness:")</f>
        <v/>
      </c>
      <c r="BE99" s="50"/>
      <c r="BF99" s="19" t="str">
        <f>IF($A$25="mm","mm","in")</f>
        <v>mm</v>
      </c>
      <c r="BG99" s="25" t="str">
        <f>IF(BE65=0,"N/A",IF(BE99="","BLANK","EQ"))</f>
        <v>N/A</v>
      </c>
      <c r="BI99" s="46"/>
      <c r="BJ99" s="60"/>
      <c r="BK99" s="49"/>
      <c r="BL99" s="49"/>
      <c r="BM99" s="49"/>
      <c r="BN99" s="49" t="str">
        <f>IF(BO65=0,"","Accumulator total skin/wall thickness:")</f>
        <v/>
      </c>
      <c r="BO99" s="50"/>
      <c r="BP99" s="19" t="str">
        <f>IF($A$25="mm","mm","in")</f>
        <v>mm</v>
      </c>
      <c r="BQ99" s="25" t="str">
        <f>IF(BO65=0,"N/A",IF(BO99="","BLANK","EQ"))</f>
        <v>N/A</v>
      </c>
      <c r="BX99" s="49" t="s">
        <v>559</v>
      </c>
      <c r="BY99" s="50"/>
      <c r="BZ99" s="19" t="str">
        <f>IF($A$25="mm","mm","in")</f>
        <v>mm</v>
      </c>
      <c r="CA99" s="25" t="str">
        <f>IF(BY63=0,"N/A",
IF(BY99&gt;BY71,"CHECK",
IF(BY99="","BLANK","EQ")))</f>
        <v>N/A</v>
      </c>
      <c r="CH99" s="49" t="s">
        <v>559</v>
      </c>
      <c r="CI99" s="50"/>
      <c r="CJ99" s="19" t="str">
        <f>IF($A$25="mm","mm","in")</f>
        <v>mm</v>
      </c>
      <c r="CK99" s="25" t="str">
        <f>IF(CI63=0,"N/A",
IF(CI99&gt;CI71,"CHECK",
IF(CI99="","BLANK","EQ")))</f>
        <v>N/A</v>
      </c>
      <c r="CR99" s="49" t="s">
        <v>559</v>
      </c>
      <c r="CS99" s="50"/>
      <c r="CT99" s="19" t="str">
        <f>IF($A$25="mm","mm","in")</f>
        <v>mm</v>
      </c>
      <c r="CU99" s="25" t="str">
        <f>IF(CS63=0,"N/A",
IF(CS99&gt;CS71,"CHECK",
IF(CS99="","BLANK","EQ")))</f>
        <v>N/A</v>
      </c>
      <c r="DB99" s="49" t="s">
        <v>559</v>
      </c>
      <c r="DC99" s="50"/>
      <c r="DD99" s="19" t="str">
        <f>IF($A$25="mm","mm","in")</f>
        <v>mm</v>
      </c>
      <c r="DE99" s="25" t="str">
        <f>IF(DC63=0,"N/A",
IF(DC99&gt;DC71,"CHECK",
IF(DC99="","BLANK","EQ")))</f>
        <v>N/A</v>
      </c>
      <c r="DL99" s="49" t="s">
        <v>559</v>
      </c>
      <c r="DM99" s="50"/>
      <c r="DN99" s="19" t="str">
        <f>IF($A$25="mm","mm","in")</f>
        <v>mm</v>
      </c>
      <c r="DO99" s="25" t="str">
        <f>IF(DM63=0,"N/A",
IF(DM99&gt;DM71,"CHECK",
IF(DM99="","BLANK","EQ")))</f>
        <v>N/A</v>
      </c>
    </row>
    <row r="100" spans="1:119" ht="15" customHeight="1" thickBot="1" x14ac:dyDescent="0.35">
      <c r="B100" s="49"/>
      <c r="C100" s="49"/>
      <c r="D100" s="49"/>
      <c r="E100" s="49"/>
      <c r="F100" s="49"/>
      <c r="G100" s="25"/>
      <c r="I100" s="25"/>
      <c r="K100" s="25" t="s">
        <v>785</v>
      </c>
      <c r="L100" s="25">
        <f>IF($A$25="mm",Q88/1000,Q88)</f>
        <v>0</v>
      </c>
      <c r="M100" s="19" t="str">
        <f>IF($A$25="mm","m","in")</f>
        <v>m</v>
      </c>
      <c r="N100" s="157" t="s">
        <v>786</v>
      </c>
      <c r="O100" s="95">
        <f>(L99-0.5*L101)</f>
        <v>0</v>
      </c>
      <c r="P100" s="158" t="str">
        <f>IF($A$25="mm","m","in")</f>
        <v>m</v>
      </c>
      <c r="Q100" s="157" t="s">
        <v>787</v>
      </c>
      <c r="R100" s="92">
        <f>IF(O101="","",R98+(O98*(O101-O100)^2))</f>
        <v>0</v>
      </c>
      <c r="S100" s="158" t="str">
        <f>IF($A$25="mm","m^4","in^4")</f>
        <v>m^4</v>
      </c>
      <c r="U100" s="25"/>
      <c r="V100" s="25"/>
      <c r="W100" s="25"/>
      <c r="X100" s="25"/>
      <c r="Y100" s="25"/>
      <c r="Z100" s="49" t="str">
        <f>IF(AA65=0,"","Mount interface with accumulator:")</f>
        <v/>
      </c>
      <c r="AA100" s="243" t="s">
        <v>736</v>
      </c>
      <c r="AB100" s="244"/>
      <c r="AC100" s="25" t="str">
        <f>IF(AA65=0,"N/A","EQ")</f>
        <v>N/A</v>
      </c>
      <c r="AE100" s="25"/>
      <c r="AF100" s="25"/>
      <c r="AG100" s="25"/>
      <c r="AH100" s="25"/>
      <c r="AI100" s="25"/>
      <c r="AJ100" s="49" t="str">
        <f>IF(AK65=0,"","Mount interface with accumulator:")</f>
        <v/>
      </c>
      <c r="AK100" s="243" t="s">
        <v>736</v>
      </c>
      <c r="AL100" s="244"/>
      <c r="AM100" s="25" t="str">
        <f>IF(AK65=0,"N/A","EQ")</f>
        <v>N/A</v>
      </c>
      <c r="AO100" s="25"/>
      <c r="AP100" s="25"/>
      <c r="AQ100" s="25"/>
      <c r="AR100" s="25"/>
      <c r="AS100" s="25"/>
      <c r="AT100" s="49" t="str">
        <f>IF(AU65=0,"","Mount interface with accumulator:")</f>
        <v/>
      </c>
      <c r="AU100" s="243" t="s">
        <v>736</v>
      </c>
      <c r="AV100" s="244"/>
      <c r="AW100" s="25" t="str">
        <f>IF(AU65=0,"N/A","EQ")</f>
        <v>N/A</v>
      </c>
      <c r="AY100" s="25"/>
      <c r="AZ100" s="25"/>
      <c r="BA100" s="25"/>
      <c r="BB100" s="25"/>
      <c r="BC100" s="25"/>
      <c r="BD100" s="49" t="str">
        <f>IF(BE65=0,"","Mount interface with accumulator:")</f>
        <v/>
      </c>
      <c r="BE100" s="243" t="s">
        <v>736</v>
      </c>
      <c r="BF100" s="244"/>
      <c r="BG100" s="25" t="str">
        <f>IF(BE65=0,"N/A","EQ")</f>
        <v>N/A</v>
      </c>
      <c r="BI100" s="25"/>
      <c r="BJ100" s="25"/>
      <c r="BK100" s="25"/>
      <c r="BL100" s="25"/>
      <c r="BM100" s="25"/>
      <c r="BN100" s="49" t="str">
        <f>IF(BO65=0,"","Mount interface with accumulator:")</f>
        <v/>
      </c>
      <c r="BO100" s="243" t="s">
        <v>736</v>
      </c>
      <c r="BP100" s="244"/>
      <c r="BQ100" s="25" t="str">
        <f>IF(BO65=0,"N/A","EQ")</f>
        <v>N/A</v>
      </c>
      <c r="BX100" s="49" t="s">
        <v>560</v>
      </c>
      <c r="BY100" s="50"/>
      <c r="BZ100" s="19" t="str">
        <f>IF($A$25="mm","mm","in")</f>
        <v>mm</v>
      </c>
      <c r="CA100" s="25" t="str">
        <f>IF(CA99="N/A","N/A",IF(BY100="","BLANK","EQ"))</f>
        <v>N/A</v>
      </c>
      <c r="CH100" s="49" t="s">
        <v>560</v>
      </c>
      <c r="CI100" s="50"/>
      <c r="CJ100" s="19" t="str">
        <f>IF($A$25="mm","mm","in")</f>
        <v>mm</v>
      </c>
      <c r="CK100" s="25" t="str">
        <f>IF(CK99="N/A","N/A",IF(CI100="","BLANK","EQ"))</f>
        <v>N/A</v>
      </c>
      <c r="CR100" s="49" t="s">
        <v>560</v>
      </c>
      <c r="CS100" s="50"/>
      <c r="CT100" s="19" t="str">
        <f>IF($A$25="mm","mm","in")</f>
        <v>mm</v>
      </c>
      <c r="CU100" s="25" t="str">
        <f>IF(CU99="N/A","N/A",IF(CS100="","BLANK","EQ"))</f>
        <v>N/A</v>
      </c>
      <c r="DB100" s="49" t="s">
        <v>560</v>
      </c>
      <c r="DC100" s="50"/>
      <c r="DD100" s="19" t="str">
        <f>IF($A$25="mm","mm","in")</f>
        <v>mm</v>
      </c>
      <c r="DE100" s="25" t="str">
        <f>IF(DE99="N/A","N/A",IF(DC100="","BLANK","EQ"))</f>
        <v>N/A</v>
      </c>
      <c r="DL100" s="49" t="s">
        <v>560</v>
      </c>
      <c r="DM100" s="50"/>
      <c r="DN100" s="19" t="str">
        <f>IF($A$25="mm","mm","in")</f>
        <v>mm</v>
      </c>
      <c r="DO100" s="25" t="str">
        <f>IF(DO99="N/A","N/A",IF(DM100="","BLANK","EQ"))</f>
        <v>N/A</v>
      </c>
    </row>
    <row r="101" spans="1:119" ht="15" customHeight="1" x14ac:dyDescent="0.3">
      <c r="A101" s="25"/>
      <c r="B101" s="25"/>
      <c r="C101" s="25"/>
      <c r="D101" s="25"/>
      <c r="E101" s="25"/>
      <c r="F101" s="25"/>
      <c r="G101" s="25"/>
      <c r="H101" s="25"/>
      <c r="I101" s="25"/>
      <c r="K101" s="25" t="s">
        <v>788</v>
      </c>
      <c r="L101" s="25">
        <f>IF($A$25="mm",Q95/1000,Q95)</f>
        <v>0</v>
      </c>
      <c r="M101" s="19" t="str">
        <f>IF($A$25="mm","m","in")</f>
        <v>m</v>
      </c>
      <c r="N101" s="157" t="s">
        <v>789</v>
      </c>
      <c r="O101" s="95">
        <f>IF(OR(Q88="",Q94="",Q95=""),0,(O97*O99+O98*O100)/(O97+O98))</f>
        <v>0</v>
      </c>
      <c r="P101" s="158" t="str">
        <f>IF($A$25="mm","m","in")</f>
        <v>m</v>
      </c>
      <c r="Q101" s="157" t="s">
        <v>790</v>
      </c>
      <c r="R101" s="92">
        <f>IF(O101="",0,R99+R100)</f>
        <v>0</v>
      </c>
      <c r="S101" s="158" t="str">
        <f>IF($A$25="mm","m^4","in^4")</f>
        <v>m^4</v>
      </c>
      <c r="U101" s="46"/>
      <c r="V101" s="60"/>
      <c r="W101" s="49"/>
      <c r="X101" s="49"/>
      <c r="Y101" s="49"/>
      <c r="Z101" s="49" t="str">
        <f>IF(AA65=0,"",IF(NOT(AA100="Bolted"),"","Minimum - Fastener spacing, accumulator edge, or corner distance:"))</f>
        <v/>
      </c>
      <c r="AA101" s="50"/>
      <c r="AB101" s="19" t="str">
        <f>IF($A$25="mm","mm","in")</f>
        <v>mm</v>
      </c>
      <c r="AC101" s="25" t="str">
        <f>IF(AA65=0,"N/A",IF(NOT(AA100="Bolted"),"N/A",IF(AA101="","BLANK","EQ")))</f>
        <v>N/A</v>
      </c>
      <c r="AE101" s="46"/>
      <c r="AF101" s="60"/>
      <c r="AG101" s="49"/>
      <c r="AH101" s="49"/>
      <c r="AI101" s="49"/>
      <c r="AJ101" s="49" t="str">
        <f>IF(AK65=0,"",IF(NOT(AK100="Bolted"),"","Minimum - Fastener spacing, accumulator edge, or corner distance:"))</f>
        <v/>
      </c>
      <c r="AK101" s="50"/>
      <c r="AL101" s="19" t="str">
        <f>IF($A$25="mm","mm","in")</f>
        <v>mm</v>
      </c>
      <c r="AM101" s="25" t="str">
        <f>IF(AK65=0,"N/A",IF(NOT(AK100="Bolted"),"N/A",IF(AK101="","BLANK","EQ")))</f>
        <v>N/A</v>
      </c>
      <c r="AO101" s="46"/>
      <c r="AP101" s="60"/>
      <c r="AQ101" s="49"/>
      <c r="AR101" s="49"/>
      <c r="AS101" s="49"/>
      <c r="AT101" s="49" t="str">
        <f>IF(AU65=0,"",IF(NOT(AU100="Bolted"),"","Minimum - Fastener spacing, accumulator edge, or corner distance:"))</f>
        <v/>
      </c>
      <c r="AU101" s="50"/>
      <c r="AV101" s="19" t="str">
        <f>IF($A$25="mm","mm","in")</f>
        <v>mm</v>
      </c>
      <c r="AW101" s="25" t="str">
        <f>IF(AU65=0,"N/A",IF(NOT(AU100="Bolted"),"N/A",IF(AU101="","BLANK","EQ")))</f>
        <v>N/A</v>
      </c>
      <c r="AY101" s="46"/>
      <c r="AZ101" s="60"/>
      <c r="BA101" s="49"/>
      <c r="BB101" s="49"/>
      <c r="BC101" s="49"/>
      <c r="BD101" s="49" t="str">
        <f>IF(BE65=0,"",IF(NOT(BE100="Bolted"),"","Minimum - Fastener spacing, accumulator edge, or corner distance:"))</f>
        <v/>
      </c>
      <c r="BE101" s="50"/>
      <c r="BF101" s="19" t="str">
        <f>IF($A$25="mm","mm","in")</f>
        <v>mm</v>
      </c>
      <c r="BG101" s="25" t="str">
        <f>IF(BE65=0,"N/A",IF(NOT(BE100="Bolted"),"N/A",IF(BE101="","BLANK","EQ")))</f>
        <v>N/A</v>
      </c>
      <c r="BI101" s="46"/>
      <c r="BJ101" s="60"/>
      <c r="BK101" s="49"/>
      <c r="BL101" s="49"/>
      <c r="BM101" s="49"/>
      <c r="BN101" s="49" t="str">
        <f>IF(BO65=0,"",IF(NOT(BO100="Bolted"),"","Minimum - Fastener spacing, accumulator edge, or corner distance:"))</f>
        <v/>
      </c>
      <c r="BO101" s="50"/>
      <c r="BP101" s="19" t="str">
        <f>IF($A$25="mm","mm","in")</f>
        <v>mm</v>
      </c>
      <c r="BQ101" s="25" t="str">
        <f>IF(BO65=0,"N/A",IF(NOT(BO100="Bolted"),"N/A",IF(BO101="","BLANK","EQ")))</f>
        <v>N/A</v>
      </c>
      <c r="BS101" s="25"/>
      <c r="BT101" s="25"/>
      <c r="BU101" s="25"/>
      <c r="BV101" s="25"/>
      <c r="BW101" s="25"/>
      <c r="BX101" s="49" t="s">
        <v>755</v>
      </c>
      <c r="BY101" s="58" t="str">
        <f>IF(OR(BY99="",BY100="",),"",$U$23*BY63*0.5*BY100*IF($A$25="mm",1/10^6,1)/(BY99*BY100^3*IF($A$25="mm",1/10^12,1)))</f>
        <v/>
      </c>
      <c r="BZ101" s="103" t="str">
        <f>IF(BY101="","",BY101/BY$66)</f>
        <v/>
      </c>
      <c r="CA101" s="25" t="str">
        <f>IF(CA99="N/A","N/A",IF(BZ101="","EQ",IF(BZ101&lt;=1,"EQ","REJECT")))</f>
        <v>N/A</v>
      </c>
      <c r="CC101" s="25"/>
      <c r="CD101" s="25"/>
      <c r="CE101" s="25"/>
      <c r="CF101" s="25"/>
      <c r="CG101" s="25"/>
      <c r="CH101" s="49" t="s">
        <v>755</v>
      </c>
      <c r="CI101" s="58" t="str">
        <f>IF(OR(CI99="",CI100="",),"",$U$23*CI63*0.5*CI100*IF($A$25="mm",1/10^6,1)/(CI99*CI100^3*IF($A$25="mm",1/10^12,1)))</f>
        <v/>
      </c>
      <c r="CJ101" s="103" t="str">
        <f>IF(CI101="","",CI101/CI$66)</f>
        <v/>
      </c>
      <c r="CK101" s="25" t="str">
        <f>IF(CK99="N/A","N/A",IF(CJ101="","EQ",IF(CJ101&lt;=1,"EQ","REJECT")))</f>
        <v>N/A</v>
      </c>
      <c r="CM101" s="25"/>
      <c r="CN101" s="25"/>
      <c r="CO101" s="25"/>
      <c r="CP101" s="25"/>
      <c r="CQ101" s="25"/>
      <c r="CR101" s="49" t="s">
        <v>755</v>
      </c>
      <c r="CS101" s="58" t="str">
        <f>IF(OR(CS99="",CS100="",),"",$U$23*CS63*0.5*CS100*IF($A$25="mm",1/10^6,1)/(CS99*CS100^3*IF($A$25="mm",1/10^12,1)))</f>
        <v/>
      </c>
      <c r="CT101" s="103" t="str">
        <f>IF(CS101="","",CS101/CS$66)</f>
        <v/>
      </c>
      <c r="CU101" s="25" t="str">
        <f>IF(CU99="N/A","N/A",IF(CT101="","EQ",IF(CT101&lt;=1,"EQ","REJECT")))</f>
        <v>N/A</v>
      </c>
      <c r="CW101" s="25"/>
      <c r="CX101" s="25"/>
      <c r="CY101" s="25"/>
      <c r="CZ101" s="25"/>
      <c r="DA101" s="25"/>
      <c r="DB101" s="49" t="s">
        <v>755</v>
      </c>
      <c r="DC101" s="58" t="str">
        <f>IF(OR(DC99="",DC100="",),"",$U$23*DC63*0.5*DC100*IF($A$25="mm",1/10^6,1)/(DC99*DC100^3*IF($A$25="mm",1/10^12,1)))</f>
        <v/>
      </c>
      <c r="DD101" s="103" t="str">
        <f>IF(DC101="","",DC101/DC$66)</f>
        <v/>
      </c>
      <c r="DE101" s="25" t="str">
        <f>IF(DE99="N/A","N/A",IF(DD101="","EQ",IF(DD101&lt;=1,"EQ","REJECT")))</f>
        <v>N/A</v>
      </c>
      <c r="DG101" s="25"/>
      <c r="DH101" s="25"/>
      <c r="DI101" s="25"/>
      <c r="DJ101" s="25"/>
      <c r="DK101" s="25"/>
      <c r="DL101" s="49" t="s">
        <v>755</v>
      </c>
      <c r="DM101" s="58" t="str">
        <f>IF(OR(DM99="",DM100="",),"",$U$23*DM63*0.5*DM100*IF($A$25="mm",1/10^6,1)/(DM99*DM100^3*IF($A$25="mm",1/10^12,1)))</f>
        <v/>
      </c>
      <c r="DN101" s="103" t="str">
        <f>IF(DM101="","",DM101/DM$66)</f>
        <v/>
      </c>
      <c r="DO101" s="25" t="str">
        <f>IF(DO99="N/A","N/A",IF(DN101="","EQ",IF(DN101&lt;=1,"EQ","REJECT")))</f>
        <v>N/A</v>
      </c>
    </row>
    <row r="102" spans="1:119" ht="15" customHeight="1" x14ac:dyDescent="0.3">
      <c r="A102" s="49"/>
      <c r="B102" s="49"/>
      <c r="C102" s="49"/>
      <c r="D102" s="49"/>
      <c r="E102" s="49"/>
      <c r="F102" s="49"/>
      <c r="G102" s="25"/>
      <c r="I102" s="25"/>
      <c r="K102" s="25"/>
      <c r="L102" s="25"/>
      <c r="N102" s="97"/>
      <c r="O102" s="294" t="s">
        <v>791</v>
      </c>
      <c r="P102" s="294"/>
      <c r="Q102" s="295" t="str">
        <f>P89</f>
        <v>Steel</v>
      </c>
      <c r="R102" s="295"/>
      <c r="U102" s="46"/>
      <c r="V102" s="60"/>
      <c r="W102" s="49"/>
      <c r="X102" s="49"/>
      <c r="Y102" s="49"/>
      <c r="Z102" s="49" t="str">
        <f>IF(AA65=0,"",IF(NOT(AA100="Bolted"),"","Number of fasteners used:"))</f>
        <v/>
      </c>
      <c r="AA102" s="50"/>
      <c r="AC102" s="25" t="str">
        <f>IF(AA65=0,"N/A",IF(NOT(AA100="Bolted"),"N/A",IF(AA102="","BLANK","EQ")))</f>
        <v>N/A</v>
      </c>
      <c r="AE102" s="46"/>
      <c r="AF102" s="60"/>
      <c r="AG102" s="49"/>
      <c r="AH102" s="49"/>
      <c r="AI102" s="49"/>
      <c r="AJ102" s="49" t="str">
        <f>IF(AK65=0,"",IF(NOT(AK100="Bolted"),"","Number of fasteners used:"))</f>
        <v/>
      </c>
      <c r="AK102" s="50"/>
      <c r="AM102" s="25" t="str">
        <f>IF(AK65=0,"N/A",IF(NOT(AK100="Bolted"),"N/A",IF(AK102="","BLANK","EQ")))</f>
        <v>N/A</v>
      </c>
      <c r="AO102" s="46"/>
      <c r="AP102" s="60"/>
      <c r="AQ102" s="49"/>
      <c r="AR102" s="49"/>
      <c r="AS102" s="49"/>
      <c r="AT102" s="49" t="str">
        <f>IF(AU65=0,"",IF(NOT(AU100="Bolted"),"","Number of fasteners used:"))</f>
        <v/>
      </c>
      <c r="AU102" s="50"/>
      <c r="AW102" s="25" t="str">
        <f>IF(AU65=0,"N/A",IF(NOT(AU100="Bolted"),"N/A",IF(AU102="","BLANK","EQ")))</f>
        <v>N/A</v>
      </c>
      <c r="AY102" s="46"/>
      <c r="AZ102" s="60"/>
      <c r="BA102" s="49"/>
      <c r="BB102" s="49"/>
      <c r="BC102" s="49"/>
      <c r="BD102" s="49" t="str">
        <f>IF(BE65=0,"",IF(NOT(BE100="Bolted"),"","Number of fasteners used:"))</f>
        <v/>
      </c>
      <c r="BE102" s="50"/>
      <c r="BG102" s="25" t="str">
        <f>IF(BE65=0,"N/A",IF(NOT(BE100="Bolted"),"N/A",IF(BE102="","BLANK","EQ")))</f>
        <v>N/A</v>
      </c>
      <c r="BI102" s="46"/>
      <c r="BJ102" s="60"/>
      <c r="BK102" s="49"/>
      <c r="BL102" s="49"/>
      <c r="BM102" s="49"/>
      <c r="BN102" s="49" t="str">
        <f>IF(BO65=0,"",IF(NOT(BO100="Bolted"),"","Number of fasteners used:"))</f>
        <v/>
      </c>
      <c r="BO102" s="50"/>
      <c r="BQ102" s="25" t="str">
        <f>IF(BO65=0,"N/A",IF(NOT(BO100="Bolted"),"N/A",IF(BO102="","BLANK","EQ")))</f>
        <v>N/A</v>
      </c>
      <c r="BS102" s="41"/>
      <c r="BX102" s="49" t="s">
        <v>558</v>
      </c>
      <c r="BY102" s="58" t="str">
        <f>IF(OR(BY99="",BY100=""),"",3*$U$23/(2*BY99*BY100*IF($A$25="mm",1/10^6,1)))</f>
        <v/>
      </c>
      <c r="BZ102" s="103" t="str">
        <f>IF(BY102="","",BY102/BY$67)</f>
        <v/>
      </c>
      <c r="CA102" s="25" t="str">
        <f>IF(CA99="N/A","N/A",IF(BZ102="","EQ",IF(BZ102&lt;=1,"EQ","REJECT")))</f>
        <v>N/A</v>
      </c>
      <c r="CC102" s="41"/>
      <c r="CH102" s="49" t="s">
        <v>558</v>
      </c>
      <c r="CI102" s="58" t="str">
        <f>IF(OR(CI99="",CI100=""),"",3*$U$23/(2*CI99*CI100*IF($A$25="mm",1/10^6,1)))</f>
        <v/>
      </c>
      <c r="CJ102" s="103" t="str">
        <f>IF(CI102="","",CI102/CI$67)</f>
        <v/>
      </c>
      <c r="CK102" s="25" t="str">
        <f>IF(CK99="N/A","N/A",IF(CJ102="","EQ",IF(CJ102&lt;=1,"EQ","REJECT")))</f>
        <v>N/A</v>
      </c>
      <c r="CM102" s="41"/>
      <c r="CR102" s="49" t="s">
        <v>558</v>
      </c>
      <c r="CS102" s="58" t="str">
        <f>IF(OR(CS99="",CS100=""),"",3*$U$23/(2*CS99*CS100*IF($A$25="mm",1/10^6,1)))</f>
        <v/>
      </c>
      <c r="CT102" s="103" t="str">
        <f>IF(CS102="","",CS102/CS$67)</f>
        <v/>
      </c>
      <c r="CU102" s="25" t="str">
        <f>IF(CU99="N/A","N/A",IF(CT102="","EQ",IF(CT102&lt;=1,"EQ","REJECT")))</f>
        <v>N/A</v>
      </c>
      <c r="CW102" s="41"/>
      <c r="DB102" s="49" t="s">
        <v>558</v>
      </c>
      <c r="DC102" s="58" t="str">
        <f>IF(OR(DC99="",DC100=""),"",3*$U$23/(2*DC99*DC100*IF($A$25="mm",1/10^6,1)))</f>
        <v/>
      </c>
      <c r="DD102" s="103" t="str">
        <f>IF(DC102="","",DC102/DC$67)</f>
        <v/>
      </c>
      <c r="DE102" s="25" t="str">
        <f>IF(DE99="N/A","N/A",IF(DD102="","EQ",IF(DD102&lt;=1,"EQ","REJECT")))</f>
        <v>N/A</v>
      </c>
      <c r="DG102" s="41"/>
      <c r="DL102" s="49" t="s">
        <v>558</v>
      </c>
      <c r="DM102" s="58" t="str">
        <f>IF(OR(DM99="",DM100=""),"",3*$U$23/(2*DM99*DM100*IF($A$25="mm",1/10^6,1)))</f>
        <v/>
      </c>
      <c r="DN102" s="103" t="str">
        <f>IF(DM102="","",DM102/DM$67)</f>
        <v/>
      </c>
      <c r="DO102" s="25" t="str">
        <f>IF(DO99="N/A","N/A",IF(DN102="","EQ",IF(DN102&lt;=1,"EQ","REJECT")))</f>
        <v>N/A</v>
      </c>
    </row>
    <row r="103" spans="1:119" ht="15" customHeight="1" thickBot="1" x14ac:dyDescent="0.35">
      <c r="A103" s="52"/>
      <c r="B103" s="52"/>
      <c r="C103" s="52"/>
      <c r="D103" s="52"/>
      <c r="E103" s="52"/>
      <c r="F103" s="52"/>
      <c r="G103" s="25"/>
      <c r="I103" s="25"/>
      <c r="K103" s="47"/>
      <c r="L103" s="289" t="s">
        <v>792</v>
      </c>
      <c r="M103" s="289"/>
      <c r="N103" s="289"/>
      <c r="O103" s="289"/>
      <c r="P103" s="25">
        <f>IF($A$25="mm",1.25/1000,0.049)</f>
        <v>1.25E-3</v>
      </c>
      <c r="Q103" s="25">
        <f>IF($A$25="mm",Q92/1000,Q92)</f>
        <v>0</v>
      </c>
      <c r="R103" s="19" t="str">
        <f>IF($A$25="mm","m","in")</f>
        <v>m</v>
      </c>
      <c r="S103" s="25" t="str">
        <f>IF(NOT(P89="Other"),"N/A","EQ")</f>
        <v>N/A</v>
      </c>
      <c r="U103" s="46"/>
      <c r="V103" s="60"/>
      <c r="W103" s="49"/>
      <c r="X103" s="49"/>
      <c r="Y103" s="49"/>
      <c r="Z103" s="49" t="str">
        <f>IF(AA65=0,"",IF(NOT(AA100="Bolted"),"","Fastener diameter:"))</f>
        <v/>
      </c>
      <c r="AA103" s="149"/>
      <c r="AB103" s="19" t="str">
        <f>IF($A$25="mm","mm","in")</f>
        <v>mm</v>
      </c>
      <c r="AC103" s="25" t="str">
        <f>IF(AA65=0,"N/A",IF(NOT(AA100="Bolted"),"N/A",IF(AA103="","BLANK","EQ")))</f>
        <v>N/A</v>
      </c>
      <c r="AE103" s="46"/>
      <c r="AF103" s="60"/>
      <c r="AG103" s="49"/>
      <c r="AH103" s="49"/>
      <c r="AI103" s="49"/>
      <c r="AJ103" s="49" t="str">
        <f>IF(AK65=0,"",IF(NOT(AK100="Bolted"),"","Fastener diameter:"))</f>
        <v/>
      </c>
      <c r="AK103" s="149"/>
      <c r="AL103" s="19" t="str">
        <f>IF($A$25="mm","mm","in")</f>
        <v>mm</v>
      </c>
      <c r="AM103" s="25" t="str">
        <f>IF(AK65=0,"N/A",IF(NOT(AK100="Bolted"),"N/A",IF(AK103="","BLANK","EQ")))</f>
        <v>N/A</v>
      </c>
      <c r="AO103" s="46"/>
      <c r="AP103" s="60"/>
      <c r="AQ103" s="49"/>
      <c r="AR103" s="49"/>
      <c r="AS103" s="49"/>
      <c r="AT103" s="49" t="str">
        <f>IF(AU65=0,"",IF(NOT(AU100="Bolted"),"","Fastener diameter:"))</f>
        <v/>
      </c>
      <c r="AU103" s="149"/>
      <c r="AV103" s="19" t="str">
        <f>IF($A$25="mm","mm","in")</f>
        <v>mm</v>
      </c>
      <c r="AW103" s="25" t="str">
        <f>IF(AU65=0,"N/A",IF(NOT(AU100="Bolted"),"N/A",IF(AU103="","BLANK","EQ")))</f>
        <v>N/A</v>
      </c>
      <c r="AY103" s="46"/>
      <c r="AZ103" s="60"/>
      <c r="BA103" s="49"/>
      <c r="BB103" s="49"/>
      <c r="BC103" s="49"/>
      <c r="BD103" s="49" t="str">
        <f>IF(BE65=0,"",IF(NOT(BE100="Bolted"),"","Fastener diameter:"))</f>
        <v/>
      </c>
      <c r="BE103" s="149"/>
      <c r="BF103" s="19" t="str">
        <f>IF($A$25="mm","mm","in")</f>
        <v>mm</v>
      </c>
      <c r="BG103" s="25" t="str">
        <f>IF(BE65=0,"N/A",IF(NOT(BE100="Bolted"),"N/A",IF(BE103="","BLANK","EQ")))</f>
        <v>N/A</v>
      </c>
      <c r="BI103" s="46"/>
      <c r="BJ103" s="60"/>
      <c r="BK103" s="49"/>
      <c r="BL103" s="49"/>
      <c r="BM103" s="49"/>
      <c r="BN103" s="49" t="str">
        <f>IF(BO65=0,"",IF(NOT(BO100="Bolted"),"","Fastener diameter:"))</f>
        <v/>
      </c>
      <c r="BO103" s="149"/>
      <c r="BP103" s="19" t="str">
        <f>IF($A$25="mm","mm","in")</f>
        <v>mm</v>
      </c>
      <c r="BQ103" s="25" t="str">
        <f>IF(BO65=0,"N/A",IF(NOT(BO100="Bolted"),"N/A",IF(BO103="","BLANK","EQ")))</f>
        <v>N/A</v>
      </c>
      <c r="BS103" s="46"/>
      <c r="BT103" s="60"/>
      <c r="BU103" s="49"/>
      <c r="BV103" s="49"/>
      <c r="BW103" s="49"/>
      <c r="BX103" s="49"/>
      <c r="BY103" s="58"/>
      <c r="BZ103" s="102"/>
      <c r="CA103" s="25"/>
      <c r="CC103" s="46"/>
      <c r="CD103" s="60"/>
      <c r="CE103" s="49"/>
      <c r="CF103" s="49"/>
      <c r="CG103" s="49"/>
      <c r="CH103" s="49"/>
      <c r="CI103" s="58"/>
      <c r="CJ103" s="102"/>
      <c r="CK103" s="25"/>
      <c r="CM103" s="46"/>
      <c r="CN103" s="60"/>
      <c r="CO103" s="49"/>
      <c r="CP103" s="49"/>
      <c r="CQ103" s="49"/>
      <c r="CR103" s="49"/>
      <c r="CS103" s="58"/>
      <c r="CT103" s="102"/>
      <c r="CU103" s="25"/>
      <c r="CW103" s="46"/>
      <c r="CX103" s="60"/>
      <c r="CY103" s="49"/>
      <c r="CZ103" s="49"/>
      <c r="DA103" s="49"/>
      <c r="DB103" s="49"/>
      <c r="DC103" s="58"/>
      <c r="DD103" s="102"/>
      <c r="DE103" s="25"/>
      <c r="DG103" s="46"/>
      <c r="DH103" s="60"/>
      <c r="DI103" s="49"/>
      <c r="DJ103" s="49"/>
      <c r="DK103" s="49"/>
      <c r="DL103" s="49"/>
      <c r="DM103" s="58"/>
      <c r="DN103" s="102"/>
      <c r="DO103" s="25"/>
    </row>
    <row r="104" spans="1:119" ht="15" customHeight="1" thickBot="1" x14ac:dyDescent="0.35">
      <c r="K104" s="49"/>
      <c r="L104" s="289" t="s">
        <v>793</v>
      </c>
      <c r="M104" s="289"/>
      <c r="N104" s="289"/>
      <c r="O104" s="289"/>
      <c r="P104" s="58">
        <f>Q88*P103/IF($A$25="mm",1000,1)</f>
        <v>0</v>
      </c>
      <c r="Q104" s="58">
        <f>O97+O98/IF($A$25="mm",1000,1)</f>
        <v>0</v>
      </c>
      <c r="R104" s="19" t="str">
        <f>IF($A$25="mm","m^2","in^2")</f>
        <v>m^2</v>
      </c>
      <c r="S104" s="25" t="str">
        <f>IF(NOT(P89="Other"),"N/A","EQ")</f>
        <v>N/A</v>
      </c>
      <c r="U104" s="46"/>
      <c r="V104" s="60"/>
      <c r="W104" s="49"/>
      <c r="X104" s="49"/>
      <c r="Y104" s="49"/>
      <c r="Z104" s="49" t="str">
        <f>IF(AA65=0,"",IF(NOT(AA100="Bolted"),"","Threads in shear:"))</f>
        <v/>
      </c>
      <c r="AA104" s="150"/>
      <c r="AC104" s="25" t="str">
        <f>IF(AA65=0,"N/A",IF(NOT(AA100="Bolted"),"N/A",IF(AA104="Yes","CHECK","EQ")))</f>
        <v>N/A</v>
      </c>
      <c r="AE104" s="46"/>
      <c r="AF104" s="60"/>
      <c r="AG104" s="49"/>
      <c r="AH104" s="49"/>
      <c r="AI104" s="49"/>
      <c r="AJ104" s="49" t="str">
        <f>IF(AK65=0,"",IF(NOT(AK100="Bolted"),"","Threads in shear:"))</f>
        <v/>
      </c>
      <c r="AK104" s="150"/>
      <c r="AM104" s="25" t="str">
        <f>IF(AK65=0,"N/A",IF(NOT(AK100="Bolted"),"N/A",IF(AK104="Yes","CHECK","EQ")))</f>
        <v>N/A</v>
      </c>
      <c r="AO104" s="46"/>
      <c r="AP104" s="60"/>
      <c r="AQ104" s="49"/>
      <c r="AR104" s="49"/>
      <c r="AS104" s="49"/>
      <c r="AT104" s="49" t="str">
        <f>IF(AU65=0,"",IF(NOT(AU100="Bolted"),"","Threads in shear:"))</f>
        <v/>
      </c>
      <c r="AU104" s="150"/>
      <c r="AW104" s="25" t="str">
        <f>IF(AU65=0,"N/A",IF(NOT(AU100="Bolted"),"N/A",IF(AU104="Yes","CHECK","EQ")))</f>
        <v>N/A</v>
      </c>
      <c r="AY104" s="46"/>
      <c r="AZ104" s="60"/>
      <c r="BA104" s="49"/>
      <c r="BB104" s="49"/>
      <c r="BC104" s="49"/>
      <c r="BD104" s="49" t="str">
        <f>IF(BE65=0,"",IF(NOT(BE100="Bolted"),"","Threads in shear:"))</f>
        <v/>
      </c>
      <c r="BE104" s="150"/>
      <c r="BG104" s="25" t="str">
        <f>IF(BE65=0,"N/A",IF(NOT(BE100="Bolted"),"N/A",IF(BE104="Yes","CHECK","EQ")))</f>
        <v>N/A</v>
      </c>
      <c r="BI104" s="46"/>
      <c r="BJ104" s="60"/>
      <c r="BK104" s="49"/>
      <c r="BL104" s="49"/>
      <c r="BM104" s="49"/>
      <c r="BN104" s="49" t="str">
        <f>IF(BO65=0,"",IF(NOT(BO100="Bolted"),"","Threads in shear:"))</f>
        <v/>
      </c>
      <c r="BO104" s="150"/>
      <c r="BQ104" s="25" t="str">
        <f>IF(BO65=0,"N/A",IF(NOT(BO100="Bolted"),"N/A",IF(BO104="Yes","CHECK","EQ")))</f>
        <v>N/A</v>
      </c>
      <c r="BS104" s="310" t="s">
        <v>794</v>
      </c>
      <c r="BT104" s="310"/>
      <c r="BU104" s="310"/>
      <c r="BV104" s="310"/>
      <c r="BW104" s="310"/>
      <c r="BX104" s="310"/>
      <c r="BY104" s="310"/>
      <c r="BZ104" s="310"/>
      <c r="CA104" s="310"/>
      <c r="CC104" s="310" t="s">
        <v>794</v>
      </c>
      <c r="CD104" s="310"/>
      <c r="CE104" s="310"/>
      <c r="CF104" s="310"/>
      <c r="CG104" s="310"/>
      <c r="CH104" s="310"/>
      <c r="CI104" s="310"/>
      <c r="CJ104" s="310"/>
      <c r="CK104" s="310"/>
      <c r="CM104" s="310" t="s">
        <v>794</v>
      </c>
      <c r="CN104" s="310"/>
      <c r="CO104" s="310"/>
      <c r="CP104" s="310"/>
      <c r="CQ104" s="310"/>
      <c r="CR104" s="310"/>
      <c r="CS104" s="310"/>
      <c r="CT104" s="310"/>
      <c r="CU104" s="310"/>
      <c r="CW104" s="310" t="s">
        <v>794</v>
      </c>
      <c r="CX104" s="310"/>
      <c r="CY104" s="310"/>
      <c r="CZ104" s="310"/>
      <c r="DA104" s="310"/>
      <c r="DB104" s="310"/>
      <c r="DC104" s="310"/>
      <c r="DD104" s="310"/>
      <c r="DE104" s="310"/>
      <c r="DG104" s="310" t="s">
        <v>794</v>
      </c>
      <c r="DH104" s="310"/>
      <c r="DI104" s="310"/>
      <c r="DJ104" s="310"/>
      <c r="DK104" s="310"/>
      <c r="DL104" s="310"/>
      <c r="DM104" s="310"/>
      <c r="DN104" s="310"/>
      <c r="DO104" s="310"/>
    </row>
    <row r="105" spans="1:119" ht="15" customHeight="1" thickBot="1" x14ac:dyDescent="0.35">
      <c r="A105" s="25"/>
      <c r="B105" s="25"/>
      <c r="C105" s="25"/>
      <c r="D105" s="25"/>
      <c r="E105" s="25"/>
      <c r="F105" s="25"/>
      <c r="G105" s="25"/>
      <c r="H105" s="25"/>
      <c r="I105" s="25"/>
      <c r="K105" s="60"/>
      <c r="L105" s="289" t="s">
        <v>795</v>
      </c>
      <c r="M105" s="289"/>
      <c r="N105" s="289"/>
      <c r="O105" s="289"/>
      <c r="P105" s="58">
        <f>IF($A$25="mm",1/1000,1)*Q88*P103^3/12</f>
        <v>0</v>
      </c>
      <c r="Q105" s="58">
        <f>R101</f>
        <v>0</v>
      </c>
      <c r="R105" s="19" t="str">
        <f>IF($A$25="mm","m^4","in^4")</f>
        <v>m^4</v>
      </c>
      <c r="S105" s="25" t="str">
        <f>IF(NOT(P89="Other"),"N/A","EQ")</f>
        <v>N/A</v>
      </c>
      <c r="U105" s="46"/>
      <c r="V105" s="60"/>
      <c r="W105" s="49"/>
      <c r="X105" s="49"/>
      <c r="Y105" s="49"/>
      <c r="Z105" s="49" t="str">
        <f>IF(AA65=0,"",IF(NOT(AA100="Bolted"),"","Fastener shear capability:"))</f>
        <v/>
      </c>
      <c r="AA105" s="57"/>
      <c r="AB105" s="19" t="str">
        <f>IF($A$25="mm","N","lbs")</f>
        <v>N</v>
      </c>
      <c r="AC105" s="25" t="str">
        <f>IF(AA65=0,"N/A",IF(NOT(AA100="Bolted"),"N/A",IF(AA105="","BLANK","EQ")))</f>
        <v>N/A</v>
      </c>
      <c r="AE105" s="46"/>
      <c r="AF105" s="60"/>
      <c r="AG105" s="49"/>
      <c r="AH105" s="49"/>
      <c r="AI105" s="49"/>
      <c r="AJ105" s="49" t="str">
        <f>IF(AK65=0,"",IF(NOT(AK100="Bolted"),"","Fastener shear capability:"))</f>
        <v/>
      </c>
      <c r="AK105" s="57"/>
      <c r="AL105" s="19" t="str">
        <f>IF($A$25="mm","N","lbs")</f>
        <v>N</v>
      </c>
      <c r="AM105" s="25" t="str">
        <f>IF(AK65=0,"N/A",IF(NOT(AK100="Bolted"),"N/A",IF(AK105="","BLANK","EQ")))</f>
        <v>N/A</v>
      </c>
      <c r="AO105" s="46"/>
      <c r="AP105" s="60"/>
      <c r="AQ105" s="49"/>
      <c r="AR105" s="49"/>
      <c r="AS105" s="49"/>
      <c r="AT105" s="49" t="str">
        <f>IF(AU65=0,"",IF(NOT(AU100="Bolted"),"","Fastener shear capability:"))</f>
        <v/>
      </c>
      <c r="AU105" s="57"/>
      <c r="AV105" s="19" t="str">
        <f>IF($A$25="mm","N","lbs")</f>
        <v>N</v>
      </c>
      <c r="AW105" s="25" t="str">
        <f>IF(AU65=0,"N/A",IF(NOT(AU100="Bolted"),"N/A",IF(AU105="","BLANK","EQ")))</f>
        <v>N/A</v>
      </c>
      <c r="AY105" s="46"/>
      <c r="AZ105" s="60"/>
      <c r="BA105" s="49"/>
      <c r="BB105" s="49"/>
      <c r="BC105" s="49"/>
      <c r="BD105" s="49" t="str">
        <f>IF(BE65=0,"",IF(NOT(BE100="Bolted"),"","Fastener shear capability:"))</f>
        <v/>
      </c>
      <c r="BE105" s="57"/>
      <c r="BF105" s="19" t="str">
        <f>IF($A$25="mm","N","lbs")</f>
        <v>N</v>
      </c>
      <c r="BG105" s="25" t="str">
        <f>IF(BE65=0,"N/A",IF(NOT(BE100="Bolted"),"N/A",IF(BE105="","BLANK","EQ")))</f>
        <v>N/A</v>
      </c>
      <c r="BI105" s="46"/>
      <c r="BJ105" s="60"/>
      <c r="BK105" s="49"/>
      <c r="BL105" s="49"/>
      <c r="BM105" s="49"/>
      <c r="BN105" s="49" t="str">
        <f>IF(BO65=0,"",IF(NOT(BO100="Bolted"),"","Fastener shear capability:"))</f>
        <v/>
      </c>
      <c r="BO105" s="57"/>
      <c r="BP105" s="19" t="str">
        <f>IF($A$25="mm","N","lbs")</f>
        <v>N</v>
      </c>
      <c r="BQ105" s="25" t="str">
        <f>IF(BO65=0,"N/A",IF(NOT(BO100="Bolted"),"N/A",IF(BO105="","BLANK","EQ")))</f>
        <v>N/A</v>
      </c>
      <c r="BS105" s="272" t="str">
        <f>IF(COUNTIF(CA106:CA132,"BLANK"),"BLANK",IF(OR(SUMPRODUCT(--ISERROR(CA106:CA132))&gt;0,COUNTIF(CA106:CA132,"REJECT")),"REJECT",IF(COUNTIF(CA106:CA132,"CHECK"),"CHECK","EQ")))</f>
        <v>EQ</v>
      </c>
      <c r="BT105" s="272"/>
      <c r="BU105" s="272"/>
      <c r="BV105" s="272"/>
      <c r="BW105" s="272"/>
      <c r="BX105" s="272"/>
      <c r="BY105" s="272"/>
      <c r="BZ105" s="272"/>
      <c r="CA105" s="272"/>
      <c r="CC105" s="272" t="str">
        <f>IF(COUNTIF(CK106:CK132,"BLANK"),"BLANK",IF(OR(SUMPRODUCT(--ISERROR(CK106:CK132))&gt;0,COUNTIF(CK106:CK132,"REJECT")),"REJECT",IF(COUNTIF(CK106:CK132,"CHECK"),"CHECK","EQ")))</f>
        <v>EQ</v>
      </c>
      <c r="CD105" s="272"/>
      <c r="CE105" s="272"/>
      <c r="CF105" s="272"/>
      <c r="CG105" s="272"/>
      <c r="CH105" s="272"/>
      <c r="CI105" s="272"/>
      <c r="CJ105" s="272"/>
      <c r="CK105" s="272"/>
      <c r="CM105" s="272" t="str">
        <f>IF(COUNTIF(CU106:CU132,"BLANK"),"BLANK",IF(OR(SUMPRODUCT(--ISERROR(CU106:CU132))&gt;0,COUNTIF(CU106:CU132,"REJECT")),"REJECT",IF(COUNTIF(CU106:CU132,"CHECK"),"CHECK","EQ")))</f>
        <v>EQ</v>
      </c>
      <c r="CN105" s="272"/>
      <c r="CO105" s="272"/>
      <c r="CP105" s="272"/>
      <c r="CQ105" s="272"/>
      <c r="CR105" s="272"/>
      <c r="CS105" s="272"/>
      <c r="CT105" s="272"/>
      <c r="CU105" s="272"/>
      <c r="CW105" s="272" t="str">
        <f>IF(COUNTIF(DE106:DE132,"BLANK"),"BLANK",IF(OR(SUMPRODUCT(--ISERROR(DE106:DE132))&gt;0,COUNTIF(DE106:DE132,"REJECT")),"REJECT",IF(COUNTIF(DE106:DE132,"CHECK"),"CHECK","EQ")))</f>
        <v>EQ</v>
      </c>
      <c r="CX105" s="272"/>
      <c r="CY105" s="272"/>
      <c r="CZ105" s="272"/>
      <c r="DA105" s="272"/>
      <c r="DB105" s="272"/>
      <c r="DC105" s="272"/>
      <c r="DD105" s="272"/>
      <c r="DE105" s="272"/>
      <c r="DG105" s="272" t="str">
        <f>IF(COUNTIF(DO106:DO132,"BLANK"),"BLANK",IF(OR(SUMPRODUCT(--ISERROR(DO106:DO132))&gt;0,COUNTIF(DO106:DO132,"REJECT")),"REJECT",IF(COUNTIF(DO106:DO132,"CHECK"),"CHECK","EQ")))</f>
        <v>EQ</v>
      </c>
      <c r="DH105" s="272"/>
      <c r="DI105" s="272"/>
      <c r="DJ105" s="272"/>
      <c r="DK105" s="272"/>
      <c r="DL105" s="272"/>
      <c r="DM105" s="272"/>
      <c r="DN105" s="272"/>
      <c r="DO105" s="272"/>
    </row>
    <row r="106" spans="1:119" ht="15" customHeight="1" thickBot="1" x14ac:dyDescent="0.35">
      <c r="A106" s="47"/>
      <c r="B106" s="48"/>
      <c r="C106" s="48"/>
      <c r="D106" s="48"/>
      <c r="E106" s="48"/>
      <c r="F106" s="25"/>
      <c r="G106" s="25"/>
      <c r="I106" s="25"/>
      <c r="K106" s="47" t="s">
        <v>534</v>
      </c>
      <c r="L106" s="289" t="s">
        <v>510</v>
      </c>
      <c r="M106" s="289"/>
      <c r="N106" s="289"/>
      <c r="O106" s="289"/>
      <c r="P106" s="58">
        <f>$G$3</f>
        <v>200000000000</v>
      </c>
      <c r="Q106" s="58" t="e">
        <f>INDEX($G$3:$G$19,MATCH(Q91,$E$3:$E$19,0))</f>
        <v>#N/A</v>
      </c>
      <c r="R106" s="19" t="str">
        <f>IF($A$25="mm","Pa","psi")</f>
        <v>Pa</v>
      </c>
      <c r="S106" s="25" t="str">
        <f>IF(NOT(P89="Other"),"N/A",IF(Q106=0,"BLANK","EQ"))</f>
        <v>N/A</v>
      </c>
      <c r="U106" s="46"/>
      <c r="V106" s="60"/>
      <c r="W106" s="49"/>
      <c r="X106" s="49"/>
      <c r="Y106" s="49"/>
      <c r="Z106" s="49" t="str">
        <f>IF(AA65=0,"",IF(NOT(AA100="Bolted"),"","Min total perimeter of all washers, inserts, brackets on one surface:"))</f>
        <v/>
      </c>
      <c r="AA106" s="50"/>
      <c r="AB106" s="19" t="str">
        <f>IF($A$25="mm","mm","in")</f>
        <v>mm</v>
      </c>
      <c r="AC106" s="25" t="str">
        <f>IF(AA65=0,"N/A",IF(NOT(AA100="Bolted"),"N/A",IF(AA106="","BLANK","EQ")))</f>
        <v>N/A</v>
      </c>
      <c r="AE106" s="46"/>
      <c r="AF106" s="60"/>
      <c r="AG106" s="49"/>
      <c r="AH106" s="49"/>
      <c r="AI106" s="49"/>
      <c r="AJ106" s="49" t="str">
        <f>IF(AK65=0,"",IF(NOT(AK100="Bolted"),"","Min total perimeter of all washers, inserts, brackets on one surface:"))</f>
        <v/>
      </c>
      <c r="AK106" s="50"/>
      <c r="AL106" s="19" t="str">
        <f>IF($A$25="mm","mm","in")</f>
        <v>mm</v>
      </c>
      <c r="AM106" s="25" t="str">
        <f>IF(AK65=0,"N/A",IF(NOT(AK100="Bolted"),"N/A",IF(AK106="","BLANK","EQ")))</f>
        <v>N/A</v>
      </c>
      <c r="AO106" s="46"/>
      <c r="AP106" s="60"/>
      <c r="AQ106" s="49"/>
      <c r="AR106" s="49"/>
      <c r="AS106" s="49"/>
      <c r="AT106" s="49" t="str">
        <f>IF(AU65=0,"",IF(NOT(AU100="Bolted"),"","Min total perimeter of all washers, inserts, brackets on one surface:"))</f>
        <v/>
      </c>
      <c r="AU106" s="50"/>
      <c r="AV106" s="19" t="str">
        <f>IF($A$25="mm","mm","in")</f>
        <v>mm</v>
      </c>
      <c r="AW106" s="25" t="str">
        <f>IF(AU65=0,"N/A",IF(NOT(AU100="Bolted"),"N/A",IF(AU106="","BLANK","EQ")))</f>
        <v>N/A</v>
      </c>
      <c r="AY106" s="46"/>
      <c r="AZ106" s="60"/>
      <c r="BA106" s="49"/>
      <c r="BB106" s="49"/>
      <c r="BC106" s="49"/>
      <c r="BD106" s="49" t="str">
        <f>IF(BE65=0,"",IF(NOT(BE100="Bolted"),"","Min total perimeter of all washers, inserts, brackets on one surface:"))</f>
        <v/>
      </c>
      <c r="BE106" s="50"/>
      <c r="BF106" s="19" t="str">
        <f>IF($A$25="mm","mm","in")</f>
        <v>mm</v>
      </c>
      <c r="BG106" s="25" t="str">
        <f>IF(BE65=0,"N/A",IF(NOT(BE100="Bolted"),"N/A",IF(BE106="","BLANK","EQ")))</f>
        <v>N/A</v>
      </c>
      <c r="BI106" s="46"/>
      <c r="BJ106" s="60"/>
      <c r="BK106" s="49"/>
      <c r="BL106" s="49"/>
      <c r="BM106" s="49"/>
      <c r="BN106" s="49" t="str">
        <f>IF(BO65=0,"",IF(NOT(BO100="Bolted"),"","Min total perimeter of all washers, inserts, brackets on one surface:"))</f>
        <v/>
      </c>
      <c r="BO106" s="50"/>
      <c r="BP106" s="19" t="str">
        <f>IF($A$25="mm","mm","in")</f>
        <v>mm</v>
      </c>
      <c r="BQ106" s="25" t="str">
        <f>IF(BO65=0,"N/A",IF(NOT(BO100="Bolted"),"N/A",IF(BO106="","BLANK","EQ")))</f>
        <v>N/A</v>
      </c>
      <c r="BS106" s="25"/>
      <c r="BT106" s="25"/>
      <c r="BU106" s="25"/>
      <c r="BV106" s="25"/>
      <c r="BW106" s="25"/>
      <c r="BX106" s="49" t="s">
        <v>796</v>
      </c>
      <c r="BY106" s="308" t="s">
        <v>606</v>
      </c>
      <c r="BZ106" s="309"/>
      <c r="CA106" s="25" t="str">
        <f>IF(BY63=0,"N/A","EQ")</f>
        <v>N/A</v>
      </c>
      <c r="CC106" s="25"/>
      <c r="CD106" s="25"/>
      <c r="CE106" s="25"/>
      <c r="CF106" s="25"/>
      <c r="CG106" s="25"/>
      <c r="CH106" s="49" t="s">
        <v>796</v>
      </c>
      <c r="CI106" s="308" t="s">
        <v>606</v>
      </c>
      <c r="CJ106" s="309"/>
      <c r="CK106" s="25" t="str">
        <f>IF(CI63=0,"N/A","EQ")</f>
        <v>N/A</v>
      </c>
      <c r="CM106" s="25"/>
      <c r="CN106" s="25"/>
      <c r="CO106" s="25"/>
      <c r="CP106" s="25"/>
      <c r="CQ106" s="25"/>
      <c r="CR106" s="49" t="s">
        <v>796</v>
      </c>
      <c r="CS106" s="308" t="s">
        <v>606</v>
      </c>
      <c r="CT106" s="309"/>
      <c r="CU106" s="25" t="str">
        <f>IF(CS63=0,"N/A","EQ")</f>
        <v>N/A</v>
      </c>
      <c r="CW106" s="25"/>
      <c r="CX106" s="25"/>
      <c r="CY106" s="25"/>
      <c r="CZ106" s="25"/>
      <c r="DA106" s="25"/>
      <c r="DB106" s="49" t="s">
        <v>796</v>
      </c>
      <c r="DC106" s="308" t="s">
        <v>606</v>
      </c>
      <c r="DD106" s="309"/>
      <c r="DE106" s="25" t="str">
        <f>IF(DC63=0,"N/A","EQ")</f>
        <v>N/A</v>
      </c>
      <c r="DG106" s="25"/>
      <c r="DH106" s="25"/>
      <c r="DI106" s="25"/>
      <c r="DJ106" s="25"/>
      <c r="DK106" s="25"/>
      <c r="DL106" s="49" t="s">
        <v>796</v>
      </c>
      <c r="DM106" s="308" t="s">
        <v>606</v>
      </c>
      <c r="DN106" s="309"/>
      <c r="DO106" s="25" t="str">
        <f>IF(DM63=0,"N/A","EQ")</f>
        <v>N/A</v>
      </c>
    </row>
    <row r="107" spans="1:119" ht="15" customHeight="1" x14ac:dyDescent="0.3">
      <c r="A107" s="47"/>
      <c r="B107" s="49"/>
      <c r="C107" s="49"/>
      <c r="D107" s="49"/>
      <c r="E107" s="49"/>
      <c r="F107" s="47"/>
      <c r="G107" s="47"/>
      <c r="H107" s="47"/>
      <c r="I107" s="25"/>
      <c r="K107" s="289" t="s">
        <v>705</v>
      </c>
      <c r="L107" s="289"/>
      <c r="M107" s="289"/>
      <c r="N107" s="289"/>
      <c r="O107" s="289"/>
      <c r="P107" s="58">
        <f>$I$3</f>
        <v>365000000</v>
      </c>
      <c r="Q107" s="58" t="e">
        <f>INDEX($I$3:$I$19,MATCH(Q91,$E$3:$E$19,0))</f>
        <v>#N/A</v>
      </c>
      <c r="R107" s="75" t="e">
        <f>IF(OR(Q107=0,Q107=""),0,Q107/P107)</f>
        <v>#N/A</v>
      </c>
      <c r="S107" s="25" t="str">
        <f>IF(NOT(P89="Other"),"N/A",IF(OR(Q107="",Q107=0),"BLANK",IF(Q107&gt;=1,"EQ",IF(Q107&gt;=0.95,"CHECK","REJECT"))))</f>
        <v>N/A</v>
      </c>
      <c r="U107" s="46"/>
      <c r="V107" s="60"/>
      <c r="W107" s="49"/>
      <c r="X107" s="49"/>
      <c r="Y107" s="49"/>
      <c r="Z107" s="49" t="str">
        <f>IF(AA65=0,"",IF(NOT(AA100="Bolted"),"","Fastener shear &gt;= Test Load:"))</f>
        <v/>
      </c>
      <c r="AA107" s="58">
        <f>AA102*AA105</f>
        <v>0</v>
      </c>
      <c r="AB107" s="102" t="str">
        <f>IF(AA107=0,"",AA107/$U$23)</f>
        <v/>
      </c>
      <c r="AC107" s="25" t="str">
        <f>IF(AA65=0,"N/A",IF(NOT(AA100="Bolted"),"N/A",IF(AB107&lt;=1,"REJECT","EQ")))</f>
        <v>N/A</v>
      </c>
      <c r="AE107" s="46"/>
      <c r="AF107" s="60"/>
      <c r="AG107" s="49"/>
      <c r="AH107" s="49"/>
      <c r="AI107" s="49"/>
      <c r="AJ107" s="49" t="str">
        <f>IF(AK65=0,"",IF(NOT(AK100="Bolted"),"","Fastener shear &gt;= Test Load:"))</f>
        <v/>
      </c>
      <c r="AK107" s="58">
        <f>AK102*AK105</f>
        <v>0</v>
      </c>
      <c r="AL107" s="102" t="str">
        <f>IF(AK107=0,"",AK107/$U$23)</f>
        <v/>
      </c>
      <c r="AM107" s="25" t="str">
        <f>IF(AK65=0,"N/A",IF(NOT(AK100="Bolted"),"N/A",IF(AL107&lt;=1,"REJECT","EQ")))</f>
        <v>N/A</v>
      </c>
      <c r="AO107" s="46"/>
      <c r="AP107" s="60"/>
      <c r="AQ107" s="49"/>
      <c r="AR107" s="49"/>
      <c r="AS107" s="49"/>
      <c r="AT107" s="49" t="str">
        <f>IF(AU65=0,"",IF(NOT(AU100="Bolted"),"","Fastener shear &gt;= Test Load:"))</f>
        <v/>
      </c>
      <c r="AU107" s="58">
        <f>AU102*AU105</f>
        <v>0</v>
      </c>
      <c r="AV107" s="102" t="str">
        <f>IF(AU107=0,"",AU107/$U$23)</f>
        <v/>
      </c>
      <c r="AW107" s="25" t="str">
        <f>IF(AU65=0,"N/A",IF(NOT(AU100="Bolted"),"N/A",IF(AV107&lt;=1,"REJECT","EQ")))</f>
        <v>N/A</v>
      </c>
      <c r="AY107" s="46"/>
      <c r="AZ107" s="60"/>
      <c r="BA107" s="49"/>
      <c r="BB107" s="49"/>
      <c r="BC107" s="49"/>
      <c r="BD107" s="49" t="str">
        <f>IF(BE65=0,"",IF(NOT(BE100="Bolted"),"","Fastener shear &gt;= Test Load:"))</f>
        <v/>
      </c>
      <c r="BE107" s="58">
        <f>BE102*BE105</f>
        <v>0</v>
      </c>
      <c r="BF107" s="102" t="str">
        <f>IF(BE107=0,"",BE107/$U$23)</f>
        <v/>
      </c>
      <c r="BG107" s="25" t="str">
        <f>IF(BE65=0,"N/A",IF(NOT(BE100="Bolted"),"N/A",IF(BF107&lt;=1,"REJECT","EQ")))</f>
        <v>N/A</v>
      </c>
      <c r="BI107" s="46"/>
      <c r="BJ107" s="60"/>
      <c r="BK107" s="49"/>
      <c r="BL107" s="49"/>
      <c r="BM107" s="49"/>
      <c r="BN107" s="49" t="str">
        <f>IF(BO65=0,"",IF(NOT(BO100="Bolted"),"","Fastener shear &gt;= Test Load:"))</f>
        <v/>
      </c>
      <c r="BO107" s="58">
        <f>BO102*BO105</f>
        <v>0</v>
      </c>
      <c r="BP107" s="102" t="str">
        <f>IF(BO107=0,"",BO107/$U$23)</f>
        <v/>
      </c>
      <c r="BQ107" s="25" t="str">
        <f>IF(BO65=0,"N/A",IF(NOT(BO100="Bolted"),"N/A",IF(BP107&lt;=1,"REJECT","EQ")))</f>
        <v>N/A</v>
      </c>
      <c r="BT107" s="47"/>
      <c r="BU107" s="289" t="s">
        <v>510</v>
      </c>
      <c r="BV107" s="289"/>
      <c r="BW107" s="289"/>
      <c r="BX107" s="289"/>
      <c r="BY107" s="58">
        <f>INDEX($G$3:$G$19,MATCH(BY106,$E$3:$E$19,0))</f>
        <v>200000000000</v>
      </c>
      <c r="BZ107" s="19" t="str">
        <f>IF($A$25="mm","Pa","psi")</f>
        <v>Pa</v>
      </c>
      <c r="CA107" s="25" t="str">
        <f>IF(BY63=0,"N/A","EQ")</f>
        <v>N/A</v>
      </c>
      <c r="CD107" s="47"/>
      <c r="CE107" s="289" t="s">
        <v>510</v>
      </c>
      <c r="CF107" s="289"/>
      <c r="CG107" s="289"/>
      <c r="CH107" s="289"/>
      <c r="CI107" s="58">
        <f>INDEX($G$3:$G$19,MATCH(CI106,$E$3:$E$19,0))</f>
        <v>200000000000</v>
      </c>
      <c r="CJ107" s="19" t="str">
        <f>IF($A$25="mm","Pa","psi")</f>
        <v>Pa</v>
      </c>
      <c r="CK107" s="25" t="str">
        <f>IF(CI63=0,"N/A","EQ")</f>
        <v>N/A</v>
      </c>
      <c r="CN107" s="47"/>
      <c r="CO107" s="289" t="s">
        <v>510</v>
      </c>
      <c r="CP107" s="289"/>
      <c r="CQ107" s="289"/>
      <c r="CR107" s="289"/>
      <c r="CS107" s="58">
        <f>INDEX($G$3:$G$19,MATCH(CS106,$E$3:$E$19,0))</f>
        <v>200000000000</v>
      </c>
      <c r="CT107" s="19" t="str">
        <f>IF($A$25="mm","Pa","psi")</f>
        <v>Pa</v>
      </c>
      <c r="CU107" s="25" t="str">
        <f>IF(CS63=0,"N/A","EQ")</f>
        <v>N/A</v>
      </c>
      <c r="CX107" s="47"/>
      <c r="CY107" s="289" t="s">
        <v>510</v>
      </c>
      <c r="CZ107" s="289"/>
      <c r="DA107" s="289"/>
      <c r="DB107" s="289"/>
      <c r="DC107" s="58">
        <f>INDEX($G$3:$G$19,MATCH(DC106,$E$3:$E$19,0))</f>
        <v>200000000000</v>
      </c>
      <c r="DD107" s="19" t="str">
        <f>IF($A$25="mm","Pa","psi")</f>
        <v>Pa</v>
      </c>
      <c r="DE107" s="25" t="str">
        <f>IF(DC63=0,"N/A","EQ")</f>
        <v>N/A</v>
      </c>
      <c r="DH107" s="47"/>
      <c r="DI107" s="289" t="s">
        <v>510</v>
      </c>
      <c r="DJ107" s="289"/>
      <c r="DK107" s="289"/>
      <c r="DL107" s="289"/>
      <c r="DM107" s="58">
        <f>INDEX($G$3:$G$19,MATCH(DM106,$E$3:$E$19,0))</f>
        <v>200000000000</v>
      </c>
      <c r="DN107" s="19" t="str">
        <f>IF($A$25="mm","Pa","psi")</f>
        <v>Pa</v>
      </c>
      <c r="DO107" s="25" t="str">
        <f>IF(DM63=0,"N/A","EQ")</f>
        <v>N/A</v>
      </c>
    </row>
    <row r="108" spans="1:119" ht="15" customHeight="1" x14ac:dyDescent="0.3">
      <c r="A108" s="25"/>
      <c r="B108" s="49"/>
      <c r="C108" s="49"/>
      <c r="D108" s="49"/>
      <c r="E108" s="49"/>
      <c r="F108" s="25"/>
      <c r="G108" s="25"/>
      <c r="H108" s="25"/>
      <c r="I108" s="25"/>
      <c r="K108" s="60"/>
      <c r="L108" s="289" t="s">
        <v>708</v>
      </c>
      <c r="M108" s="289"/>
      <c r="N108" s="289"/>
      <c r="O108" s="289"/>
      <c r="P108" s="58">
        <f>$K$3</f>
        <v>210604999.99999997</v>
      </c>
      <c r="Q108" s="58" t="e">
        <f>INDEX($K$3:$K$19,MATCH(Q91,$E$3:$E$19,0))</f>
        <v>#N/A</v>
      </c>
      <c r="R108" s="75" t="e">
        <f>IF(OR(Q108=0,Q108=""),0,Q108/P108)</f>
        <v>#N/A</v>
      </c>
      <c r="S108" s="25" t="str">
        <f>IF(NOT(P89="Other"),"N/A",IF(OR(Q108="",Q108=0),"BLANK",IF(Q108&gt;=1,"EQ",IF(Q108&gt;=0.95,"CHECK","REJECT"))))</f>
        <v>N/A</v>
      </c>
      <c r="U108" s="46"/>
      <c r="V108" s="60"/>
      <c r="W108" s="49"/>
      <c r="X108" s="49"/>
      <c r="Y108" s="49"/>
      <c r="Z108" s="49" t="str">
        <f>IF(AA65=0,"",IF(NOT(AA100="Bolted"),"","Accumulator Pullout &gt;= Test Load:"))</f>
        <v/>
      </c>
      <c r="AA108" s="58">
        <f>AA98*AA99*AA106*IF($A$25="mm",1/10^6,1)</f>
        <v>0</v>
      </c>
      <c r="AB108" s="102" t="str">
        <f>IF(AA108=0,"",AA108/$U$23)</f>
        <v/>
      </c>
      <c r="AC108" s="25" t="str">
        <f>IF(AA65=0,"N/A",IF(NOT(AA100="Bolted"),"N/A",IF(AB108&lt;=1,"REJECT","EQ")))</f>
        <v>N/A</v>
      </c>
      <c r="AE108" s="46"/>
      <c r="AF108" s="60"/>
      <c r="AG108" s="49"/>
      <c r="AH108" s="49"/>
      <c r="AI108" s="49"/>
      <c r="AJ108" s="49" t="str">
        <f>IF(AK65=0,"",IF(NOT(AK100="Bolted"),"","Accumulator Pullout &gt;= Test Load:"))</f>
        <v/>
      </c>
      <c r="AK108" s="58">
        <f>AK98*AK99*AK106*IF($A$25="mm",1/10^6,1)</f>
        <v>0</v>
      </c>
      <c r="AL108" s="102" t="str">
        <f>IF(AK108=0,"",AK108/$U$23)</f>
        <v/>
      </c>
      <c r="AM108" s="25" t="str">
        <f>IF(AK65=0,"N/A",IF(NOT(AK100="Bolted"),"N/A",IF(AL108&lt;=1,"REJECT","EQ")))</f>
        <v>N/A</v>
      </c>
      <c r="AO108" s="46"/>
      <c r="AP108" s="60"/>
      <c r="AQ108" s="49"/>
      <c r="AR108" s="49"/>
      <c r="AS108" s="49"/>
      <c r="AT108" s="49" t="str">
        <f>IF(AU65=0,"",IF(NOT(AU100="Bolted"),"","Accumulator Pullout &gt;= Test Load:"))</f>
        <v/>
      </c>
      <c r="AU108" s="58">
        <f>AU98*AU99*AU106*IF($A$25="mm",1/10^6,1)</f>
        <v>0</v>
      </c>
      <c r="AV108" s="102" t="str">
        <f>IF(AU108=0,"",AU108/$U$23)</f>
        <v/>
      </c>
      <c r="AW108" s="25" t="str">
        <f>IF(AU65=0,"N/A",IF(NOT(AU100="Bolted"),"N/A",IF(AV108&lt;=1,"REJECT","EQ")))</f>
        <v>N/A</v>
      </c>
      <c r="AY108" s="46"/>
      <c r="AZ108" s="60"/>
      <c r="BA108" s="49"/>
      <c r="BB108" s="49"/>
      <c r="BC108" s="49"/>
      <c r="BD108" s="49" t="str">
        <f>IF(BE65=0,"",IF(NOT(BE100="Bolted"),"","Accumulator Pullout &gt;= Test Load:"))</f>
        <v/>
      </c>
      <c r="BE108" s="58">
        <f>BE98*BE99*BE106*IF($A$25="mm",1/10^6,1)</f>
        <v>0</v>
      </c>
      <c r="BF108" s="102" t="str">
        <f>IF(BE108=0,"",BE108/$U$23)</f>
        <v/>
      </c>
      <c r="BG108" s="25" t="str">
        <f>IF(BE65=0,"N/A",IF(NOT(BE100="Bolted"),"N/A",IF(BF108&lt;=1,"REJECT","EQ")))</f>
        <v>N/A</v>
      </c>
      <c r="BI108" s="46"/>
      <c r="BJ108" s="60"/>
      <c r="BK108" s="49"/>
      <c r="BL108" s="49"/>
      <c r="BM108" s="49"/>
      <c r="BN108" s="49" t="str">
        <f>IF(BO65=0,"",IF(NOT(BO100="Bolted"),"","Accumulator Pullout &gt;= Test Load:"))</f>
        <v/>
      </c>
      <c r="BO108" s="58">
        <f>BO98*BO99*BO106*IF($A$25="mm",1/10^6,1)</f>
        <v>0</v>
      </c>
      <c r="BP108" s="102" t="str">
        <f>IF(BO108=0,"",BO108/$U$23)</f>
        <v/>
      </c>
      <c r="BQ108" s="25" t="str">
        <f>IF(BO65=0,"N/A",IF(NOT(BO100="Bolted"),"N/A",IF(BP108&lt;=1,"REJECT","EQ")))</f>
        <v>N/A</v>
      </c>
      <c r="BS108" s="101"/>
      <c r="BT108" s="289" t="s">
        <v>705</v>
      </c>
      <c r="BU108" s="289"/>
      <c r="BV108" s="289"/>
      <c r="BW108" s="289"/>
      <c r="BX108" s="289"/>
      <c r="BY108" s="58">
        <f>INDEX($I$3:$I$19,MATCH(BY106,$E$3:$E$19,0))</f>
        <v>365000000</v>
      </c>
      <c r="BZ108" s="19" t="str">
        <f>IF($A$25="mm","Pa","psi")</f>
        <v>Pa</v>
      </c>
      <c r="CA108" s="25" t="str">
        <f>IF(BY63=0,"N/A","EQ")</f>
        <v>N/A</v>
      </c>
      <c r="CC108" s="101"/>
      <c r="CD108" s="289" t="s">
        <v>705</v>
      </c>
      <c r="CE108" s="289"/>
      <c r="CF108" s="289"/>
      <c r="CG108" s="289"/>
      <c r="CH108" s="289"/>
      <c r="CI108" s="58">
        <f>INDEX($I$3:$I$19,MATCH(CI106,$E$3:$E$19,0))</f>
        <v>365000000</v>
      </c>
      <c r="CJ108" s="19" t="str">
        <f>IF($A$25="mm","Pa","psi")</f>
        <v>Pa</v>
      </c>
      <c r="CK108" s="25" t="str">
        <f>IF(CI63=0,"N/A","EQ")</f>
        <v>N/A</v>
      </c>
      <c r="CM108" s="101"/>
      <c r="CN108" s="289" t="s">
        <v>705</v>
      </c>
      <c r="CO108" s="289"/>
      <c r="CP108" s="289"/>
      <c r="CQ108" s="289"/>
      <c r="CR108" s="289"/>
      <c r="CS108" s="58">
        <f>INDEX($I$3:$I$19,MATCH(CS106,$E$3:$E$19,0))</f>
        <v>365000000</v>
      </c>
      <c r="CT108" s="19" t="str">
        <f>IF($A$25="mm","Pa","psi")</f>
        <v>Pa</v>
      </c>
      <c r="CU108" s="25" t="str">
        <f>IF(CS63=0,"N/A","EQ")</f>
        <v>N/A</v>
      </c>
      <c r="CW108" s="101"/>
      <c r="CX108" s="289" t="s">
        <v>705</v>
      </c>
      <c r="CY108" s="289"/>
      <c r="CZ108" s="289"/>
      <c r="DA108" s="289"/>
      <c r="DB108" s="289"/>
      <c r="DC108" s="58">
        <f>INDEX($I$3:$I$19,MATCH(DC106,$E$3:$E$19,0))</f>
        <v>365000000</v>
      </c>
      <c r="DD108" s="19" t="str">
        <f>IF($A$25="mm","Pa","psi")</f>
        <v>Pa</v>
      </c>
      <c r="DE108" s="25" t="str">
        <f>IF(DC63=0,"N/A","EQ")</f>
        <v>N/A</v>
      </c>
      <c r="DG108" s="101"/>
      <c r="DH108" s="289" t="s">
        <v>705</v>
      </c>
      <c r="DI108" s="289"/>
      <c r="DJ108" s="289"/>
      <c r="DK108" s="289"/>
      <c r="DL108" s="289"/>
      <c r="DM108" s="58">
        <f>INDEX($I$3:$I$19,MATCH(DM106,$E$3:$E$19,0))</f>
        <v>365000000</v>
      </c>
      <c r="DN108" s="19" t="str">
        <f>IF($A$25="mm","Pa","psi")</f>
        <v>Pa</v>
      </c>
      <c r="DO108" s="25" t="str">
        <f>IF(DM63=0,"N/A","EQ")</f>
        <v>N/A</v>
      </c>
    </row>
    <row r="109" spans="1:119" ht="15" customHeight="1" x14ac:dyDescent="0.3">
      <c r="A109" s="47"/>
      <c r="B109" s="49"/>
      <c r="C109" s="49"/>
      <c r="D109" s="49"/>
      <c r="E109" s="49"/>
      <c r="F109" s="25"/>
      <c r="G109" s="25"/>
      <c r="I109" s="25"/>
      <c r="K109" s="287" t="s">
        <v>513</v>
      </c>
      <c r="L109" s="287"/>
      <c r="M109" s="288" t="s">
        <v>797</v>
      </c>
      <c r="N109" s="288"/>
      <c r="O109" s="288"/>
      <c r="P109" s="92">
        <f>P106*P105</f>
        <v>0</v>
      </c>
      <c r="Q109" s="92" t="e">
        <f>IF(OR(NOT(P89="Other"),O101="",Q106=0),0,Q106*Q105)</f>
        <v>#N/A</v>
      </c>
      <c r="R109" s="159" t="e">
        <f>IF(OR(P109=0,Q109=""),0,Q109/P109)</f>
        <v>#N/A</v>
      </c>
      <c r="S109" s="55" t="str">
        <f>IF(NOT(P$89="Other"),"N/A",IF(OR(Q105=0,Q106=0),"BLANK",IF(R109&gt;=1,"EQ",IF(R109&gt;=0.95,"CHECK","REJECT"))))</f>
        <v>N/A</v>
      </c>
      <c r="U109" s="46"/>
      <c r="V109" s="60"/>
      <c r="W109" s="49"/>
      <c r="X109" s="49"/>
      <c r="Y109" s="49"/>
      <c r="Z109" s="49" t="str">
        <f>IF(AA65=0,"",IF(NOT(AA100="Bolted"),"","Accumulator Tearout &gt;= Test Load:"))</f>
        <v/>
      </c>
      <c r="AA109" s="58">
        <f>2*AA98*AA99*AA102*AA101*IF($A$25="mm",1/10^6,1)</f>
        <v>0</v>
      </c>
      <c r="AB109" s="102" t="str">
        <f>IF(AA109=0,"",AA109/$U$23)</f>
        <v/>
      </c>
      <c r="AC109" s="25" t="str">
        <f>IF(AA65=0,"N/A",IF(NOT(AA100="Bolted"),"N/A",IF(AB109&lt;=1,"REJECT","EQ")))</f>
        <v>N/A</v>
      </c>
      <c r="AE109" s="46"/>
      <c r="AF109" s="60"/>
      <c r="AG109" s="49"/>
      <c r="AH109" s="49"/>
      <c r="AI109" s="49"/>
      <c r="AJ109" s="49" t="str">
        <f>IF(AK65=0,"",IF(NOT(AK100="Bolted"),"","Accumulator Tearout &gt;= Test Load:"))</f>
        <v/>
      </c>
      <c r="AK109" s="58">
        <f>2*AK98*AK99*AK102*AK101*IF($A$25="mm",1/10^6,1)</f>
        <v>0</v>
      </c>
      <c r="AL109" s="102" t="str">
        <f>IF(AK109=0,"",AK109/$U$23)</f>
        <v/>
      </c>
      <c r="AM109" s="25" t="str">
        <f>IF(AK65=0,"N/A",IF(NOT(AK100="Bolted"),"N/A",IF(AL109&lt;=1,"REJECT","EQ")))</f>
        <v>N/A</v>
      </c>
      <c r="AO109" s="46"/>
      <c r="AP109" s="60"/>
      <c r="AQ109" s="49"/>
      <c r="AR109" s="49"/>
      <c r="AS109" s="49"/>
      <c r="AT109" s="49" t="str">
        <f>IF(AU65=0,"",IF(NOT(AU100="Bolted"),"","Accumulator Tearout &gt;= Test Load:"))</f>
        <v/>
      </c>
      <c r="AU109" s="58">
        <f>2*AU98*AU99*AU102*AU101*IF($A$25="mm",1/10^6,1)</f>
        <v>0</v>
      </c>
      <c r="AV109" s="102" t="str">
        <f>IF(AU109=0,"",AU109/$U$23)</f>
        <v/>
      </c>
      <c r="AW109" s="25" t="str">
        <f>IF(AU65=0,"N/A",IF(NOT(AU100="Bolted"),"N/A",IF(AV109&lt;=1,"REJECT","EQ")))</f>
        <v>N/A</v>
      </c>
      <c r="AY109" s="46"/>
      <c r="AZ109" s="60"/>
      <c r="BA109" s="49"/>
      <c r="BB109" s="49"/>
      <c r="BC109" s="49"/>
      <c r="BD109" s="49" t="str">
        <f>IF(BE65=0,"",IF(NOT(BE100="Bolted"),"","Accumulator Tearout &gt;= Test Load:"))</f>
        <v/>
      </c>
      <c r="BE109" s="58">
        <f>2*BE98*BE99*BE102*BE101*IF($A$25="mm",1/10^6,1)</f>
        <v>0</v>
      </c>
      <c r="BF109" s="102" t="str">
        <f>IF(BE109=0,"",BE109/$U$23)</f>
        <v/>
      </c>
      <c r="BG109" s="25" t="str">
        <f>IF(BE65=0,"N/A",IF(NOT(BE100="Bolted"),"N/A",IF(BF109&lt;=1,"REJECT","EQ")))</f>
        <v>N/A</v>
      </c>
      <c r="BI109" s="46"/>
      <c r="BJ109" s="60"/>
      <c r="BK109" s="49"/>
      <c r="BL109" s="49"/>
      <c r="BM109" s="49"/>
      <c r="BN109" s="49" t="str">
        <f>IF(BO65=0,"",IF(NOT(BO100="Bolted"),"","Accumulator Tearout &gt;= Test Load:"))</f>
        <v/>
      </c>
      <c r="BO109" s="58">
        <f>2*BO98*BO99*BO102*BO101*IF($A$25="mm",1/10^6,1)</f>
        <v>0</v>
      </c>
      <c r="BP109" s="102" t="str">
        <f>IF(BO109=0,"",BO109/$U$23)</f>
        <v/>
      </c>
      <c r="BQ109" s="25" t="str">
        <f>IF(BO65=0,"N/A",IF(NOT(BO100="Bolted"),"N/A",IF(BP109&lt;=1,"REJECT","EQ")))</f>
        <v>N/A</v>
      </c>
      <c r="BS109" s="46"/>
      <c r="BT109" s="60"/>
      <c r="BU109" s="289" t="s">
        <v>708</v>
      </c>
      <c r="BV109" s="289"/>
      <c r="BW109" s="289"/>
      <c r="BX109" s="289"/>
      <c r="BY109" s="58">
        <f>INDEX($K$3:$K$19,MATCH(BY106,$E$3:$E$19,0))</f>
        <v>210604999.99999997</v>
      </c>
      <c r="BZ109" s="19" t="str">
        <f>IF($A$25="mm","Pa","psi")</f>
        <v>Pa</v>
      </c>
      <c r="CA109" s="25" t="str">
        <f>IF(BY63=0,"N/A","EQ")</f>
        <v>N/A</v>
      </c>
      <c r="CC109" s="46"/>
      <c r="CD109" s="60"/>
      <c r="CE109" s="289" t="s">
        <v>708</v>
      </c>
      <c r="CF109" s="289"/>
      <c r="CG109" s="289"/>
      <c r="CH109" s="289"/>
      <c r="CI109" s="58">
        <f>INDEX($K$3:$K$19,MATCH(CI106,$E$3:$E$19,0))</f>
        <v>210604999.99999997</v>
      </c>
      <c r="CJ109" s="19" t="str">
        <f>IF($A$25="mm","Pa","psi")</f>
        <v>Pa</v>
      </c>
      <c r="CK109" s="25" t="str">
        <f>IF(CI63=0,"N/A","EQ")</f>
        <v>N/A</v>
      </c>
      <c r="CM109" s="46"/>
      <c r="CN109" s="60"/>
      <c r="CO109" s="289" t="s">
        <v>708</v>
      </c>
      <c r="CP109" s="289"/>
      <c r="CQ109" s="289"/>
      <c r="CR109" s="289"/>
      <c r="CS109" s="58">
        <f>INDEX($K$3:$K$19,MATCH(CS106,$E$3:$E$19,0))</f>
        <v>210604999.99999997</v>
      </c>
      <c r="CT109" s="19" t="str">
        <f>IF($A$25="mm","Pa","psi")</f>
        <v>Pa</v>
      </c>
      <c r="CU109" s="25" t="str">
        <f>IF(CS63=0,"N/A","EQ")</f>
        <v>N/A</v>
      </c>
      <c r="CW109" s="46"/>
      <c r="CX109" s="60"/>
      <c r="CY109" s="289" t="s">
        <v>708</v>
      </c>
      <c r="CZ109" s="289"/>
      <c r="DA109" s="289"/>
      <c r="DB109" s="289"/>
      <c r="DC109" s="58">
        <f>INDEX($K$3:$K$19,MATCH(DC106,$E$3:$E$19,0))</f>
        <v>210604999.99999997</v>
      </c>
      <c r="DD109" s="19" t="str">
        <f>IF($A$25="mm","Pa","psi")</f>
        <v>Pa</v>
      </c>
      <c r="DE109" s="25" t="str">
        <f>IF(DC63=0,"N/A","EQ")</f>
        <v>N/A</v>
      </c>
      <c r="DG109" s="46"/>
      <c r="DH109" s="60"/>
      <c r="DI109" s="289" t="s">
        <v>708</v>
      </c>
      <c r="DJ109" s="289"/>
      <c r="DK109" s="289"/>
      <c r="DL109" s="289"/>
      <c r="DM109" s="58">
        <f>INDEX($K$3:$K$19,MATCH(DM106,$E$3:$E$19,0))</f>
        <v>210604999.99999997</v>
      </c>
      <c r="DN109" s="19" t="str">
        <f>IF($A$25="mm","Pa","psi")</f>
        <v>Pa</v>
      </c>
      <c r="DO109" s="25" t="str">
        <f>IF(DM63=0,"N/A","EQ")</f>
        <v>N/A</v>
      </c>
    </row>
    <row r="110" spans="1:119" ht="15" customHeight="1" thickBot="1" x14ac:dyDescent="0.35">
      <c r="B110" s="49"/>
      <c r="C110" s="49"/>
      <c r="D110" s="49"/>
      <c r="E110" s="49"/>
      <c r="F110" s="25"/>
      <c r="G110" s="25"/>
      <c r="I110" s="25"/>
      <c r="K110" s="72" t="s">
        <v>798</v>
      </c>
      <c r="L110" s="288" t="s">
        <v>799</v>
      </c>
      <c r="M110" s="288"/>
      <c r="N110" s="288"/>
      <c r="O110" s="288"/>
      <c r="P110" s="92">
        <f>P107*P104</f>
        <v>0</v>
      </c>
      <c r="Q110" s="92" t="e">
        <f>IF(OR(P85="Tube",O100="",Q106=0),0,Q107*Q104)</f>
        <v>#N/A</v>
      </c>
      <c r="R110" s="159" t="e">
        <f>IF(OR(P110=0,Q110=""),0,Q110/P110)</f>
        <v>#N/A</v>
      </c>
      <c r="S110" s="55" t="str">
        <f>IF(NOT(P$89="Other"),"N/A",IF(OR(Q104=0,Q107=0),"BLANK",IF(R110&gt;=1,"EQ",IF(R110&gt;=0.95,"CHECK","REJECT"))))</f>
        <v>N/A</v>
      </c>
      <c r="U110" s="46"/>
      <c r="V110" s="60"/>
      <c r="W110" s="49"/>
      <c r="X110" s="49"/>
      <c r="Y110" s="49"/>
      <c r="Z110" s="49" t="str">
        <f>IF(AA65=0,"",IF(NOT(AA100="Welded"),"","Max bending load &lt;= Shear strength:"))</f>
        <v/>
      </c>
      <c r="AA110" s="58">
        <f>MAX(AA86,AA90)</f>
        <v>0</v>
      </c>
      <c r="AB110" s="102">
        <f>AA110/AA98</f>
        <v>0</v>
      </c>
      <c r="AC110" s="25" t="str">
        <f>IF(AA65=0,"N/A",IF(NOT(AA100="Welded"),"N/A",IF(AB110&gt;1,"REJECT","EQ")))</f>
        <v>N/A</v>
      </c>
      <c r="AE110" s="46"/>
      <c r="AF110" s="60"/>
      <c r="AG110" s="49"/>
      <c r="AH110" s="49"/>
      <c r="AI110" s="49"/>
      <c r="AJ110" s="49" t="str">
        <f>IF(AK65=0,"",IF(NOT(AK100="Welded"),"","Max bending load &lt;= Shear strength:"))</f>
        <v/>
      </c>
      <c r="AK110" s="58">
        <f>MAX(AK86,AK90)</f>
        <v>0</v>
      </c>
      <c r="AL110" s="102">
        <f>AK110/AK98</f>
        <v>0</v>
      </c>
      <c r="AM110" s="25" t="str">
        <f>IF(AK65=0,"N/A",IF(NOT(AK100="Welded"),"N/A",IF(AL110&gt;1,"REJECT","EQ")))</f>
        <v>N/A</v>
      </c>
      <c r="AO110" s="46"/>
      <c r="AP110" s="60"/>
      <c r="AQ110" s="49"/>
      <c r="AR110" s="49"/>
      <c r="AS110" s="49"/>
      <c r="AT110" s="49" t="str">
        <f>IF(AU65=0,"",IF(NOT(AU100="Welded"),"","Max bending load &lt;= Shear strength:"))</f>
        <v/>
      </c>
      <c r="AU110" s="58">
        <f>MAX(AU86,AU90)</f>
        <v>0</v>
      </c>
      <c r="AV110" s="102">
        <f>AU110/AU98</f>
        <v>0</v>
      </c>
      <c r="AW110" s="25" t="str">
        <f>IF(AU65=0,"N/A",IF(NOT(AU100="Welded"),"N/A",IF(AV110&gt;1,"REJECT","EQ")))</f>
        <v>N/A</v>
      </c>
      <c r="AY110" s="46"/>
      <c r="AZ110" s="60"/>
      <c r="BA110" s="49"/>
      <c r="BB110" s="49"/>
      <c r="BC110" s="49"/>
      <c r="BD110" s="49" t="str">
        <f>IF(BE65=0,"",IF(NOT(BE100="Welded"),"","Max bending load &lt;= Shear strength:"))</f>
        <v/>
      </c>
      <c r="BE110" s="58">
        <f>MAX(BE86,BE90)</f>
        <v>0</v>
      </c>
      <c r="BF110" s="19">
        <f>BE110/BE98</f>
        <v>0</v>
      </c>
      <c r="BG110" s="25" t="str">
        <f>IF(BE65=0,"N/A",IF(NOT(BE100="Welded"),"N/A",IF(BF110&gt;1,"REJECT","EQ")))</f>
        <v>N/A</v>
      </c>
      <c r="BI110" s="46"/>
      <c r="BJ110" s="60"/>
      <c r="BK110" s="49"/>
      <c r="BL110" s="49"/>
      <c r="BM110" s="49"/>
      <c r="BN110" s="49" t="str">
        <f>IF(BO65=0,"",IF(NOT(BO100="Welded"),"","Max bending load &lt;= Shear strength:"))</f>
        <v/>
      </c>
      <c r="BO110" s="58">
        <f>MAX(BO86,BO90)</f>
        <v>0</v>
      </c>
      <c r="BP110" s="102">
        <f>BO110/BO98</f>
        <v>0</v>
      </c>
      <c r="BQ110" s="25" t="str">
        <f>IF(BO65=0,"N/A",IF(NOT(BO100="Welded"),"N/A",IF(BP110&gt;1,"REJECT","EQ")))</f>
        <v>N/A</v>
      </c>
      <c r="BS110" s="46"/>
      <c r="BT110" s="60"/>
      <c r="BU110" s="49"/>
      <c r="BV110" s="49"/>
      <c r="BW110" s="49"/>
      <c r="BX110" s="49" t="str">
        <f>IF(BY63=0,"","Chassis total skin/wall thickness:")</f>
        <v/>
      </c>
      <c r="BY110" s="50"/>
      <c r="BZ110" s="19" t="str">
        <f>IF($A$25="mm","mm","in")</f>
        <v>mm</v>
      </c>
      <c r="CA110" s="25" t="str">
        <f>IF(BY63=0,"N/A",IF(BY110="","BLANK","EQ"))</f>
        <v>N/A</v>
      </c>
      <c r="CC110" s="46"/>
      <c r="CD110" s="60"/>
      <c r="CE110" s="49"/>
      <c r="CF110" s="49"/>
      <c r="CG110" s="49"/>
      <c r="CH110" s="49" t="str">
        <f>IF(CI63=0,"","Chassis skin/wall thickness:")</f>
        <v/>
      </c>
      <c r="CI110" s="50"/>
      <c r="CJ110" s="19" t="str">
        <f>IF($A$25="mm","mm","in")</f>
        <v>mm</v>
      </c>
      <c r="CK110" s="25" t="str">
        <f>IF(CI63=0,"N/A",IF(CI110="","BLANK","EQ"))</f>
        <v>N/A</v>
      </c>
      <c r="CM110" s="46"/>
      <c r="CN110" s="60"/>
      <c r="CO110" s="49"/>
      <c r="CP110" s="49"/>
      <c r="CQ110" s="49"/>
      <c r="CR110" s="49" t="str">
        <f>IF(CS63=0,"","Chassis skin/wall thickness:")</f>
        <v/>
      </c>
      <c r="CS110" s="50"/>
      <c r="CT110" s="19" t="str">
        <f>IF($A$25="mm","mm","in")</f>
        <v>mm</v>
      </c>
      <c r="CU110" s="25" t="str">
        <f>IF(CS63=0,"N/A",IF(CS110="","BLANK","EQ"))</f>
        <v>N/A</v>
      </c>
      <c r="CW110" s="46"/>
      <c r="CX110" s="60"/>
      <c r="CY110" s="49"/>
      <c r="CZ110" s="49"/>
      <c r="DA110" s="49"/>
      <c r="DB110" s="49" t="str">
        <f>IF(DC63=0,"","Chassis skin/wall thickness:")</f>
        <v/>
      </c>
      <c r="DC110" s="50"/>
      <c r="DD110" s="19" t="str">
        <f>IF($A$25="mm","mm","in")</f>
        <v>mm</v>
      </c>
      <c r="DE110" s="25" t="str">
        <f>IF(DC63=0,"N/A",IF(DC110="","BLANK","EQ"))</f>
        <v>N/A</v>
      </c>
      <c r="DG110" s="46"/>
      <c r="DH110" s="60"/>
      <c r="DI110" s="49"/>
      <c r="DJ110" s="49"/>
      <c r="DK110" s="49"/>
      <c r="DL110" s="49" t="str">
        <f>IF(DM63=0,"","Chassis skin/wall thickness:")</f>
        <v/>
      </c>
      <c r="DM110" s="50"/>
      <c r="DN110" s="19" t="str">
        <f>IF($A$25="mm","mm","in")</f>
        <v>mm</v>
      </c>
      <c r="DO110" s="25" t="str">
        <f>IF(DM63=0,"N/A",IF(DM110="","BLANK","EQ"))</f>
        <v>N/A</v>
      </c>
    </row>
    <row r="111" spans="1:119" ht="15" customHeight="1" thickBot="1" x14ac:dyDescent="0.35">
      <c r="A111" s="47"/>
      <c r="B111" s="49"/>
      <c r="C111" s="49"/>
      <c r="D111" s="49"/>
      <c r="E111" s="49"/>
      <c r="F111" s="25"/>
      <c r="G111" s="25"/>
      <c r="I111" s="25"/>
      <c r="K111" s="72" t="s">
        <v>519</v>
      </c>
      <c r="L111" s="288" t="s">
        <v>800</v>
      </c>
      <c r="M111" s="288"/>
      <c r="N111" s="288"/>
      <c r="O111" s="288"/>
      <c r="P111" s="92">
        <f>4*P107*P105/(P103/2)</f>
        <v>0</v>
      </c>
      <c r="Q111" s="92" t="e">
        <f>IF(OR(P85="Tube",O100="",Q106=0),0,4*Q107*Q105/(Q103/2))</f>
        <v>#N/A</v>
      </c>
      <c r="R111" s="159" t="e">
        <f>IF(OR(P111=0,Q111=""),0,Q111/P111)</f>
        <v>#N/A</v>
      </c>
      <c r="S111" s="55" t="str">
        <f>IF(NOT(P$89="Other"),"N/A",IF(OR(Q105=0,Q107=0),"BLANK",IF(R111&gt;=1,"EQ",IF(R111&gt;=0.95,"CHECK","REJECT"))))</f>
        <v>N/A</v>
      </c>
      <c r="U111" s="49"/>
      <c r="V111" s="60"/>
      <c r="W111" s="60"/>
      <c r="X111" s="60"/>
      <c r="Y111" s="60"/>
      <c r="Z111" s="64" t="str">
        <f>IF(AA65=0,"",IF(NOT(AA100="Welded"),"","Total weld perimeter:"))</f>
        <v/>
      </c>
      <c r="AA111" s="160"/>
      <c r="AB111" s="19" t="str">
        <f>IF($A$25="mm","mm","in")</f>
        <v>mm</v>
      </c>
      <c r="AC111" s="55" t="str">
        <f>IF(AA65=0,"N/A",IF(NOT(AA100="Welded"),"N/A",IF(AA111="","BLANK","EQ")))</f>
        <v>N/A</v>
      </c>
      <c r="AE111" s="49"/>
      <c r="AF111" s="60"/>
      <c r="AG111" s="60"/>
      <c r="AH111" s="60"/>
      <c r="AI111" s="60"/>
      <c r="AJ111" s="64" t="str">
        <f>IF(AK65=0,"",IF(NOT(AK100="Welded"),"","Total weld perimeter:"))</f>
        <v/>
      </c>
      <c r="AK111" s="160">
        <v>2</v>
      </c>
      <c r="AL111" s="19" t="str">
        <f>IF($A$25="mm","mm","in")</f>
        <v>mm</v>
      </c>
      <c r="AM111" s="55" t="str">
        <f>IF(AK65=0,"N/A",IF(NOT(AK100="Welded"),"N/A",IF(AK111="","BLANK","EQ")))</f>
        <v>N/A</v>
      </c>
      <c r="AO111" s="49"/>
      <c r="AP111" s="60"/>
      <c r="AQ111" s="60"/>
      <c r="AR111" s="60"/>
      <c r="AS111" s="60"/>
      <c r="AT111" s="64" t="str">
        <f>IF(AU65=0,"",IF(NOT(AU100="Welded"),"","Total weld perimeter:"))</f>
        <v/>
      </c>
      <c r="AU111" s="160"/>
      <c r="AV111" s="19" t="str">
        <f>IF($A$25="mm","mm","in")</f>
        <v>mm</v>
      </c>
      <c r="AW111" s="55" t="str">
        <f>IF(AU65=0,"N/A",IF(NOT(AU100="Welded"),"N/A",IF(AU111="","BLANK","EQ")))</f>
        <v>N/A</v>
      </c>
      <c r="AY111" s="49"/>
      <c r="AZ111" s="60"/>
      <c r="BA111" s="60"/>
      <c r="BB111" s="60"/>
      <c r="BC111" s="60"/>
      <c r="BD111" s="64" t="str">
        <f>IF(BE65=0,"",IF(NOT(BE100="Welded"),"","Total weld perimeter:"))</f>
        <v/>
      </c>
      <c r="BE111" s="160"/>
      <c r="BF111" s="19" t="str">
        <f>IF($A$25="mm","mm","in")</f>
        <v>mm</v>
      </c>
      <c r="BG111" s="55" t="str">
        <f>IF(BE65=0,"N/A",IF(NOT(BE100="Welded"),"N/A",IF(BE111="","BLANK","EQ")))</f>
        <v>N/A</v>
      </c>
      <c r="BI111" s="49"/>
      <c r="BJ111" s="60"/>
      <c r="BK111" s="60"/>
      <c r="BL111" s="60"/>
      <c r="BM111" s="60"/>
      <c r="BN111" s="64" t="str">
        <f>IF(BO65=0,"",IF(NOT(BO100="Welded"),"","Total weld perimeter:"))</f>
        <v/>
      </c>
      <c r="BO111" s="160"/>
      <c r="BP111" s="19" t="str">
        <f>IF($A$25="mm","mm","in")</f>
        <v>mm</v>
      </c>
      <c r="BQ111" s="55" t="str">
        <f>IF(BO65=0,"N/A",IF(NOT(BO100="Welded"),"N/A",IF(BO111="","BLANK","EQ")))</f>
        <v>N/A</v>
      </c>
      <c r="BS111" s="25"/>
      <c r="BT111" s="25"/>
      <c r="BU111" s="25"/>
      <c r="BV111" s="25"/>
      <c r="BW111" s="25"/>
      <c r="BX111" s="49" t="str">
        <f>IF(BY63=0,"","Mount interface with chassis:")</f>
        <v/>
      </c>
      <c r="BY111" s="243" t="s">
        <v>736</v>
      </c>
      <c r="BZ111" s="244"/>
      <c r="CA111" s="25" t="str">
        <f>IF(BY63=0,"N/A","EQ")</f>
        <v>N/A</v>
      </c>
      <c r="CC111" s="25"/>
      <c r="CD111" s="25"/>
      <c r="CE111" s="25"/>
      <c r="CF111" s="25"/>
      <c r="CG111" s="25"/>
      <c r="CH111" s="49" t="str">
        <f>IF(CI63=0,"","Mount interface with chassis:")</f>
        <v/>
      </c>
      <c r="CI111" s="243" t="s">
        <v>736</v>
      </c>
      <c r="CJ111" s="244"/>
      <c r="CK111" s="25" t="str">
        <f>IF(CI63=0,"N/A","EQ")</f>
        <v>N/A</v>
      </c>
      <c r="CM111" s="25"/>
      <c r="CN111" s="25"/>
      <c r="CO111" s="25"/>
      <c r="CP111" s="25"/>
      <c r="CQ111" s="25"/>
      <c r="CR111" s="49" t="str">
        <f>IF(CS63=0,"","Mount interface with chassis:")</f>
        <v/>
      </c>
      <c r="CS111" s="243" t="s">
        <v>736</v>
      </c>
      <c r="CT111" s="244"/>
      <c r="CU111" s="25" t="str">
        <f>IF(CS63=0,"N/A","EQ")</f>
        <v>N/A</v>
      </c>
      <c r="CW111" s="25"/>
      <c r="CX111" s="25"/>
      <c r="CY111" s="25"/>
      <c r="CZ111" s="25"/>
      <c r="DA111" s="25"/>
      <c r="DB111" s="49" t="str">
        <f>IF(DC63=0,"","Mount interface with chassis:")</f>
        <v/>
      </c>
      <c r="DC111" s="243" t="s">
        <v>736</v>
      </c>
      <c r="DD111" s="244"/>
      <c r="DE111" s="25" t="str">
        <f>IF(DC63=0,"N/A","EQ")</f>
        <v>N/A</v>
      </c>
      <c r="DG111" s="25"/>
      <c r="DH111" s="25"/>
      <c r="DI111" s="25"/>
      <c r="DJ111" s="25"/>
      <c r="DK111" s="25"/>
      <c r="DL111" s="49" t="str">
        <f>IF(DM63=0,"","Mount interface with chassis:")</f>
        <v/>
      </c>
      <c r="DM111" s="243" t="s">
        <v>736</v>
      </c>
      <c r="DN111" s="244"/>
      <c r="DO111" s="25" t="str">
        <f>IF(DM63=0,"N/A","EQ")</f>
        <v>N/A</v>
      </c>
    </row>
    <row r="112" spans="1:119" ht="15" customHeight="1" x14ac:dyDescent="0.3">
      <c r="A112" s="47"/>
      <c r="B112" s="49"/>
      <c r="C112" s="49"/>
      <c r="D112" s="49"/>
      <c r="E112" s="49"/>
      <c r="F112" s="25"/>
      <c r="G112" s="25"/>
      <c r="I112" s="25"/>
      <c r="K112" s="47" t="s">
        <v>522</v>
      </c>
      <c r="L112" s="289" t="s">
        <v>523</v>
      </c>
      <c r="M112" s="289"/>
      <c r="N112" s="289"/>
      <c r="O112" s="289"/>
      <c r="P112" s="92">
        <f>IF(P105=0,0,P111/(48*P106*P105))</f>
        <v>0</v>
      </c>
      <c r="Q112" s="92" t="e">
        <f>IF(OR(Q111="",Q106=0),0,P111/(48*Q106*Q105))</f>
        <v>#N/A</v>
      </c>
      <c r="R112" s="159" t="e">
        <f>IF(OR(P112=0,Q112=""),0,Q112/P112)</f>
        <v>#N/A</v>
      </c>
      <c r="S112" s="55" t="str">
        <f>IF(NOT(P$89="Other"),"N/A",IF(OR(Q111=0,Q106=0,Q105=0),"BLANK",IF(R112&gt;=1,"EQ",IF(R112&gt;=0.95,"CHECK","REJECT"))))</f>
        <v>N/A</v>
      </c>
      <c r="U112" s="49"/>
      <c r="V112" s="60"/>
      <c r="W112" s="60"/>
      <c r="X112" s="60"/>
      <c r="Y112" s="60"/>
      <c r="Z112" s="64" t="str">
        <f>IF(AA65=0,"",IF(NOT(AA100="Welded"),"","Weld thickness is assumed = skin thickness:"))</f>
        <v/>
      </c>
      <c r="AA112" s="55">
        <f>AA99</f>
        <v>0</v>
      </c>
      <c r="AB112" s="19" t="str">
        <f>IF($A$25="mm","mm","in")</f>
        <v>mm</v>
      </c>
      <c r="AC112" s="55" t="str">
        <f>IF(AA65=0,"N/A",IF(NOT(AA100="Welded"),"N/A",IF(AA112="","BLANK","EQ")))</f>
        <v>N/A</v>
      </c>
      <c r="AE112" s="49"/>
      <c r="AF112" s="60"/>
      <c r="AG112" s="60"/>
      <c r="AH112" s="60"/>
      <c r="AI112" s="60"/>
      <c r="AJ112" s="64" t="str">
        <f>IF(AK65=0,"",IF(NOT(AK100="Welded"),"","Weld thickness is assumed = skin thickness:"))</f>
        <v/>
      </c>
      <c r="AK112" s="55">
        <f>AK99</f>
        <v>0</v>
      </c>
      <c r="AL112" s="19" t="str">
        <f>IF($A$25="mm","mm","in")</f>
        <v>mm</v>
      </c>
      <c r="AM112" s="55" t="str">
        <f>IF(AK65=0,"N/A",IF(NOT(AK100="Welded"),"N/A",IF(AK112="","BLANK","EQ")))</f>
        <v>N/A</v>
      </c>
      <c r="AO112" s="49"/>
      <c r="AP112" s="60"/>
      <c r="AQ112" s="60"/>
      <c r="AR112" s="60"/>
      <c r="AS112" s="60"/>
      <c r="AT112" s="64" t="str">
        <f>IF(AU65=0,"",IF(NOT(AU100="Welded"),"","Weld thickness is assumed = skin thickness:"))</f>
        <v/>
      </c>
      <c r="AU112" s="55">
        <f>AU99</f>
        <v>0</v>
      </c>
      <c r="AV112" s="19" t="str">
        <f>IF($A$25="mm","mm","in")</f>
        <v>mm</v>
      </c>
      <c r="AW112" s="55" t="str">
        <f>IF(AU65=0,"N/A",IF(NOT(AU100="Welded"),"N/A",IF(AU112="","BLANK","EQ")))</f>
        <v>N/A</v>
      </c>
      <c r="AY112" s="49"/>
      <c r="AZ112" s="60"/>
      <c r="BA112" s="60"/>
      <c r="BB112" s="60"/>
      <c r="BC112" s="60"/>
      <c r="BD112" s="64" t="str">
        <f>IF(BE65=0,"",IF(NOT(BE100="Welded"),"","Weld thickness is assumed = skin thickness:"))</f>
        <v/>
      </c>
      <c r="BE112" s="55">
        <f>BE99</f>
        <v>0</v>
      </c>
      <c r="BF112" s="19" t="str">
        <f>IF($A$25="mm","mm","in")</f>
        <v>mm</v>
      </c>
      <c r="BG112" s="55" t="str">
        <f>IF(BE65=0,"N/A",IF(NOT(BE100="Welded"),"N/A",IF(BE112="","BLANK","EQ")))</f>
        <v>N/A</v>
      </c>
      <c r="BI112" s="49"/>
      <c r="BJ112" s="60"/>
      <c r="BK112" s="60"/>
      <c r="BL112" s="60"/>
      <c r="BM112" s="60"/>
      <c r="BN112" s="64" t="str">
        <f>IF(BO65=0,"",IF(NOT(BO100="Welded"),"","Weld thickness is assumed = skin thickness:"))</f>
        <v/>
      </c>
      <c r="BO112" s="55">
        <f>BO99</f>
        <v>0</v>
      </c>
      <c r="BP112" s="19" t="str">
        <f>IF($A$25="mm","mm","in")</f>
        <v>mm</v>
      </c>
      <c r="BQ112" s="55" t="str">
        <f>IF(BO65=0,"N/A",IF(NOT(BO100="Welded"),"N/A",IF(BO112="","BLANK","EQ")))</f>
        <v>N/A</v>
      </c>
      <c r="BS112" s="46"/>
      <c r="BT112" s="60"/>
      <c r="BU112" s="49"/>
      <c r="BV112" s="49"/>
      <c r="BW112" s="49"/>
      <c r="BX112" s="49" t="str">
        <f>IF(BY63=0,"",IF(NOT(BY111="Bolted"),"","Minimum - Fastener spacing, tab edge, or corner distance:"))</f>
        <v/>
      </c>
      <c r="BY112" s="50"/>
      <c r="BZ112" s="19" t="str">
        <f>IF($A$25="mm","mm","in")</f>
        <v>mm</v>
      </c>
      <c r="CA112" s="25" t="str">
        <f>IF(BY63=0,"N/A",IF(NOT(BY111="Bolted"),"N/A",IF(BY112="","BLANK","EQ")))</f>
        <v>N/A</v>
      </c>
      <c r="CC112" s="46"/>
      <c r="CD112" s="60"/>
      <c r="CE112" s="49"/>
      <c r="CF112" s="49"/>
      <c r="CG112" s="49"/>
      <c r="CH112" s="49" t="str">
        <f>IF(CI63=0,"",IF(NOT(CI111="Bolted"),"","Minimum - Fastener spacing, tab edge, or corner distance:"))</f>
        <v/>
      </c>
      <c r="CI112" s="50"/>
      <c r="CJ112" s="19" t="str">
        <f>IF($A$25="mm","mm","in")</f>
        <v>mm</v>
      </c>
      <c r="CK112" s="25" t="str">
        <f>IF(CI63=0,"N/A",IF(NOT(CI111="Bolted"),"N/A",IF(CI112="","BLANK","EQ")))</f>
        <v>N/A</v>
      </c>
      <c r="CM112" s="46"/>
      <c r="CN112" s="60"/>
      <c r="CO112" s="49"/>
      <c r="CP112" s="49"/>
      <c r="CQ112" s="49"/>
      <c r="CR112" s="49" t="str">
        <f>IF(CS63=0,"",IF(NOT(CS111="Bolted"),"","Minimum - Fastener spacing, tab edge, or corner distance:"))</f>
        <v/>
      </c>
      <c r="CS112" s="50"/>
      <c r="CT112" s="19" t="str">
        <f>IF($A$25="mm","mm","in")</f>
        <v>mm</v>
      </c>
      <c r="CU112" s="25" t="str">
        <f>IF(CS63=0,"N/A",IF(NOT(CS111="Bolted"),"N/A",IF(CS112="","BLANK","EQ")))</f>
        <v>N/A</v>
      </c>
      <c r="CW112" s="46"/>
      <c r="CX112" s="60"/>
      <c r="CY112" s="49"/>
      <c r="CZ112" s="49"/>
      <c r="DA112" s="49"/>
      <c r="DB112" s="49" t="str">
        <f>IF(DC63=0,"",IF(NOT(DC111="Bolted"),"","Minimum - Fastener spacing, tab edge, or corner distance:"))</f>
        <v/>
      </c>
      <c r="DC112" s="50"/>
      <c r="DD112" s="19" t="str">
        <f>IF($A$25="mm","mm","in")</f>
        <v>mm</v>
      </c>
      <c r="DE112" s="25" t="str">
        <f>IF(DC63=0,"N/A",IF(NOT(DC111="Bolted"),"N/A",IF(DC112="","BLANK","EQ")))</f>
        <v>N/A</v>
      </c>
      <c r="DG112" s="46"/>
      <c r="DH112" s="60"/>
      <c r="DI112" s="49"/>
      <c r="DJ112" s="49"/>
      <c r="DK112" s="49"/>
      <c r="DL112" s="49" t="str">
        <f>IF(DM63=0,"",IF(NOT(DM111="Bolted"),"","Minimum - Fastener spacing, tab edge, or corner distance:"))</f>
        <v/>
      </c>
      <c r="DM112" s="50"/>
      <c r="DN112" s="19" t="str">
        <f>IF($A$25="mm","mm","in")</f>
        <v>mm</v>
      </c>
      <c r="DO112" s="25" t="str">
        <f>IF(DM63=0,"N/A",IF(NOT(DM111="Bolted"),"N/A",IF(DM112="","BLANK","EQ")))</f>
        <v>N/A</v>
      </c>
    </row>
    <row r="113" spans="1:119" ht="15" customHeight="1" x14ac:dyDescent="0.3">
      <c r="A113" s="47"/>
      <c r="B113" s="49"/>
      <c r="C113" s="49"/>
      <c r="D113" s="49"/>
      <c r="E113" s="49"/>
      <c r="F113" s="25"/>
      <c r="G113" s="25"/>
      <c r="I113" s="25"/>
      <c r="K113" s="47" t="s">
        <v>222</v>
      </c>
      <c r="L113" s="289" t="s">
        <v>524</v>
      </c>
      <c r="M113" s="289"/>
      <c r="N113" s="289"/>
      <c r="O113" s="289"/>
      <c r="P113" s="92">
        <f>IF(P105=0,0,0.5*P111^2/(48*P106*P105))</f>
        <v>0</v>
      </c>
      <c r="Q113" s="92" t="e">
        <f>IF(OR(Q111="",Q106=0),0,0.5*Q111^2/(48*(Q106*Q105)))</f>
        <v>#N/A</v>
      </c>
      <c r="R113" s="159" t="e">
        <f>IF(OR(P113=0,Q113=""),0,Q113/P113)</f>
        <v>#N/A</v>
      </c>
      <c r="S113" s="55" t="str">
        <f>IF(NOT(P$89="Other"),"N/A",IF(OR(Q111=0,Q106=0,Q105=0),"BLANK",IF(R113&gt;=1,"EQ",IF(R113&gt;=0.95,"CHECK","REJECT"))))</f>
        <v>N/A</v>
      </c>
      <c r="U113" s="47"/>
      <c r="V113" s="49"/>
      <c r="W113" s="49"/>
      <c r="X113" s="49"/>
      <c r="Y113" s="49"/>
      <c r="Z113" s="49" t="str">
        <f>IF(AA65=0,"",IF(NOT(AA100="Welded"),"","Shear strength &gt;= Test Load:"))</f>
        <v/>
      </c>
      <c r="AA113" s="58" t="str">
        <f>IF(AA111="","",AA98*AA111*AA112*IF($A$25="mm",1/10^6,1))</f>
        <v/>
      </c>
      <c r="AB113" s="102" t="str">
        <f>IF(AA111="","",AA113/$U$23)</f>
        <v/>
      </c>
      <c r="AC113" s="55" t="str">
        <f>IF(AA65=0,"N/A",IF(NOT(AA100="Welded"),"N/A",IF(AB113&lt;1,"REJECT","EQ")))</f>
        <v>N/A</v>
      </c>
      <c r="AF113" s="49"/>
      <c r="AG113" s="49"/>
      <c r="AH113" s="49"/>
      <c r="AI113" s="49"/>
      <c r="AJ113" s="49" t="str">
        <f>IF(AK65=0,"",IF(NOT(AK100="Welded"),"","Shear strength &gt;= Test Load:"))</f>
        <v/>
      </c>
      <c r="AK113" s="58">
        <f>IF(AK111="","",AK98*AK111*AK112*IF($A$25="mm",1/10^6,1))</f>
        <v>0</v>
      </c>
      <c r="AL113" s="102">
        <f>IF(AK111="","",AK113/$U$23)</f>
        <v>0</v>
      </c>
      <c r="AM113" s="55" t="str">
        <f>IF(AK65=0,"N/A",IF(NOT(AK100="Welded"),"N/A",IF(AL113&lt;1,"REJECT","EQ")))</f>
        <v>N/A</v>
      </c>
      <c r="AO113" s="47"/>
      <c r="AP113" s="49"/>
      <c r="AQ113" s="49"/>
      <c r="AR113" s="49"/>
      <c r="AS113" s="49"/>
      <c r="AT113" s="49" t="str">
        <f>IF(AU65=0,"",IF(NOT(AU100="Welded"),"","Shear strength &gt;= Test Load:"))</f>
        <v/>
      </c>
      <c r="AU113" s="58" t="str">
        <f>IF(AU111="","",AU98*AU111*AU112*IF($A$25="mm",1/10^6,1))</f>
        <v/>
      </c>
      <c r="AV113" s="102" t="str">
        <f>IF(AU111="","",AU113/$U$23)</f>
        <v/>
      </c>
      <c r="AW113" s="55" t="str">
        <f>IF(AU65=0,"N/A",IF(NOT(AU100="Welded"),"N/A",IF(AV113&lt;1,"REJECT","EQ")))</f>
        <v>N/A</v>
      </c>
      <c r="AY113" s="47"/>
      <c r="AZ113" s="49"/>
      <c r="BA113" s="49"/>
      <c r="BB113" s="49"/>
      <c r="BC113" s="49"/>
      <c r="BD113" s="49" t="str">
        <f>IF(BE65=0,"",IF(NOT(BE100="Welded"),"","Shear strength &gt;= Test Load:"))</f>
        <v/>
      </c>
      <c r="BE113" s="58" t="str">
        <f>IF(BE111="","",BE98*BE111*BE112*IF($A$25="mm",1/10^6,1))</f>
        <v/>
      </c>
      <c r="BF113" s="102" t="str">
        <f>IF(BE111="","",BE113/$U$23)</f>
        <v/>
      </c>
      <c r="BG113" s="55" t="str">
        <f>IF(BE65=0,"N/A",IF(NOT(BE100="Welded"),"N/A",IF(BF113&lt;1,"REJECT","EQ")))</f>
        <v>N/A</v>
      </c>
      <c r="BI113" s="47"/>
      <c r="BJ113" s="49"/>
      <c r="BK113" s="49"/>
      <c r="BL113" s="49"/>
      <c r="BM113" s="49"/>
      <c r="BN113" s="49" t="str">
        <f>IF(BO65=0,"",IF(NOT(BO100="Welded"),"","Shear strength &gt;= Test Load:"))</f>
        <v/>
      </c>
      <c r="BO113" s="58" t="str">
        <f>IF(BO111="","",BO98*BO111*BO112*IF($A$25="mm",1/10^6,1))</f>
        <v/>
      </c>
      <c r="BP113" s="102" t="str">
        <f>IF(BO111="","",BO113/$U$23)</f>
        <v/>
      </c>
      <c r="BQ113" s="55" t="str">
        <f>IF(BO65=0,"N/A",IF(NOT(BO100="Welded"),"N/A",IF(BP113&lt;1,"REJECT","EQ")))</f>
        <v>N/A</v>
      </c>
      <c r="BS113" s="46"/>
      <c r="BT113" s="60"/>
      <c r="BU113" s="49"/>
      <c r="BV113" s="49"/>
      <c r="BW113" s="49"/>
      <c r="BX113" s="49" t="str">
        <f>IF(BY63=0,"",IF(NOT(BY111="Bolted"),"","Number of fasteners used:"))</f>
        <v/>
      </c>
      <c r="BY113" s="50"/>
      <c r="CA113" s="25" t="str">
        <f>IF(BY63=0,"N/A",IF(NOT(BY111="Bolted"),"N/A",IF(BY113="","BLANK","EQ")))</f>
        <v>N/A</v>
      </c>
      <c r="CC113" s="46"/>
      <c r="CD113" s="60"/>
      <c r="CE113" s="49"/>
      <c r="CF113" s="49"/>
      <c r="CG113" s="49"/>
      <c r="CH113" s="49" t="str">
        <f>IF(CI63=0,"",IF(NOT(CI111="Bolted"),"","Number of fasteners used:"))</f>
        <v/>
      </c>
      <c r="CI113" s="50"/>
      <c r="CK113" s="25" t="str">
        <f>IF(CI63=0,"N/A",IF(NOT(CI111="Bolted"),"N/A",IF(CI113="","BLANK","EQ")))</f>
        <v>N/A</v>
      </c>
      <c r="CM113" s="46"/>
      <c r="CN113" s="60"/>
      <c r="CO113" s="49"/>
      <c r="CP113" s="49"/>
      <c r="CQ113" s="49"/>
      <c r="CR113" s="49" t="str">
        <f>IF(CS63=0,"",IF(NOT(CS111="Bolted"),"","Number of fasteners used:"))</f>
        <v/>
      </c>
      <c r="CS113" s="50"/>
      <c r="CU113" s="25" t="str">
        <f>IF(CS63=0,"N/A",IF(NOT(CS111="Bolted"),"N/A",IF(CS113="","BLANK","EQ")))</f>
        <v>N/A</v>
      </c>
      <c r="CW113" s="46"/>
      <c r="CX113" s="60"/>
      <c r="CY113" s="49"/>
      <c r="CZ113" s="49"/>
      <c r="DA113" s="49"/>
      <c r="DB113" s="49" t="str">
        <f>IF(DC63=0,"",IF(NOT(DC111="Bolted"),"","Number of fasteners used:"))</f>
        <v/>
      </c>
      <c r="DC113" s="50"/>
      <c r="DE113" s="25" t="str">
        <f>IF(DC63=0,"N/A",IF(NOT(DC111="Bolted"),"N/A",IF(DC113="","BLANK","EQ")))</f>
        <v>N/A</v>
      </c>
      <c r="DG113" s="46"/>
      <c r="DH113" s="60"/>
      <c r="DI113" s="49"/>
      <c r="DJ113" s="49"/>
      <c r="DK113" s="49"/>
      <c r="DL113" s="49" t="str">
        <f>IF(DM63=0,"",IF(NOT(DM111="Bolted"),"","Number of fasteners used:"))</f>
        <v/>
      </c>
      <c r="DM113" s="50"/>
      <c r="DO113" s="25" t="str">
        <f>IF(DM63=0,"N/A",IF(NOT(DM111="Bolted"),"N/A",IF(DM113="","BLANK","EQ")))</f>
        <v>N/A</v>
      </c>
    </row>
    <row r="114" spans="1:119" ht="15" customHeight="1" thickBot="1" x14ac:dyDescent="0.35">
      <c r="A114" s="49"/>
      <c r="B114" s="49"/>
      <c r="C114" s="49"/>
      <c r="D114" s="49"/>
      <c r="E114" s="49"/>
      <c r="F114" s="58"/>
      <c r="G114" s="58"/>
      <c r="I114" s="25"/>
      <c r="K114" s="72"/>
      <c r="L114" s="288"/>
      <c r="M114" s="288"/>
      <c r="N114" s="288"/>
      <c r="O114" s="288"/>
      <c r="P114" s="92"/>
      <c r="Q114" s="67"/>
      <c r="R114" s="68"/>
      <c r="S114" s="55"/>
      <c r="U114" s="49"/>
      <c r="V114" s="60"/>
      <c r="W114" s="60"/>
      <c r="X114" s="60"/>
      <c r="Y114" s="60"/>
      <c r="Z114" s="64" t="str">
        <f>IF(AA65=0,"",IF(NOT(AA100="Bonded"),"","Shear strength of adhesive:"))</f>
        <v/>
      </c>
      <c r="AA114" s="76"/>
      <c r="AB114" s="46" t="str">
        <f>IF($A$25="mm","N/mm^2","psi")</f>
        <v>N/mm^2</v>
      </c>
      <c r="AC114" s="55" t="str">
        <f>IF(AA65=0,"N/A",IF(NOT(AA100="Bonded"),"N/A",IF(AA114="","BLANK","EQ")))</f>
        <v>N/A</v>
      </c>
      <c r="AE114" s="49"/>
      <c r="AF114" s="60"/>
      <c r="AG114" s="60"/>
      <c r="AH114" s="60"/>
      <c r="AI114" s="60"/>
      <c r="AJ114" s="64" t="str">
        <f>IF(AK65=0,"",IF(NOT(AK100="Bonded"),"","Shear strength of adhesive:"))</f>
        <v/>
      </c>
      <c r="AK114" s="76"/>
      <c r="AL114" s="46" t="str">
        <f>IF($A$25="mm","N/mm^2","psi")</f>
        <v>N/mm^2</v>
      </c>
      <c r="AM114" s="55" t="str">
        <f>IF(AK65=0,"N/A",IF(NOT(AK100="Bonded"),"N/A",IF(AK114="","BLANK","EQ")))</f>
        <v>N/A</v>
      </c>
      <c r="AO114" s="49"/>
      <c r="AP114" s="60"/>
      <c r="AQ114" s="60"/>
      <c r="AR114" s="60"/>
      <c r="AS114" s="60"/>
      <c r="AT114" s="64" t="str">
        <f>IF(AU65=0,"",IF(NOT(AU100="Bonded"),"","Shear strength of adhesive:"))</f>
        <v/>
      </c>
      <c r="AU114" s="76"/>
      <c r="AV114" s="46" t="str">
        <f>IF($A$25="mm","N/mm^2","psi")</f>
        <v>N/mm^2</v>
      </c>
      <c r="AW114" s="55" t="str">
        <f>IF(AU65=0,"N/A",IF(NOT(AU100="Bonded"),"N/A",IF(AU114="","BLANK","EQ")))</f>
        <v>N/A</v>
      </c>
      <c r="AY114" s="49"/>
      <c r="AZ114" s="60"/>
      <c r="BA114" s="60"/>
      <c r="BB114" s="60"/>
      <c r="BC114" s="60"/>
      <c r="BD114" s="64" t="str">
        <f>IF(BE65=0,"",IF(NOT(BE100="Bonded"),"","Shear strength of adhesive:"))</f>
        <v/>
      </c>
      <c r="BE114" s="76"/>
      <c r="BF114" s="46" t="str">
        <f>IF($A$25="mm","N/mm^2","psi")</f>
        <v>N/mm^2</v>
      </c>
      <c r="BG114" s="55" t="str">
        <f>IF(BE65=0,"N/A",IF(NOT(BE100="Bonded"),"N/A",IF(BE114="","BLANK","EQ")))</f>
        <v>N/A</v>
      </c>
      <c r="BI114" s="49"/>
      <c r="BJ114" s="60"/>
      <c r="BK114" s="60"/>
      <c r="BL114" s="60"/>
      <c r="BM114" s="60"/>
      <c r="BN114" s="64" t="str">
        <f>IF(BO65=0,"",IF(NOT(BO100="Bonded"),"","Shear strength of adhesive:"))</f>
        <v/>
      </c>
      <c r="BO114" s="76"/>
      <c r="BP114" s="46" t="str">
        <f>IF($A$25="mm","N/mm^2","psi")</f>
        <v>N/mm^2</v>
      </c>
      <c r="BQ114" s="55" t="str">
        <f>IF(BO65=0,"N/A",IF(NOT(BO100="Bonded"),"N/A",IF(BO114="","BLANK","EQ")))</f>
        <v>N/A</v>
      </c>
      <c r="BS114" s="46"/>
      <c r="BT114" s="60"/>
      <c r="BU114" s="49"/>
      <c r="BV114" s="49"/>
      <c r="BW114" s="49"/>
      <c r="BX114" s="49" t="str">
        <f>IF(BY63=0,"",IF(NOT(BY111="Bolted"),"","Fastener diameter:"))</f>
        <v/>
      </c>
      <c r="BY114" s="149"/>
      <c r="BZ114" s="19" t="str">
        <f>IF($A$25="mm","mm","in")</f>
        <v>mm</v>
      </c>
      <c r="CA114" s="25" t="str">
        <f>IF(BY63=0,"N/A",IF(NOT(BY111="Bolted"),"N/A",IF(BY114="","BLANK","EQ")))</f>
        <v>N/A</v>
      </c>
      <c r="CC114" s="46"/>
      <c r="CD114" s="60"/>
      <c r="CE114" s="49"/>
      <c r="CF114" s="49"/>
      <c r="CG114" s="49"/>
      <c r="CH114" s="49" t="str">
        <f>IF(CI63=0,"",IF(NOT(CI111="Bolted"),"","Fastener diameter:"))</f>
        <v/>
      </c>
      <c r="CI114" s="149"/>
      <c r="CJ114" s="19" t="str">
        <f>IF($A$25="mm","mm","in")</f>
        <v>mm</v>
      </c>
      <c r="CK114" s="25" t="str">
        <f>IF(CI63=0,"N/A",IF(NOT(CI111="Bolted"),"N/A",IF(CI114="","BLANK","EQ")))</f>
        <v>N/A</v>
      </c>
      <c r="CM114" s="46"/>
      <c r="CN114" s="60"/>
      <c r="CO114" s="49"/>
      <c r="CP114" s="49"/>
      <c r="CQ114" s="49"/>
      <c r="CR114" s="49" t="str">
        <f>IF(CS63=0,"",IF(NOT(CS111="Bolted"),"","Fastener diameter:"))</f>
        <v/>
      </c>
      <c r="CS114" s="149"/>
      <c r="CT114" s="19" t="str">
        <f>IF($A$25="mm","mm","in")</f>
        <v>mm</v>
      </c>
      <c r="CU114" s="25" t="str">
        <f>IF(CS63=0,"N/A",IF(NOT(CS111="Bolted"),"N/A",IF(CS114="","BLANK","EQ")))</f>
        <v>N/A</v>
      </c>
      <c r="CW114" s="46"/>
      <c r="CX114" s="60"/>
      <c r="CY114" s="49"/>
      <c r="CZ114" s="49"/>
      <c r="DA114" s="49"/>
      <c r="DB114" s="49" t="str">
        <f>IF(DC63=0,"",IF(NOT(DC111="Bolted"),"","Fastener diameter:"))</f>
        <v/>
      </c>
      <c r="DC114" s="149"/>
      <c r="DD114" s="19" t="str">
        <f>IF($A$25="mm","mm","in")</f>
        <v>mm</v>
      </c>
      <c r="DE114" s="25" t="str">
        <f>IF(DC63=0,"N/A",IF(NOT(DC111="Bolted"),"N/A",IF(DC114="","BLANK","EQ")))</f>
        <v>N/A</v>
      </c>
      <c r="DG114" s="46"/>
      <c r="DH114" s="60"/>
      <c r="DI114" s="49"/>
      <c r="DJ114" s="49"/>
      <c r="DK114" s="49"/>
      <c r="DL114" s="49" t="str">
        <f>IF(DM63=0,"",IF(NOT(DM111="Bolted"),"","Fastener diameter:"))</f>
        <v/>
      </c>
      <c r="DM114" s="149"/>
      <c r="DN114" s="19" t="str">
        <f>IF($A$25="mm","mm","in")</f>
        <v>mm</v>
      </c>
      <c r="DO114" s="25" t="str">
        <f>IF(DM63=0,"N/A",IF(NOT(DM111="Bolted"),"N/A",IF(DM114="","BLANK","EQ")))</f>
        <v>N/A</v>
      </c>
    </row>
    <row r="115" spans="1:119" ht="15" customHeight="1" thickBot="1" x14ac:dyDescent="0.35">
      <c r="A115" s="60"/>
      <c r="B115" s="49"/>
      <c r="C115" s="49"/>
      <c r="D115" s="49"/>
      <c r="E115" s="49"/>
      <c r="F115" s="58"/>
      <c r="G115" s="58"/>
      <c r="I115" s="25"/>
      <c r="K115" s="293" t="s">
        <v>801</v>
      </c>
      <c r="L115" s="293"/>
      <c r="M115" s="293"/>
      <c r="N115" s="293"/>
      <c r="O115" s="293"/>
      <c r="P115" s="293"/>
      <c r="Q115" s="293"/>
      <c r="R115" s="293"/>
      <c r="S115" s="293"/>
      <c r="U115" s="49"/>
      <c r="V115" s="60"/>
      <c r="W115" s="60"/>
      <c r="X115" s="60"/>
      <c r="Y115" s="60"/>
      <c r="Z115" s="64" t="str">
        <f>IF(AA65=0,"",IF(NOT(AA100="Bonded"),"","Tensile/peel strength of adhesive:"))</f>
        <v/>
      </c>
      <c r="AA115" s="76"/>
      <c r="AB115" s="46" t="str">
        <f>IF($A$25="mm","N/mm^2","psi")</f>
        <v>N/mm^2</v>
      </c>
      <c r="AC115" s="55" t="str">
        <f>IF(AA65=0,"N/A",IF(NOT(AA100="Bonded"),"N/A",IF(AA115="","BLANK","EQ")))</f>
        <v>N/A</v>
      </c>
      <c r="AE115" s="49"/>
      <c r="AF115" s="60"/>
      <c r="AG115" s="60"/>
      <c r="AH115" s="60"/>
      <c r="AI115" s="60"/>
      <c r="AJ115" s="64" t="str">
        <f>IF(AK65=0,"",IF(NOT(AK100="Bonded"),"","Tensile/peel strength of adhesive:"))</f>
        <v/>
      </c>
      <c r="AK115" s="76"/>
      <c r="AL115" s="46" t="str">
        <f>IF($A$25="mm","N/mm^2","psi")</f>
        <v>N/mm^2</v>
      </c>
      <c r="AM115" s="55" t="str">
        <f>IF(AK65=0,"N/A",IF(NOT(AK100="Bonded"),"N/A",IF(AK115="","BLANK","EQ")))</f>
        <v>N/A</v>
      </c>
      <c r="AO115" s="49"/>
      <c r="AP115" s="60"/>
      <c r="AQ115" s="60"/>
      <c r="AR115" s="60"/>
      <c r="AS115" s="60"/>
      <c r="AT115" s="64" t="str">
        <f>IF(AU65=0,"",IF(NOT(AU100="Bonded"),"","Tensile/peel strength of adhesive:"))</f>
        <v/>
      </c>
      <c r="AU115" s="76"/>
      <c r="AV115" s="46" t="str">
        <f>IF($A$25="mm","N/mm^2","psi")</f>
        <v>N/mm^2</v>
      </c>
      <c r="AW115" s="55" t="str">
        <f>IF(AU65=0,"N/A",IF(NOT(AU100="Bonded"),"N/A",IF(AU115="","BLANK","EQ")))</f>
        <v>N/A</v>
      </c>
      <c r="AY115" s="49"/>
      <c r="AZ115" s="60"/>
      <c r="BA115" s="60"/>
      <c r="BB115" s="60"/>
      <c r="BC115" s="60"/>
      <c r="BD115" s="64" t="str">
        <f>IF(BE65=0,"",IF(NOT(BE100="Bonded"),"","Tensile/peel strength of adhesive:"))</f>
        <v/>
      </c>
      <c r="BE115" s="76"/>
      <c r="BF115" s="46" t="str">
        <f>IF($A$25="mm","N/mm^2","psi")</f>
        <v>N/mm^2</v>
      </c>
      <c r="BG115" s="55" t="str">
        <f>IF(BE65=0,"N/A",IF(NOT(BE100="Bonded"),"N/A",IF(BE115="","BLANK","EQ")))</f>
        <v>N/A</v>
      </c>
      <c r="BI115" s="49"/>
      <c r="BJ115" s="60"/>
      <c r="BK115" s="60"/>
      <c r="BL115" s="60"/>
      <c r="BM115" s="60"/>
      <c r="BN115" s="64" t="str">
        <f>IF(BO65=0,"",IF(NOT(BO100="Bonded"),"","Tensile/peel strength of adhesive:"))</f>
        <v/>
      </c>
      <c r="BO115" s="76"/>
      <c r="BP115" s="46" t="str">
        <f>IF($A$25="mm","N/mm^2","psi")</f>
        <v>N/mm^2</v>
      </c>
      <c r="BQ115" s="55" t="str">
        <f>IF(BO65=0,"N/A",IF(NOT(BO100="Bonded"),"N/A",IF(BO115="","BLANK","EQ")))</f>
        <v>N/A</v>
      </c>
      <c r="BS115" s="46"/>
      <c r="BT115" s="60"/>
      <c r="BU115" s="49"/>
      <c r="BV115" s="49"/>
      <c r="BW115" s="49"/>
      <c r="BX115" s="49" t="str">
        <f>IF(BY63=0,"",IF(NOT(BY111="Bolted"),"","Threads in shear:"))</f>
        <v/>
      </c>
      <c r="BY115" s="150"/>
      <c r="CA115" s="25" t="str">
        <f>IF(BY63=0,"N/A",IF(NOT(BY111="Bolted"),"N/A",IF(BY115="Yes","CHECK","EQ")))</f>
        <v>N/A</v>
      </c>
      <c r="CC115" s="46"/>
      <c r="CD115" s="60"/>
      <c r="CE115" s="49"/>
      <c r="CF115" s="49"/>
      <c r="CG115" s="49"/>
      <c r="CH115" s="49" t="str">
        <f>IF(CI63=0,"",IF(NOT(CI111="Bolted"),"","Threads in shear:"))</f>
        <v/>
      </c>
      <c r="CI115" s="150"/>
      <c r="CK115" s="25" t="str">
        <f>IF(CI63=0,"N/A",IF(NOT(CI111="Bolted"),"N/A",IF(CI115="Yes","CHECK","EQ")))</f>
        <v>N/A</v>
      </c>
      <c r="CM115" s="46"/>
      <c r="CN115" s="60"/>
      <c r="CO115" s="49"/>
      <c r="CP115" s="49"/>
      <c r="CQ115" s="49"/>
      <c r="CR115" s="49" t="str">
        <f>IF(CS63=0,"",IF(NOT(CS111="Bolted"),"","Threads in shear:"))</f>
        <v/>
      </c>
      <c r="CS115" s="150"/>
      <c r="CU115" s="25" t="str">
        <f>IF(CS63=0,"N/A",IF(NOT(CS111="Bolted"),"N/A",IF(CS115="Yes","CHECK","EQ")))</f>
        <v>N/A</v>
      </c>
      <c r="CW115" s="46"/>
      <c r="CX115" s="60"/>
      <c r="CY115" s="49"/>
      <c r="CZ115" s="49"/>
      <c r="DA115" s="49"/>
      <c r="DB115" s="49" t="str">
        <f>IF(DC63=0,"",IF(NOT(DC111="Bolted"),"","Threads in shear:"))</f>
        <v/>
      </c>
      <c r="DC115" s="150"/>
      <c r="DE115" s="25" t="str">
        <f>IF(DC63=0,"N/A",IF(NOT(DC111="Bolted"),"N/A",IF(DC115="Yes","CHECK","EQ")))</f>
        <v>N/A</v>
      </c>
      <c r="DG115" s="46"/>
      <c r="DH115" s="60"/>
      <c r="DI115" s="49"/>
      <c r="DJ115" s="49"/>
      <c r="DK115" s="49"/>
      <c r="DL115" s="49" t="str">
        <f>IF(DM63=0,"",IF(NOT(DM111="Bolted"),"","Threads in shear:"))</f>
        <v/>
      </c>
      <c r="DM115" s="150"/>
      <c r="DO115" s="25" t="str">
        <f>IF(DM63=0,"N/A",IF(NOT(DM111="Bolted"),"N/A",IF(DM115="Yes","CHECK","EQ")))</f>
        <v>N/A</v>
      </c>
    </row>
    <row r="116" spans="1:119" ht="15" customHeight="1" x14ac:dyDescent="0.3">
      <c r="A116" s="47"/>
      <c r="B116" s="49"/>
      <c r="C116" s="49"/>
      <c r="D116" s="49"/>
      <c r="E116" s="49"/>
      <c r="F116" s="58"/>
      <c r="G116" s="58"/>
      <c r="I116" s="25"/>
      <c r="K116" s="272" t="str">
        <f>IF(COUNTIF(S117:S142,"BLANK"),"BLANK",IF(OR(SUMPRODUCT(--ISERROR(S117:S142))&gt;0,COUNTIF(S117:S142,"REJECT")),"REJECT",IF(COUNTIF(S117:S142,"CHECK"),"CHECK","EQ")))</f>
        <v>BLANK</v>
      </c>
      <c r="L116" s="272"/>
      <c r="M116" s="272"/>
      <c r="N116" s="272"/>
      <c r="O116" s="272"/>
      <c r="P116" s="272"/>
      <c r="Q116" s="272"/>
      <c r="R116" s="272"/>
      <c r="S116" s="272"/>
      <c r="U116" s="60"/>
      <c r="V116" s="60"/>
      <c r="W116" s="60"/>
      <c r="X116" s="60"/>
      <c r="Y116" s="60"/>
      <c r="Z116" s="73" t="str">
        <f>IF(AA65=0,"",IF(NOT(AA100="Bonded"),"","Minimum bond area:"))</f>
        <v/>
      </c>
      <c r="AA116" s="76"/>
      <c r="AB116" s="19" t="str">
        <f>IF($A$25="mm","mm^2","in^2")</f>
        <v>mm^2</v>
      </c>
      <c r="AC116" s="55" t="str">
        <f>IF(AA65=0,"N/A",IF(NOT(AA100="Bonded"),"N/A",IF(AA116="","BLANK","EQ")))</f>
        <v>N/A</v>
      </c>
      <c r="AE116" s="60"/>
      <c r="AF116" s="60"/>
      <c r="AG116" s="60"/>
      <c r="AH116" s="60"/>
      <c r="AI116" s="60"/>
      <c r="AJ116" s="73" t="str">
        <f>IF(AK65=0,"",IF(NOT(AK100="Bonded"),"","Minimum bond area:"))</f>
        <v/>
      </c>
      <c r="AK116" s="76"/>
      <c r="AL116" s="19" t="str">
        <f>IF($A$25="mm","mm^2","in^2")</f>
        <v>mm^2</v>
      </c>
      <c r="AM116" s="55" t="str">
        <f>IF(AK65=0,"N/A",IF(NOT(AK100="Bonded"),"N/A",IF(AK116="","BLANK","EQ")))</f>
        <v>N/A</v>
      </c>
      <c r="AO116" s="60"/>
      <c r="AP116" s="60"/>
      <c r="AQ116" s="60"/>
      <c r="AR116" s="60"/>
      <c r="AS116" s="60"/>
      <c r="AT116" s="73" t="str">
        <f>IF(AU65=0,"",IF(NOT(AU100="Bonded"),"","Minimum bond area:"))</f>
        <v/>
      </c>
      <c r="AU116" s="76"/>
      <c r="AV116" s="19" t="str">
        <f>IF($A$25="mm","mm^2","in^2")</f>
        <v>mm^2</v>
      </c>
      <c r="AW116" s="55" t="str">
        <f>IF(AU65=0,"N/A",IF(NOT(AU100="Bonded"),"N/A",IF(AU116="","BLANK","EQ")))</f>
        <v>N/A</v>
      </c>
      <c r="AY116" s="60"/>
      <c r="AZ116" s="60"/>
      <c r="BA116" s="60"/>
      <c r="BB116" s="60"/>
      <c r="BC116" s="60"/>
      <c r="BD116" s="73" t="str">
        <f>IF(BE65=0,"",IF(NOT(BE100="Bonded"),"","Minimum bond area:"))</f>
        <v/>
      </c>
      <c r="BE116" s="76"/>
      <c r="BF116" s="19" t="str">
        <f>IF($A$25="mm","mm^2","in^2")</f>
        <v>mm^2</v>
      </c>
      <c r="BG116" s="55" t="str">
        <f>IF(BE65=0,"N/A",IF(NOT(BE100="Bonded"),"N/A",IF(BE116="","BLANK","EQ")))</f>
        <v>N/A</v>
      </c>
      <c r="BI116" s="60"/>
      <c r="BJ116" s="60"/>
      <c r="BK116" s="60"/>
      <c r="BL116" s="60"/>
      <c r="BM116" s="60"/>
      <c r="BN116" s="73" t="str">
        <f>IF(BO65=0,"",IF(NOT(BO100="Bonded"),"","Minimum bond area:"))</f>
        <v/>
      </c>
      <c r="BO116" s="76"/>
      <c r="BP116" s="19" t="str">
        <f>IF($A$25="mm","mm^2","in^2")</f>
        <v>mm^2</v>
      </c>
      <c r="BQ116" s="55" t="str">
        <f>IF(BO65=0,"N/A",IF(NOT(BO100="Bonded"),"N/A",IF(BO116="","BLANK","EQ")))</f>
        <v>N/A</v>
      </c>
      <c r="BS116" s="46"/>
      <c r="BT116" s="60"/>
      <c r="BU116" s="49"/>
      <c r="BV116" s="49"/>
      <c r="BW116" s="49"/>
      <c r="BX116" s="49" t="str">
        <f>IF(BY63=0,"",IF(NOT(BY111="Bolted"),"","Fastener shear capability:"))</f>
        <v/>
      </c>
      <c r="BY116" s="57"/>
      <c r="BZ116" s="19" t="str">
        <f>IF($A$25="mm","N","lbs")</f>
        <v>N</v>
      </c>
      <c r="CA116" s="25" t="str">
        <f>IF(BY63=0,"N/A",IF(NOT(BY111="Bolted"),"N/A",IF(BY116="","BLANK","EQ")))</f>
        <v>N/A</v>
      </c>
      <c r="CC116" s="46"/>
      <c r="CD116" s="60"/>
      <c r="CE116" s="49"/>
      <c r="CF116" s="49"/>
      <c r="CG116" s="49"/>
      <c r="CH116" s="49" t="str">
        <f>IF(CI63=0,"",IF(NOT(CI111="Bolted"),"","Fastener shear capability:"))</f>
        <v/>
      </c>
      <c r="CI116" s="57"/>
      <c r="CJ116" s="19" t="str">
        <f>IF($A$25="mm","N","lbs")</f>
        <v>N</v>
      </c>
      <c r="CK116" s="25" t="str">
        <f>IF(CI63=0,"N/A",IF(NOT(CI111="Bolted"),"N/A",IF(CI116="","BLANK","EQ")))</f>
        <v>N/A</v>
      </c>
      <c r="CM116" s="46"/>
      <c r="CN116" s="60"/>
      <c r="CO116" s="49"/>
      <c r="CP116" s="49"/>
      <c r="CQ116" s="49"/>
      <c r="CR116" s="49" t="str">
        <f>IF(CS63=0,"",IF(NOT(CS111="Bolted"),"","Fastener shear capability:"))</f>
        <v/>
      </c>
      <c r="CS116" s="57"/>
      <c r="CT116" s="19" t="str">
        <f>IF($A$25="mm","N","lbs")</f>
        <v>N</v>
      </c>
      <c r="CU116" s="25" t="str">
        <f>IF(CS63=0,"N/A",IF(NOT(CS111="Bolted"),"N/A",IF(CS116="","BLANK","EQ")))</f>
        <v>N/A</v>
      </c>
      <c r="CW116" s="46"/>
      <c r="CX116" s="60"/>
      <c r="CY116" s="49"/>
      <c r="CZ116" s="49"/>
      <c r="DA116" s="49"/>
      <c r="DB116" s="49" t="str">
        <f>IF(DC63=0,"",IF(NOT(DC111="Bolted"),"","Fastener shear capability:"))</f>
        <v/>
      </c>
      <c r="DC116" s="57"/>
      <c r="DD116" s="19" t="str">
        <f>IF($A$25="mm","N","lbs")</f>
        <v>N</v>
      </c>
      <c r="DE116" s="25" t="str">
        <f>IF(DC63=0,"N/A",IF(NOT(DC111="Bolted"),"N/A",IF(DC116="","BLANK","EQ")))</f>
        <v>N/A</v>
      </c>
      <c r="DG116" s="46"/>
      <c r="DH116" s="60"/>
      <c r="DI116" s="49"/>
      <c r="DJ116" s="49"/>
      <c r="DK116" s="49"/>
      <c r="DL116" s="49" t="str">
        <f>IF(DM63=0,"",IF(NOT(DM111="Bolted"),"","Fastener shear capability:"))</f>
        <v/>
      </c>
      <c r="DM116" s="57"/>
      <c r="DN116" s="19" t="str">
        <f>IF($A$25="mm","N","lbs")</f>
        <v>N</v>
      </c>
      <c r="DO116" s="25" t="str">
        <f>IF(DM63=0,"N/A",IF(NOT(DM111="Bolted"),"N/A",IF(DM116="","BLANK","EQ")))</f>
        <v>N/A</v>
      </c>
    </row>
    <row r="117" spans="1:119" ht="15" thickBot="1" x14ac:dyDescent="0.35">
      <c r="A117" s="60"/>
      <c r="B117" s="49"/>
      <c r="C117" s="49"/>
      <c r="D117" s="49"/>
      <c r="E117" s="49"/>
      <c r="F117" s="58"/>
      <c r="G117" s="58"/>
      <c r="I117" s="25"/>
      <c r="K117" s="289" t="s">
        <v>802</v>
      </c>
      <c r="L117" s="289"/>
      <c r="M117" s="289"/>
      <c r="N117" s="289"/>
      <c r="O117" s="289"/>
      <c r="P117" s="252"/>
      <c r="Q117" s="57"/>
      <c r="R117" s="19" t="str">
        <f>IF($A$25="mm","mm","in")</f>
        <v>mm</v>
      </c>
      <c r="S117" s="25" t="str">
        <f>IF(Q117="","BLANK","EQ")</f>
        <v>BLANK</v>
      </c>
      <c r="U117" s="47"/>
      <c r="V117" s="49"/>
      <c r="W117" s="49"/>
      <c r="X117" s="49"/>
      <c r="Y117" s="49"/>
      <c r="Z117" s="49" t="str">
        <f>IF(AA65=0,"",IF(NOT(AA100="Bonded"),"","Shear strength &gt;= Test Load:"))</f>
        <v/>
      </c>
      <c r="AA117" s="58" t="str">
        <f>IF(AA116="","",AA114*AA116)</f>
        <v/>
      </c>
      <c r="AB117" s="102" t="str">
        <f>IF(OR(AA114="",AA116=""),"",AA117/$U$23)</f>
        <v/>
      </c>
      <c r="AC117" s="55" t="str">
        <f>IF(AA65=0,"N/A",IF(NOT(AA100="Bonded"),"N/A",IF(AB117&lt;1,"REJECT","EQ")))</f>
        <v>N/A</v>
      </c>
      <c r="AF117" s="49"/>
      <c r="AG117" s="49"/>
      <c r="AH117" s="49"/>
      <c r="AI117" s="49"/>
      <c r="AJ117" s="49" t="str">
        <f>IF(AK65=0,"",IF(NOT(AK100="Bonded"),"","Shear strength &gt;= Test Load:"))</f>
        <v/>
      </c>
      <c r="AK117" s="58" t="str">
        <f>IF(AK116="","",AK114*AK116)</f>
        <v/>
      </c>
      <c r="AL117" s="102" t="str">
        <f>IF(OR(AK114="",AK116=""),"",AK117/$U$23)</f>
        <v/>
      </c>
      <c r="AM117" s="55" t="str">
        <f>IF(AK65=0,"N/A",IF(NOT(AK100="Bonded"),"N/A",IF(AL117&lt;1,"REJECT","EQ")))</f>
        <v>N/A</v>
      </c>
      <c r="AO117" s="47"/>
      <c r="AP117" s="49"/>
      <c r="AQ117" s="49"/>
      <c r="AR117" s="49"/>
      <c r="AS117" s="49"/>
      <c r="AT117" s="49" t="str">
        <f>IF(AU65=0,"",IF(NOT(AU100="Bonded"),"","Shear strength &gt;= Test Load:"))</f>
        <v/>
      </c>
      <c r="AU117" s="58" t="str">
        <f>IF(AU116="","",AU114*AU116)</f>
        <v/>
      </c>
      <c r="AV117" s="102" t="str">
        <f>IF(OR(AU114="",AU116=""),"",AU117/$U$23)</f>
        <v/>
      </c>
      <c r="AW117" s="55" t="str">
        <f>IF(AU65=0,"N/A",IF(NOT(AU100="Bonded"),"N/A",IF(AV117&lt;1,"REJECT","EQ")))</f>
        <v>N/A</v>
      </c>
      <c r="AY117" s="47"/>
      <c r="AZ117" s="49"/>
      <c r="BA117" s="49"/>
      <c r="BB117" s="49"/>
      <c r="BC117" s="49"/>
      <c r="BD117" s="49" t="str">
        <f>IF(BE65=0,"",IF(NOT(BE100="Bonded"),"","Shear strength &gt;= Test Load:"))</f>
        <v/>
      </c>
      <c r="BE117" s="58" t="str">
        <f>IF(BE116="","",BE114*BE116)</f>
        <v/>
      </c>
      <c r="BF117" s="102" t="str">
        <f>IF(OR(BE114="",BE116=""),"",BE117/$U$23)</f>
        <v/>
      </c>
      <c r="BG117" s="55" t="str">
        <f>IF(BE65=0,"N/A",IF(NOT(BE100="Bonded"),"N/A",IF(BF117&lt;1,"REJECT","EQ")))</f>
        <v>N/A</v>
      </c>
      <c r="BI117" s="47"/>
      <c r="BJ117" s="49"/>
      <c r="BK117" s="49"/>
      <c r="BL117" s="49"/>
      <c r="BM117" s="49"/>
      <c r="BN117" s="49" t="str">
        <f>IF(BO65=0,"",IF(NOT(BO100="Bonded"),"","Shear strength &gt;= Test Load:"))</f>
        <v/>
      </c>
      <c r="BO117" s="58" t="str">
        <f>IF(BO116="","",BO114*BO116)</f>
        <v/>
      </c>
      <c r="BP117" s="102" t="str">
        <f>IF(OR(BO114="",BO116=""),"",BO117/$U$23)</f>
        <v/>
      </c>
      <c r="BQ117" s="55" t="str">
        <f>IF(BO65=0,"N/A",IF(NOT(BO100="Bonded"),"N/A",IF(BP117&lt;1,"REJECT","EQ")))</f>
        <v>N/A</v>
      </c>
      <c r="BS117" s="46"/>
      <c r="BT117" s="60"/>
      <c r="BU117" s="49"/>
      <c r="BV117" s="49"/>
      <c r="BW117" s="49"/>
      <c r="BX117" s="49" t="str">
        <f>IF(BY63=0,"",IF(NOT(BY111="Bolted"),"","Minimum perimeter of all washers or brackets on one side:"))</f>
        <v/>
      </c>
      <c r="BY117" s="50"/>
      <c r="BZ117" s="19" t="str">
        <f>IF($A$25="mm","mm","in")</f>
        <v>mm</v>
      </c>
      <c r="CA117" s="25" t="str">
        <f>IF(BY63=0,"N/A",IF(NOT(BY111="Bolted"),"N/A",IF(BY117="","BLANK","EQ")))</f>
        <v>N/A</v>
      </c>
      <c r="CC117" s="46"/>
      <c r="CD117" s="60"/>
      <c r="CE117" s="49"/>
      <c r="CF117" s="49"/>
      <c r="CG117" s="49"/>
      <c r="CH117" s="49" t="str">
        <f>IF(CI63=0,"",IF(NOT(CI111="Bolted"),"","Min total perimeter of all washers, inserts, brackets on one surface:"))</f>
        <v/>
      </c>
      <c r="CI117" s="50"/>
      <c r="CJ117" s="19" t="str">
        <f>IF($A$25="mm","mm","in")</f>
        <v>mm</v>
      </c>
      <c r="CK117" s="25" t="str">
        <f>IF(CI63=0,"N/A",IF(NOT(CI111="Bolted"),"N/A",IF(CI117="","BLANK","EQ")))</f>
        <v>N/A</v>
      </c>
      <c r="CM117" s="46"/>
      <c r="CN117" s="60"/>
      <c r="CO117" s="49"/>
      <c r="CP117" s="49"/>
      <c r="CQ117" s="49"/>
      <c r="CR117" s="49" t="str">
        <f>IF(CS63=0,"",IF(NOT(CS111="Bolted"),"","Min total perimeter of all washers, inserts, brackets on one surface:"))</f>
        <v/>
      </c>
      <c r="CS117" s="50"/>
      <c r="CT117" s="19" t="str">
        <f>IF($A$25="mm","mm","in")</f>
        <v>mm</v>
      </c>
      <c r="CU117" s="25" t="str">
        <f>IF(CS63=0,"N/A",IF(NOT(CS111="Bolted"),"N/A",IF(CS117="","BLANK","EQ")))</f>
        <v>N/A</v>
      </c>
      <c r="CW117" s="46"/>
      <c r="CX117" s="60"/>
      <c r="CY117" s="49"/>
      <c r="CZ117" s="49"/>
      <c r="DA117" s="49"/>
      <c r="DB117" s="49" t="str">
        <f>IF(DC63=0,"",IF(NOT(DC111="Bolted"),"","Min total perimeter of all washers, inserts, brackets on one surface:"))</f>
        <v/>
      </c>
      <c r="DC117" s="50"/>
      <c r="DD117" s="19" t="str">
        <f>IF($A$25="mm","mm","in")</f>
        <v>mm</v>
      </c>
      <c r="DE117" s="25" t="str">
        <f>IF(DC63=0,"N/A",IF(NOT(DC111="Bolted"),"N/A",IF(DC117="","BLANK","EQ")))</f>
        <v>N/A</v>
      </c>
      <c r="DG117" s="46"/>
      <c r="DH117" s="60"/>
      <c r="DI117" s="49"/>
      <c r="DJ117" s="49"/>
      <c r="DK117" s="49"/>
      <c r="DL117" s="49" t="str">
        <f>IF(DM63=0,"",IF(NOT(DM111="Bolted"),"","Min total perimeter of all washers, inserts, brackets on one surface:"))</f>
        <v/>
      </c>
      <c r="DM117" s="50"/>
      <c r="DN117" s="19" t="str">
        <f>IF($A$25="mm","mm","in")</f>
        <v>mm</v>
      </c>
      <c r="DO117" s="25" t="str">
        <f>IF(DM63=0,"N/A",IF(NOT(DM111="Bolted"),"N/A",IF(DM117="","BLANK","EQ")))</f>
        <v>N/A</v>
      </c>
    </row>
    <row r="118" spans="1:119" ht="15" thickBot="1" x14ac:dyDescent="0.35">
      <c r="A118" s="63"/>
      <c r="B118" s="63"/>
      <c r="C118" s="60"/>
      <c r="D118" s="60"/>
      <c r="E118" s="60"/>
      <c r="F118" s="67"/>
      <c r="G118" s="67"/>
      <c r="H118" s="68"/>
      <c r="I118" s="55"/>
      <c r="K118" s="47" t="s">
        <v>803</v>
      </c>
      <c r="L118" s="292" t="s">
        <v>804</v>
      </c>
      <c r="M118" s="292"/>
      <c r="N118" s="292"/>
      <c r="O118" s="292"/>
      <c r="P118" s="243" t="s">
        <v>160</v>
      </c>
      <c r="Q118" s="244"/>
      <c r="S118" s="25" t="s">
        <v>89</v>
      </c>
      <c r="U118" s="25"/>
      <c r="V118" s="25"/>
      <c r="X118" s="91"/>
      <c r="Y118" s="95"/>
      <c r="Z118" s="49" t="str">
        <f>IF(AA65=0,"",IF(NOT(AA100="Bonded"),"","0.5*Tensile/Peel*Area &gt;= Test Load *Offset/Brace:"))</f>
        <v/>
      </c>
      <c r="AA118" s="58" t="str">
        <f>IF(AA116="","",0.5*AA115*AA116)</f>
        <v/>
      </c>
      <c r="AB118" s="102" t="str">
        <f>IF(OR(AA116="",AA115=""),"",AA118/($U$23*AA65/IF(MIN(AA85,AA89)&gt;0,MIN(AA85,AA89),AA65)))</f>
        <v/>
      </c>
      <c r="AC118" s="55" t="str">
        <f>IF(AA65=0,"N/A",IF(NOT(AA100="Bonded"),"N/A",IF(AB118&lt;1,"REJECT","EQ")))</f>
        <v>N/A</v>
      </c>
      <c r="AE118" s="25"/>
      <c r="AF118" s="25"/>
      <c r="AH118" s="91"/>
      <c r="AI118" s="95"/>
      <c r="AJ118" s="49" t="str">
        <f>IF(AK65=0,"",IF(NOT(AK100="Bonded"),"","0.5*Tensile/Peel*Area &gt;= Test Load *Offset/Brace:"))</f>
        <v/>
      </c>
      <c r="AK118" s="58" t="str">
        <f>IF(AK116="","",0.5*AK115*AK116)</f>
        <v/>
      </c>
      <c r="AL118" s="102" t="str">
        <f>IF(OR(AK116="",AK115=""),"",AK118/($U$23*AK65/IF(MIN(AK85,AK89)&gt;0,MIN(AK85,AK89),AK65)))</f>
        <v/>
      </c>
      <c r="AM118" s="55" t="str">
        <f>IF(AK65=0,"N/A",IF(NOT(AK100="Bonded"),"N/A",IF(AL118&lt;1,"REJECT","EQ")))</f>
        <v>N/A</v>
      </c>
      <c r="AO118" s="25"/>
      <c r="AP118" s="25"/>
      <c r="AR118" s="91"/>
      <c r="AS118" s="95"/>
      <c r="AT118" s="49" t="str">
        <f>IF(AU65=0,"",IF(NOT(AU100="Bonded"),"","0.5*Tensile/Peel*Area &gt;= Test Load *Offset/Brace:"))</f>
        <v/>
      </c>
      <c r="AU118" s="58" t="str">
        <f>IF(AU116="","",0.5*AU115*AU116)</f>
        <v/>
      </c>
      <c r="AV118" s="102" t="str">
        <f>IF(OR(AU116="",AU115=""),"",AU118/($U$23*AU65/IF(MIN(AU85,AU89)&gt;0,MIN(AU85,AU89),AU65)))</f>
        <v/>
      </c>
      <c r="AW118" s="55" t="str">
        <f>IF(AU65=0,"N/A",IF(NOT(AU100="Bonded"),"N/A",IF(AV118&lt;1,"REJECT","EQ")))</f>
        <v>N/A</v>
      </c>
      <c r="AY118" s="25"/>
      <c r="AZ118" s="25"/>
      <c r="BB118" s="91"/>
      <c r="BC118" s="95"/>
      <c r="BD118" s="49" t="str">
        <f>IF(BE65=0,"",IF(NOT(BE100="Bonded"),"","0.5*Tensile/Peel*Area &gt;= Test Load *Offset/Brace:"))</f>
        <v/>
      </c>
      <c r="BE118" s="58" t="str">
        <f>IF(BE116="","",0.5*BE115*BE116)</f>
        <v/>
      </c>
      <c r="BF118" s="102" t="str">
        <f>IF(OR(BE116="",BE115=""),"",BE118/($U$23*BE65/IF(MIN(BE85,BE89)&gt;0,MIN(BE85,BE89),BE65)))</f>
        <v/>
      </c>
      <c r="BG118" s="55" t="str">
        <f>IF(BE65=0,"N/A",IF(NOT(BE100="Bonded"),"N/A",IF(BF118&lt;1,"REJECT","EQ")))</f>
        <v>N/A</v>
      </c>
      <c r="BI118" s="25"/>
      <c r="BJ118" s="25"/>
      <c r="BL118" s="91"/>
      <c r="BM118" s="95"/>
      <c r="BN118" s="49" t="str">
        <f>IF(BO65=0,"",IF(NOT(BO100="Bonded"),"","0.5*Tensile/Peel*Area &gt;= Test Load *Offset/Brace:"))</f>
        <v/>
      </c>
      <c r="BO118" s="58" t="str">
        <f>IF(BO116="","",0.5*BO115*BO116)</f>
        <v/>
      </c>
      <c r="BP118" s="102" t="str">
        <f>IF(OR(BO116="",BO115=""),"",BO118/($U$23*BO65/IF(MIN(BO85,BO89)&gt;0,MIN(BO85,BO89),BO65)))</f>
        <v/>
      </c>
      <c r="BQ118" s="55" t="str">
        <f>IF(BO65=0,"N/A",IF(NOT(BO100="Bonded"),"N/A",IF(BP118&lt;1,"REJECT","EQ")))</f>
        <v>N/A</v>
      </c>
      <c r="BS118" s="46"/>
      <c r="BT118" s="60"/>
      <c r="BU118" s="49"/>
      <c r="BV118" s="49"/>
      <c r="BW118" s="49"/>
      <c r="BX118" s="49" t="str">
        <f>IF(BY63=0,"",IF(NOT(BY111="Bolted"),"","Fastener shear &gt;= Test Load:"))</f>
        <v/>
      </c>
      <c r="BY118" s="58">
        <f>BY113*BY116</f>
        <v>0</v>
      </c>
      <c r="BZ118" s="102" t="str">
        <f>IF(BY118=0,"",BY118/$U$23)</f>
        <v/>
      </c>
      <c r="CA118" s="25" t="str">
        <f>IF(BY63=0,"N/A",IF(NOT(BY111="Bolted"),"N/A",IF(BZ118&lt;=1,"REJECT","EQ")))</f>
        <v>N/A</v>
      </c>
      <c r="CC118" s="46"/>
      <c r="CD118" s="60"/>
      <c r="CE118" s="49"/>
      <c r="CF118" s="49"/>
      <c r="CG118" s="49"/>
      <c r="CH118" s="49" t="str">
        <f>IF(CI63=0,"",IF(NOT(CI111="Bolted"),"","Fastener shear &gt;= Test Load:"))</f>
        <v/>
      </c>
      <c r="CI118" s="58">
        <f>CI113*CI116</f>
        <v>0</v>
      </c>
      <c r="CJ118" s="102" t="str">
        <f>IF(CI118=0,"",CI118/$U$23)</f>
        <v/>
      </c>
      <c r="CK118" s="25" t="str">
        <f>IF(CI63=0,"N/A",IF(NOT(CI111="Bolted"),"N/A",IF(CJ118&lt;=1,"REJECT","EQ")))</f>
        <v>N/A</v>
      </c>
      <c r="CM118" s="46"/>
      <c r="CN118" s="60"/>
      <c r="CO118" s="49"/>
      <c r="CP118" s="49"/>
      <c r="CQ118" s="49"/>
      <c r="CR118" s="49" t="str">
        <f>IF(CS63=0,"",IF(NOT(CS111="Bolted"),"","Fastener shear &gt;= Test Load:"))</f>
        <v/>
      </c>
      <c r="CS118" s="58">
        <f>CS113*CS116</f>
        <v>0</v>
      </c>
      <c r="CT118" s="102" t="str">
        <f>IF(CS118=0,"",CS118/$U$23)</f>
        <v/>
      </c>
      <c r="CU118" s="25" t="str">
        <f>IF(CS63=0,"N/A",IF(NOT(CS111="Bolted"),"N/A",IF(CT118&lt;=1,"REJECT","EQ")))</f>
        <v>N/A</v>
      </c>
      <c r="CW118" s="46"/>
      <c r="CX118" s="60"/>
      <c r="CY118" s="49"/>
      <c r="CZ118" s="49"/>
      <c r="DA118" s="49"/>
      <c r="DB118" s="49" t="str">
        <f>IF(DC63=0,"",IF(NOT(DC111="Bolted"),"","Fastener shear &gt;= Test Load:"))</f>
        <v/>
      </c>
      <c r="DC118" s="58">
        <f>DC113*DC116</f>
        <v>0</v>
      </c>
      <c r="DD118" s="102" t="str">
        <f>IF(DC118=0,"",DC118/$U$23)</f>
        <v/>
      </c>
      <c r="DE118" s="25" t="str">
        <f>IF(DC63=0,"N/A",IF(NOT(DC111="Bolted"),"N/A",IF(DD118&lt;=1,"REJECT","EQ")))</f>
        <v>N/A</v>
      </c>
      <c r="DG118" s="46"/>
      <c r="DH118" s="60"/>
      <c r="DI118" s="49"/>
      <c r="DJ118" s="49"/>
      <c r="DK118" s="49"/>
      <c r="DL118" s="49" t="str">
        <f>IF(DM63=0,"",IF(NOT(DM111="Bolted"),"","Fastener shear &gt;= Test Load:"))</f>
        <v/>
      </c>
      <c r="DM118" s="58">
        <f>DM113*DM116</f>
        <v>0</v>
      </c>
      <c r="DN118" s="102" t="str">
        <f>IF(DM118=0,"",DM118/$U$23)</f>
        <v/>
      </c>
      <c r="DO118" s="25" t="str">
        <f>IF(DM63=0,"N/A",IF(NOT(DM111="Bolted"),"N/A",IF(DN118&lt;=1,"REJECT","EQ")))</f>
        <v>N/A</v>
      </c>
    </row>
    <row r="119" spans="1:119" ht="15" thickBot="1" x14ac:dyDescent="0.35">
      <c r="A119" s="72"/>
      <c r="B119" s="60"/>
      <c r="C119" s="60"/>
      <c r="D119" s="60"/>
      <c r="E119" s="60"/>
      <c r="F119" s="67"/>
      <c r="G119" s="67"/>
      <c r="H119" s="68"/>
      <c r="I119" s="55"/>
      <c r="K119" s="47"/>
      <c r="L119" s="48"/>
      <c r="M119" s="48"/>
      <c r="N119" s="48"/>
      <c r="O119" s="48"/>
      <c r="P119" s="49" t="s">
        <v>805</v>
      </c>
      <c r="Q119" s="156"/>
      <c r="R119" s="19" t="str">
        <f>IF($A$25="mm","mm","in")</f>
        <v>mm</v>
      </c>
      <c r="S119" s="25" t="str">
        <f>IF(P118="Other","N/A",IF(Q119="","BLANK",
IF(AND(P118="Steel",OR(AND($A$25="mm",Q119&gt;=0.9),AND($A$25="Inch",Q119&gt;=0.035))),"EQ",
IF(AND(P118="Aluminum",OR(AND($A$25="mm",Q119&gt;=2.3),AND($A$25="Inch",Q119&gt;=0.09))),"EQ","REJECT"))))</f>
        <v>BLANK</v>
      </c>
      <c r="U119" s="60"/>
      <c r="V119" s="49"/>
      <c r="W119" s="49"/>
      <c r="X119" s="49"/>
      <c r="Y119" s="49"/>
      <c r="Z119" s="228" t="str">
        <f>IF(AA65=0,"",IF(NOT(AA100="Bonded"),"","Bonded Area Perimeter:"))</f>
        <v/>
      </c>
      <c r="AA119" s="229"/>
      <c r="AB119" s="230" t="str">
        <f>IF($A$25="mm","mm","in")</f>
        <v>mm</v>
      </c>
      <c r="AC119" s="231" t="str">
        <f>IF(AA65=0,"N/A",IF(NOT(AA100="Bonded"),"N/A",IF(AA119="","BLANK","EQ")))</f>
        <v>N/A</v>
      </c>
      <c r="AF119" s="49"/>
      <c r="AG119" s="49"/>
      <c r="AH119" s="49"/>
      <c r="AI119" s="49"/>
      <c r="AJ119" s="228" t="str">
        <f>IF(AK65=0,"",IF(NOT(AK100="Bonded"),"","Bonded Area Perimeter:"))</f>
        <v/>
      </c>
      <c r="AK119" s="229"/>
      <c r="AL119" s="230" t="str">
        <f>IF($A$25="mm","mm","in")</f>
        <v>mm</v>
      </c>
      <c r="AM119" s="231" t="str">
        <f>IF(AK65=0,"N/A",IF(NOT(AK100="Bonded"),"N/A",IF(AK119="","BLANK","EQ")))</f>
        <v>N/A</v>
      </c>
      <c r="AO119" s="60"/>
      <c r="AP119" s="49"/>
      <c r="AQ119" s="49"/>
      <c r="AR119" s="49"/>
      <c r="AS119" s="49"/>
      <c r="AT119" s="228" t="str">
        <f>IF(AU65=0,"",IF(NOT(AU100="Bonded"),"","Bonded Area Perimeter:"))</f>
        <v/>
      </c>
      <c r="AU119" s="229"/>
      <c r="AV119" s="230" t="str">
        <f>IF($A$25="mm","mm","in")</f>
        <v>mm</v>
      </c>
      <c r="AW119" s="231" t="str">
        <f>IF(AU65=0,"N/A",IF(NOT(AU100="Bonded"),"N/A",IF(AU119="","BLANK","EQ")))</f>
        <v>N/A</v>
      </c>
      <c r="AY119" s="72"/>
      <c r="AZ119" s="60"/>
      <c r="BA119" s="60"/>
      <c r="BB119" s="60"/>
      <c r="BC119" s="60"/>
      <c r="BD119" s="228" t="str">
        <f>IF(BE65=0,"",IF(NOT(BE100="Bonded"),"","Bonded Area Perimeter:"))</f>
        <v/>
      </c>
      <c r="BE119" s="229"/>
      <c r="BF119" s="230" t="str">
        <f>IF($A$25="mm","mm","in")</f>
        <v>mm</v>
      </c>
      <c r="BG119" s="231" t="str">
        <f>IF(BE65=0,"N/A",IF(NOT(BE100="Bonded"),"N/A",IF(BE119="","BLANK","EQ")))</f>
        <v>N/A</v>
      </c>
      <c r="BI119" s="25"/>
      <c r="BJ119" s="25"/>
      <c r="BK119" s="25"/>
      <c r="BL119" s="25"/>
      <c r="BM119" s="25"/>
      <c r="BN119" s="228" t="str">
        <f>IF(BO65=0,"",IF(NOT(BO100="Bonded"),"","Bonded Area Perimeter:"))</f>
        <v/>
      </c>
      <c r="BO119" s="229"/>
      <c r="BP119" s="230" t="str">
        <f>IF($A$25="mm","mm","in")</f>
        <v>mm</v>
      </c>
      <c r="BQ119" s="231" t="str">
        <f>IF(BO65=0,"N/A",IF(NOT(BO100="Bonded"),"N/A",IF(BO119="","BLANK","EQ")))</f>
        <v>N/A</v>
      </c>
      <c r="BS119" s="46"/>
      <c r="BT119" s="60"/>
      <c r="BU119" s="49"/>
      <c r="BV119" s="49"/>
      <c r="BW119" s="49"/>
      <c r="BX119" s="49" t="str">
        <f>IF(BY63=0,"",IF(NOT(BY111="Bolted"),"","Accumulator Pullout &gt;= Test Load:"))</f>
        <v/>
      </c>
      <c r="BY119" s="58">
        <f>BY109*BY110*BY117*IF($A$25="mm",1/10^6,1)</f>
        <v>0</v>
      </c>
      <c r="BZ119" s="102" t="str">
        <f>IF(BY119=0,"",BY119/$U$23)</f>
        <v/>
      </c>
      <c r="CA119" s="25" t="str">
        <f>IF(BY63=0,"N/A",IF(NOT(BY111="Bolted"),"N/A",IF(BZ119&lt;=1,"REJECT","EQ")))</f>
        <v>N/A</v>
      </c>
      <c r="CC119" s="46"/>
      <c r="CD119" s="60"/>
      <c r="CE119" s="49"/>
      <c r="CF119" s="49"/>
      <c r="CG119" s="49"/>
      <c r="CH119" s="49" t="str">
        <f>IF(CI63=0,"",IF(NOT(CI111="Bolted"),"","Chassis Pullout &gt;= Test Load:"))</f>
        <v/>
      </c>
      <c r="CI119" s="58">
        <f>CI109*CI110*CI117*IF($A$25="mm",1/10^6,1)</f>
        <v>0</v>
      </c>
      <c r="CJ119" s="102" t="str">
        <f>IF(CI119=0,"",CI119/$U$23)</f>
        <v/>
      </c>
      <c r="CK119" s="25" t="str">
        <f>IF(CI63=0,"N/A",IF(NOT(CI111="Bolted"),"N/A",IF(CJ119&lt;=1,"REJECT","EQ")))</f>
        <v>N/A</v>
      </c>
      <c r="CM119" s="46"/>
      <c r="CN119" s="60"/>
      <c r="CO119" s="49"/>
      <c r="CP119" s="49"/>
      <c r="CQ119" s="49"/>
      <c r="CR119" s="49" t="str">
        <f>IF(CS63=0,"",IF(NOT(CS111="Bolted"),"","Accumulator Pullout &gt;= Test Load:"))</f>
        <v/>
      </c>
      <c r="CS119" s="58">
        <f>CS109*CS110*CS117*IF($A$25="mm",1/10^6,1)</f>
        <v>0</v>
      </c>
      <c r="CT119" s="102" t="str">
        <f>IF(CS119=0,"",CS119/$U$23)</f>
        <v/>
      </c>
      <c r="CU119" s="25" t="str">
        <f>IF(CS63=0,"N/A",IF(NOT(CS111="Bolted"),"N/A",IF(CT119&lt;=1,"REJECT","EQ")))</f>
        <v>N/A</v>
      </c>
      <c r="CW119" s="46"/>
      <c r="CX119" s="60"/>
      <c r="CY119" s="49"/>
      <c r="CZ119" s="49"/>
      <c r="DA119" s="49"/>
      <c r="DB119" s="49" t="str">
        <f>IF(DC63=0,"",IF(NOT(DC111="Bolted"),"","Accumulator Pullout &gt;= Test Load:"))</f>
        <v/>
      </c>
      <c r="DC119" s="58">
        <f>DC109*DC110*DC117*IF($A$25="mm",1/10^6,1)</f>
        <v>0</v>
      </c>
      <c r="DD119" s="102" t="str">
        <f>IF(DC119=0,"",DC119/$U$23)</f>
        <v/>
      </c>
      <c r="DE119" s="25" t="str">
        <f>IF(DC63=0,"N/A",IF(NOT(DC111="Bolted"),"N/A",IF(DD119&lt;=1,"REJECT","EQ")))</f>
        <v>N/A</v>
      </c>
      <c r="DG119" s="46"/>
      <c r="DH119" s="60"/>
      <c r="DI119" s="49"/>
      <c r="DJ119" s="49"/>
      <c r="DK119" s="49"/>
      <c r="DL119" s="49" t="str">
        <f>IF(DM63=0,"",IF(NOT(DM111="Bolted"),"","Accumulator Pullout &gt;= Test Load:"))</f>
        <v/>
      </c>
      <c r="DM119" s="58">
        <f>DM109*DM110*DM117*IF($A$25="mm",1/10^6,1)</f>
        <v>0</v>
      </c>
      <c r="DN119" s="102" t="str">
        <f>IF(DM119=0,"",DM119/$U$23)</f>
        <v/>
      </c>
      <c r="DO119" s="25" t="str">
        <f>IF(DM63=0,"N/A",IF(NOT(DM111="Bolted"),"N/A",IF(DN119&lt;=1,"REJECT","EQ")))</f>
        <v>N/A</v>
      </c>
    </row>
    <row r="120" spans="1:119" ht="15" thickBot="1" x14ac:dyDescent="0.35">
      <c r="A120" s="72"/>
      <c r="B120" s="60"/>
      <c r="C120" s="60"/>
      <c r="D120" s="60"/>
      <c r="E120" s="60"/>
      <c r="F120" s="67"/>
      <c r="G120" s="67"/>
      <c r="H120" s="68"/>
      <c r="I120" s="55"/>
      <c r="K120" s="289" t="s">
        <v>766</v>
      </c>
      <c r="L120" s="289"/>
      <c r="M120" s="289"/>
      <c r="N120" s="289"/>
      <c r="O120" s="289"/>
      <c r="P120" s="251"/>
      <c r="Q120" s="308"/>
      <c r="R120" s="309"/>
      <c r="S120" s="25" t="str">
        <f>IF(NOT(P118="Other"),"N/A",IF(Q120="","BLANK","EQ"))</f>
        <v>N/A</v>
      </c>
      <c r="T120" s="75"/>
      <c r="U120" s="47"/>
      <c r="V120" s="49"/>
      <c r="W120" s="49"/>
      <c r="X120" s="49"/>
      <c r="Y120" s="49"/>
      <c r="Z120" s="228" t="str">
        <f>IF(AA65=0,"",IF(NOT(AA100="Bonded"),"","Bonded Single Skin Thickness:"))</f>
        <v/>
      </c>
      <c r="AA120" s="229"/>
      <c r="AB120" s="230" t="str">
        <f>IF($A$25="mm","mm","in")</f>
        <v>mm</v>
      </c>
      <c r="AC120" s="231" t="str">
        <f>IF(AA65=0,"N/A",IF(NOT(AA100="Bonded"),"N/A",IF(AA114="","BLANK","EQ")))</f>
        <v>N/A</v>
      </c>
      <c r="AF120" s="49"/>
      <c r="AG120" s="49"/>
      <c r="AH120" s="49"/>
      <c r="AI120" s="49"/>
      <c r="AJ120" s="228" t="str">
        <f>IF(AK65=0,"",IF(NOT(AK100="Bonded"),"","Bonded Single Skin Thickness:"))</f>
        <v/>
      </c>
      <c r="AK120" s="229"/>
      <c r="AL120" s="230" t="str">
        <f>IF($A$25="mm","mm","in")</f>
        <v>mm</v>
      </c>
      <c r="AM120" s="231" t="str">
        <f>IF(AK65=0,"N/A",IF(NOT(AK100="Bonded"),"N/A",IF(AK114="","BLANK","EQ")))</f>
        <v>N/A</v>
      </c>
      <c r="AO120" s="63"/>
      <c r="AP120" s="63"/>
      <c r="AQ120" s="60"/>
      <c r="AR120" s="60"/>
      <c r="AS120" s="60"/>
      <c r="AT120" s="228" t="str">
        <f>IF(AU65=0,"",IF(NOT(AU100="Bonded"),"","Bonded Single Skin Thickness:"))</f>
        <v/>
      </c>
      <c r="AU120" s="229"/>
      <c r="AV120" s="230" t="str">
        <f>IF($A$25="mm","mm","in")</f>
        <v>mm</v>
      </c>
      <c r="AW120" s="231" t="str">
        <f>IF(AU65=0,"N/A",IF(NOT(AU100="Bonded"),"N/A",IF(AU114="","BLANK","EQ")))</f>
        <v>N/A</v>
      </c>
      <c r="AY120" s="72"/>
      <c r="AZ120" s="60"/>
      <c r="BA120" s="60"/>
      <c r="BB120" s="60"/>
      <c r="BC120" s="60"/>
      <c r="BD120" s="228" t="str">
        <f>IF(BE65=0,"",IF(NOT(BE100="Bonded"),"","Bonded Single Skin Thickness:"))</f>
        <v/>
      </c>
      <c r="BE120" s="229"/>
      <c r="BF120" s="230" t="str">
        <f>IF($A$25="mm","mm","in")</f>
        <v>mm</v>
      </c>
      <c r="BG120" s="231" t="str">
        <f>IF(BE65=0,"N/A",IF(NOT(BE100="Bonded"),"N/A",IF(BE114="","BLANK","EQ")))</f>
        <v>N/A</v>
      </c>
      <c r="BI120" s="49"/>
      <c r="BJ120" s="49"/>
      <c r="BK120" s="49"/>
      <c r="BL120" s="49"/>
      <c r="BM120" s="49"/>
      <c r="BN120" s="228" t="str">
        <f>IF(BO65=0,"",IF(NOT(BO100="Bonded"),"","Bonded Single Skin Thickness:"))</f>
        <v/>
      </c>
      <c r="BO120" s="229"/>
      <c r="BP120" s="230" t="str">
        <f>IF($A$25="mm","mm","in")</f>
        <v>mm</v>
      </c>
      <c r="BQ120" s="231" t="str">
        <f>IF(BO65=0,"N/A",IF(NOT(BO100="Bonded"),"N/A",IF(BO114="","BLANK","EQ")))</f>
        <v>N/A</v>
      </c>
      <c r="BS120" s="46"/>
      <c r="BT120" s="60"/>
      <c r="BU120" s="49"/>
      <c r="BV120" s="49"/>
      <c r="BW120" s="49"/>
      <c r="BX120" s="49" t="str">
        <f>IF(BY63=0,"",IF(NOT(BY111="Bolted"),"","Accumulator Tearout &gt;= Test Load:"))</f>
        <v/>
      </c>
      <c r="BY120" s="58">
        <f>2*BY109*BY110*BY113*BY112*IF($A$25="mm",1/10^6,1)</f>
        <v>0</v>
      </c>
      <c r="BZ120" s="102" t="str">
        <f>IF(BY120=0,"",BY120/$U$23)</f>
        <v/>
      </c>
      <c r="CA120" s="25" t="str">
        <f>IF(BY63=0,"N/A",IF(NOT(BY111="Bolted"),"N/A",IF(BZ120&lt;=1,"REJECT","EQ")))</f>
        <v>N/A</v>
      </c>
      <c r="CC120" s="46"/>
      <c r="CD120" s="60"/>
      <c r="CE120" s="49"/>
      <c r="CF120" s="49"/>
      <c r="CG120" s="49"/>
      <c r="CH120" s="49" t="str">
        <f>IF(CI63=0,"",IF(NOT(CI111="Bolted"),"","Chassis Tearout &gt;= Test Load:"))</f>
        <v/>
      </c>
      <c r="CI120" s="58">
        <f>2*CI109*CI110*CI113*CI112*IF($A$25="mm",1/10^6,1)</f>
        <v>0</v>
      </c>
      <c r="CJ120" s="102" t="str">
        <f>IF(CI120=0,"",CI120/$U$23)</f>
        <v/>
      </c>
      <c r="CK120" s="25" t="str">
        <f>IF(CI63=0,"N/A",IF(NOT(CI111="Bolted"),"N/A",IF(CJ120&lt;=1,"REJECT","EQ")))</f>
        <v>N/A</v>
      </c>
      <c r="CM120" s="46"/>
      <c r="CN120" s="60"/>
      <c r="CO120" s="49"/>
      <c r="CP120" s="49"/>
      <c r="CQ120" s="49"/>
      <c r="CR120" s="49" t="str">
        <f>IF(CS63=0,"",IF(NOT(CS111="Bolted"),"","Accumulator Tearout &gt;= Test Load:"))</f>
        <v/>
      </c>
      <c r="CS120" s="58">
        <f>2*CS109*CS110*CS113*CS112*IF($A$25="mm",1/10^6,1)</f>
        <v>0</v>
      </c>
      <c r="CT120" s="102" t="str">
        <f>IF(CS120=0,"",CS120/$U$23)</f>
        <v/>
      </c>
      <c r="CU120" s="25" t="str">
        <f>IF(CS63=0,"N/A",IF(NOT(CS111="Bolted"),"N/A",IF(CT120&lt;=1,"REJECT","EQ")))</f>
        <v>N/A</v>
      </c>
      <c r="CW120" s="46"/>
      <c r="CX120" s="60"/>
      <c r="CY120" s="49"/>
      <c r="CZ120" s="49"/>
      <c r="DA120" s="49"/>
      <c r="DB120" s="49" t="str">
        <f>IF(DC63=0,"",IF(NOT(DC111="Bolted"),"","Accumulator Tearout &gt;= Test Load:"))</f>
        <v/>
      </c>
      <c r="DC120" s="58">
        <f>2*DC109*DC110*DC113*DC112*IF($A$25="mm",1/10^6,1)</f>
        <v>0</v>
      </c>
      <c r="DD120" s="102" t="str">
        <f>IF(DC120=0,"",DC120/$U$23)</f>
        <v/>
      </c>
      <c r="DE120" s="25" t="str">
        <f>IF(DC63=0,"N/A",IF(NOT(DC111="Bolted"),"N/A",IF(DD120&lt;=1,"REJECT","EQ")))</f>
        <v>N/A</v>
      </c>
      <c r="DG120" s="46"/>
      <c r="DH120" s="60"/>
      <c r="DI120" s="49"/>
      <c r="DJ120" s="49"/>
      <c r="DK120" s="49"/>
      <c r="DL120" s="49" t="str">
        <f>IF(DM63=0,"",IF(NOT(DM111="Bolted"),"","Accumulator Tearout &gt;= Test Load:"))</f>
        <v/>
      </c>
      <c r="DM120" s="58">
        <f>2*DM109*DM110*DM113*DM112*IF($A$25="mm",1/10^6,1)</f>
        <v>0</v>
      </c>
      <c r="DN120" s="102" t="str">
        <f>IF(DM120=0,"",DM120/$U$23)</f>
        <v/>
      </c>
      <c r="DO120" s="25" t="str">
        <f>IF(DM63=0,"N/A",IF(NOT(DM111="Bolted"),"N/A",IF(DN120&lt;=1,"REJECT","EQ")))</f>
        <v>N/A</v>
      </c>
    </row>
    <row r="121" spans="1:119" x14ac:dyDescent="0.3">
      <c r="A121" s="47"/>
      <c r="B121" s="49"/>
      <c r="C121" s="49"/>
      <c r="D121" s="49"/>
      <c r="E121" s="49"/>
      <c r="F121" s="67"/>
      <c r="G121" s="67"/>
      <c r="H121" s="68"/>
      <c r="I121" s="55"/>
      <c r="K121" s="289" t="s">
        <v>767</v>
      </c>
      <c r="L121" s="289"/>
      <c r="M121" s="289"/>
      <c r="N121" s="289"/>
      <c r="O121" s="289"/>
      <c r="P121" s="289"/>
      <c r="Q121" s="55">
        <f>Q122+Q124+Q123</f>
        <v>0</v>
      </c>
      <c r="R121" s="19" t="str">
        <f>IF($A$25="mm","mm","in")</f>
        <v>mm</v>
      </c>
      <c r="S121" s="55" t="str">
        <f>IF(NOT(P118="Other"),"N/A","EQ")</f>
        <v>N/A</v>
      </c>
      <c r="U121" s="60"/>
      <c r="V121" s="49"/>
      <c r="W121" s="49"/>
      <c r="X121" s="49"/>
      <c r="Y121" s="49"/>
      <c r="Z121" s="228" t="str">
        <f>IF(AA65=0,"",IF(NOT(AA100="Bonded"),"","Shear strength &gt;= Test Load:"))</f>
        <v/>
      </c>
      <c r="AA121" s="232" t="str">
        <f>IF(AA119="","",AA119*AA120*AA98*IF($A$25="mm",1/(10^6),1))</f>
        <v/>
      </c>
      <c r="AB121" s="233" t="str">
        <f>IF(OR(AA119="",AA120=""),"",AA121/$U$23)</f>
        <v/>
      </c>
      <c r="AC121" s="231" t="str">
        <f>IF(AA65=0,"N/A",IF(NOT(AA100="Bonded"),"N/A",IF(AB121&lt;1,"REJECT","EQ")))</f>
        <v>N/A</v>
      </c>
      <c r="AF121" s="49"/>
      <c r="AG121" s="49"/>
      <c r="AH121" s="49"/>
      <c r="AI121" s="49"/>
      <c r="AJ121" s="228" t="str">
        <f>IF(AK65=0,"",IF(NOT(AK100="Bonded"),"","Shear strength &gt;= Test Load:"))</f>
        <v/>
      </c>
      <c r="AK121" s="232" t="str">
        <f>IF(AK119="","",AK119*AK120*AK98*IF($A$25="mm",1/(10^6),1))</f>
        <v/>
      </c>
      <c r="AL121" s="233" t="str">
        <f>IF(OR(AK119="",AK120=""),"",AK121/$U$23)</f>
        <v/>
      </c>
      <c r="AM121" s="231" t="str">
        <f>IF(AK65=0,"N/A",IF(NOT(AK100="Bonded"),"N/A",IF(AL121&lt;1,"REJECT","EQ")))</f>
        <v>N/A</v>
      </c>
      <c r="AO121" s="72"/>
      <c r="AP121" s="60"/>
      <c r="AQ121" s="60"/>
      <c r="AR121" s="60"/>
      <c r="AS121" s="60"/>
      <c r="AT121" s="228" t="str">
        <f>IF(AU65=0,"",IF(NOT(AU100="Bonded"),"","Shear strength &gt;= Test Load:"))</f>
        <v/>
      </c>
      <c r="AU121" s="232" t="str">
        <f>IF(AU119="","",AU119*AU120*AU98*IF($A$25="mm",1/(10^6),1))</f>
        <v/>
      </c>
      <c r="AV121" s="233" t="str">
        <f>IF(OR(AU119="",AU120=""),"",AU121/$U$23)</f>
        <v/>
      </c>
      <c r="AW121" s="231" t="str">
        <f>IF(AU65=0,"N/A",IF(NOT(AU100="Bonded"),"N/A",IF(AV121&lt;1,"REJECT","EQ")))</f>
        <v>N/A</v>
      </c>
      <c r="AY121" s="47"/>
      <c r="AZ121" s="49"/>
      <c r="BA121" s="49"/>
      <c r="BB121" s="49"/>
      <c r="BC121" s="49"/>
      <c r="BD121" s="228" t="str">
        <f>IF(BE65=0,"",IF(NOT(BE100="Bonded"),"","Shear strength &gt;= Test Load:"))</f>
        <v/>
      </c>
      <c r="BE121" s="232" t="str">
        <f>IF(BE119="","",BE119*BE120*BE98*IF($A$25="mm",1/(10^6),1))</f>
        <v/>
      </c>
      <c r="BF121" s="233" t="str">
        <f>IF(OR(BE119="",BE120=""),"",BE121/$U$23)</f>
        <v/>
      </c>
      <c r="BG121" s="231" t="str">
        <f>IF(BE65=0,"N/A",IF(NOT(BE100="Bonded"),"N/A",IF(BF121&lt;1,"REJECT","EQ")))</f>
        <v>N/A</v>
      </c>
      <c r="BI121" s="47"/>
      <c r="BJ121" s="48"/>
      <c r="BK121" s="48"/>
      <c r="BL121" s="48"/>
      <c r="BM121" s="48"/>
      <c r="BN121" s="228" t="str">
        <f>IF(BO65=0,"",IF(NOT(BO100="Bonded"),"","Shear strength &gt;= Test Load:"))</f>
        <v/>
      </c>
      <c r="BO121" s="232" t="str">
        <f>IF(BO119="","",BO119*BO120*BO98*IF($A$25="mm",1/(10^6),1))</f>
        <v/>
      </c>
      <c r="BP121" s="233" t="str">
        <f>IF(OR(BO119="",BO120=""),"",BO121/$U$23)</f>
        <v/>
      </c>
      <c r="BQ121" s="231" t="str">
        <f>IF(BO65=0,"N/A",IF(NOT(BO100="Bonded"),"N/A",IF(BP121&lt;1,"REJECT","EQ")))</f>
        <v>N/A</v>
      </c>
      <c r="BS121" s="46"/>
      <c r="BT121" s="60"/>
      <c r="BU121" s="49"/>
      <c r="BV121" s="49"/>
      <c r="BW121" s="49"/>
      <c r="BX121" s="49" t="str">
        <f>IF(BY63=0,"",IF(NOT(BY111="Welded"),"","Max bending load &lt;= Shear strength:"))</f>
        <v/>
      </c>
      <c r="BY121" s="58">
        <f>MAX(BY97,BY101)</f>
        <v>0</v>
      </c>
      <c r="BZ121" s="102">
        <f>BY121/BY109</f>
        <v>0</v>
      </c>
      <c r="CA121" s="25" t="str">
        <f>IF(BY63=0,"N/A",IF(NOT(BY111="Welded"),"N/A",IF(BZ121&gt;1,"REJECT","EQ")))</f>
        <v>N/A</v>
      </c>
      <c r="CC121" s="46"/>
      <c r="CD121" s="60"/>
      <c r="CE121" s="49"/>
      <c r="CF121" s="49"/>
      <c r="CG121" s="49"/>
      <c r="CH121" s="49" t="str">
        <f>IF(CI63=0,"",IF(NOT(CI111="Welded"),"","Max bending load &lt;= Shear strength:"))</f>
        <v/>
      </c>
      <c r="CI121" s="58">
        <f>MAX(CI97,CI101)</f>
        <v>0</v>
      </c>
      <c r="CJ121" s="102">
        <f>CI121/CI109</f>
        <v>0</v>
      </c>
      <c r="CK121" s="25" t="str">
        <f>IF(CI63=0,"N/A",IF(NOT(CI111="Welded"),"N/A",IF(CJ121&gt;1,"REJECT","EQ")))</f>
        <v>N/A</v>
      </c>
      <c r="CM121" s="46"/>
      <c r="CN121" s="60"/>
      <c r="CO121" s="49"/>
      <c r="CP121" s="49"/>
      <c r="CQ121" s="49"/>
      <c r="CR121" s="49" t="str">
        <f>IF(CS63=0,"",IF(NOT(CS111="Welded"),"","Max bending load &lt;= Shear strength:"))</f>
        <v/>
      </c>
      <c r="CS121" s="58">
        <f>MAX(CS97,CS101)</f>
        <v>0</v>
      </c>
      <c r="CT121" s="102">
        <f>CS121/CS109</f>
        <v>0</v>
      </c>
      <c r="CU121" s="25" t="str">
        <f>IF(CS63=0,"N/A",IF(NOT(CS111="Welded"),"N/A",IF(CT121&gt;1,"REJECT","EQ")))</f>
        <v>N/A</v>
      </c>
      <c r="CW121" s="46"/>
      <c r="CX121" s="60"/>
      <c r="CY121" s="49"/>
      <c r="CZ121" s="49"/>
      <c r="DA121" s="49"/>
      <c r="DB121" s="49" t="str">
        <f>IF(DC63=0,"",IF(NOT(DC111="Welded"),"","Max bending load &lt;= Shear strength:"))</f>
        <v/>
      </c>
      <c r="DC121" s="58">
        <f>MAX(DC97,DC101)</f>
        <v>0</v>
      </c>
      <c r="DD121" s="102">
        <f>DC121/DC109</f>
        <v>0</v>
      </c>
      <c r="DE121" s="25" t="str">
        <f>IF(DC63=0,"N/A",IF(NOT(DC111="Welded"),"N/A",IF(DD121&gt;1,"REJECT","EQ")))</f>
        <v>N/A</v>
      </c>
      <c r="DG121" s="46"/>
      <c r="DH121" s="60"/>
      <c r="DI121" s="49"/>
      <c r="DJ121" s="49"/>
      <c r="DK121" s="49"/>
      <c r="DL121" s="49" t="str">
        <f>IF(DM63=0,"",IF(NOT(DM111="Welded"),"","Max bending load &lt;= Shear strength:"))</f>
        <v/>
      </c>
      <c r="DM121" s="58">
        <f>MAX(DM97,DM101)</f>
        <v>0</v>
      </c>
      <c r="DN121" s="102">
        <f>DM121/DM109</f>
        <v>0</v>
      </c>
      <c r="DO121" s="25" t="str">
        <f>IF(DM63=0,"N/A",IF(NOT(DM111="Welded"),"N/A",IF(DN121&gt;1,"REJECT","EQ")))</f>
        <v>N/A</v>
      </c>
    </row>
    <row r="122" spans="1:119" x14ac:dyDescent="0.3">
      <c r="A122" s="47"/>
      <c r="B122" s="49"/>
      <c r="C122" s="49"/>
      <c r="D122" s="49"/>
      <c r="E122" s="49"/>
      <c r="F122" s="67"/>
      <c r="G122" s="67"/>
      <c r="H122" s="68"/>
      <c r="I122" s="55"/>
      <c r="K122" s="288" t="s">
        <v>769</v>
      </c>
      <c r="L122" s="288"/>
      <c r="M122" s="288"/>
      <c r="N122" s="288"/>
      <c r="O122" s="288"/>
      <c r="P122" s="306"/>
      <c r="Q122" s="76"/>
      <c r="R122" s="19" t="str">
        <f>IF($A$25="mm","mm","in")</f>
        <v>mm</v>
      </c>
      <c r="S122" s="25" t="str">
        <f>IF(NOT(P118="Other"),"N/A",IF(Q122="","BLANK","EQ"))</f>
        <v>N/A</v>
      </c>
      <c r="U122" s="60"/>
      <c r="V122" s="49"/>
      <c r="W122" s="49"/>
      <c r="X122" s="49"/>
      <c r="Y122" s="49"/>
      <c r="Z122" s="58"/>
      <c r="AA122" s="58"/>
      <c r="AC122" s="55"/>
      <c r="AF122" s="49"/>
      <c r="AG122" s="49"/>
      <c r="AH122" s="49"/>
      <c r="AI122" s="49"/>
      <c r="AJ122" s="49"/>
      <c r="AK122" s="58"/>
      <c r="AM122" s="25"/>
      <c r="AO122" s="72"/>
      <c r="AP122" s="60"/>
      <c r="AQ122" s="60"/>
      <c r="AR122" s="60"/>
      <c r="AS122" s="60"/>
      <c r="AT122" s="92"/>
      <c r="AU122" s="67"/>
      <c r="AV122" s="68"/>
      <c r="AW122" s="55"/>
      <c r="AY122" s="47"/>
      <c r="AZ122" s="49"/>
      <c r="BA122" s="49"/>
      <c r="BB122" s="49"/>
      <c r="BC122" s="49"/>
      <c r="BD122" s="67"/>
      <c r="BE122" s="67"/>
      <c r="BF122" s="68"/>
      <c r="BG122" s="55"/>
      <c r="BI122" s="47"/>
      <c r="BJ122" s="48"/>
      <c r="BK122" s="48"/>
      <c r="BL122" s="48"/>
      <c r="BM122" s="48"/>
      <c r="BN122" s="49"/>
      <c r="BO122" s="25"/>
      <c r="BQ122" s="25"/>
      <c r="BS122" s="49"/>
      <c r="BT122" s="60"/>
      <c r="BU122" s="60"/>
      <c r="BV122" s="60"/>
      <c r="BW122" s="60"/>
      <c r="BX122" s="64" t="str">
        <f>IF(BY63=0,"",IF(NOT(BY111="Welded"),"","Total weld perimeter:"))</f>
        <v/>
      </c>
      <c r="BY122" s="160"/>
      <c r="BZ122" s="19" t="str">
        <f>IF($A$25="mm","mm","in")</f>
        <v>mm</v>
      </c>
      <c r="CA122" s="55" t="str">
        <f>IF(BY63=0,"N/A",IF(NOT(BY111="Welded"),"N/A",IF(BY122="","BLANK","EQ")))</f>
        <v>N/A</v>
      </c>
      <c r="CC122" s="49"/>
      <c r="CD122" s="60"/>
      <c r="CE122" s="60"/>
      <c r="CF122" s="60"/>
      <c r="CG122" s="60"/>
      <c r="CH122" s="64" t="str">
        <f>IF(CI63=0,"",IF(NOT(CI111="Welded"),"","Total weld perimeter:"))</f>
        <v/>
      </c>
      <c r="CI122" s="160"/>
      <c r="CJ122" s="19" t="str">
        <f>IF($A$25="mm","mm","in")</f>
        <v>mm</v>
      </c>
      <c r="CK122" s="55" t="str">
        <f>IF(CI63=0,"N/A",IF(NOT(CI111="Welded"),"N/A",IF(CI122="","BLANK","EQ")))</f>
        <v>N/A</v>
      </c>
      <c r="CM122" s="49"/>
      <c r="CN122" s="60"/>
      <c r="CO122" s="60"/>
      <c r="CP122" s="60"/>
      <c r="CQ122" s="60"/>
      <c r="CR122" s="64" t="str">
        <f>IF(CS63=0,"",IF(NOT(CS111="Welded"),"","Total weld perimeter:"))</f>
        <v/>
      </c>
      <c r="CS122" s="160"/>
      <c r="CT122" s="19" t="str">
        <f>IF($A$25="mm","mm","in")</f>
        <v>mm</v>
      </c>
      <c r="CU122" s="55" t="str">
        <f>IF(CS63=0,"N/A",IF(NOT(CS111="Welded"),"N/A",IF(CS122="","BLANK","EQ")))</f>
        <v>N/A</v>
      </c>
      <c r="CW122" s="49"/>
      <c r="CX122" s="60"/>
      <c r="CY122" s="60"/>
      <c r="CZ122" s="60"/>
      <c r="DA122" s="60"/>
      <c r="DB122" s="64" t="str">
        <f>IF(DC63=0,"",IF(NOT(DC111="Welded"),"","Total weld perimeter:"))</f>
        <v/>
      </c>
      <c r="DC122" s="160"/>
      <c r="DD122" s="19" t="str">
        <f>IF($A$25="mm","mm","in")</f>
        <v>mm</v>
      </c>
      <c r="DE122" s="55" t="str">
        <f>IF(DC63=0,"N/A",IF(NOT(DC111="Welded"),"N/A",IF(DC122="","BLANK","EQ")))</f>
        <v>N/A</v>
      </c>
      <c r="DG122" s="49"/>
      <c r="DH122" s="60"/>
      <c r="DI122" s="60"/>
      <c r="DJ122" s="60"/>
      <c r="DK122" s="60"/>
      <c r="DL122" s="64" t="str">
        <f>IF(DM63=0,"",IF(NOT(DM111="Welded"),"","Total weld perimeter:"))</f>
        <v/>
      </c>
      <c r="DM122" s="160"/>
      <c r="DN122" s="19" t="str">
        <f>IF($A$25="mm","mm","in")</f>
        <v>mm</v>
      </c>
      <c r="DO122" s="55" t="str">
        <f>IF(DM63=0,"N/A",IF(NOT(DM111="Welded"),"N/A",IF(DM122="","BLANK","EQ")))</f>
        <v>N/A</v>
      </c>
    </row>
    <row r="123" spans="1:119" x14ac:dyDescent="0.3">
      <c r="K123" s="289" t="s">
        <v>772</v>
      </c>
      <c r="L123" s="289"/>
      <c r="M123" s="289"/>
      <c r="N123" s="289"/>
      <c r="O123" s="289"/>
      <c r="P123" s="252"/>
      <c r="Q123" s="50"/>
      <c r="R123" s="19" t="str">
        <f>IF($A$25="mm","mm","in")</f>
        <v>mm</v>
      </c>
      <c r="S123" s="25" t="str">
        <f>IF(NOT(P118="Other"),"N/A",IF(Q123="","BLANK","EQ"))</f>
        <v>N/A</v>
      </c>
      <c r="U123" s="63"/>
      <c r="V123" s="63"/>
      <c r="W123" s="60"/>
      <c r="X123" s="60"/>
      <c r="Y123" s="60"/>
      <c r="Z123" s="92"/>
      <c r="AA123" s="67"/>
      <c r="AB123" s="68"/>
      <c r="AC123" s="55"/>
      <c r="AO123" s="47"/>
      <c r="AP123" s="49"/>
      <c r="AQ123" s="49"/>
      <c r="AR123" s="49"/>
      <c r="AS123" s="49"/>
      <c r="AT123" s="92"/>
      <c r="AU123" s="67"/>
      <c r="AV123" s="68"/>
      <c r="AW123" s="55"/>
      <c r="BI123" s="49"/>
      <c r="BJ123" s="49"/>
      <c r="BK123" s="49"/>
      <c r="BL123" s="49"/>
      <c r="BM123" s="49"/>
      <c r="BN123" s="49"/>
      <c r="BO123" s="83"/>
      <c r="BP123" s="83"/>
      <c r="BQ123" s="25"/>
      <c r="BS123" s="49"/>
      <c r="BT123" s="60"/>
      <c r="BU123" s="60"/>
      <c r="BV123" s="60"/>
      <c r="BW123" s="60"/>
      <c r="BX123" s="64" t="str">
        <f>IF(BY63=0,"",IF(NOT(BY111="Welded"),"","Weld thickness is assumed = skin thickness:"))</f>
        <v/>
      </c>
      <c r="BY123" s="55">
        <f>BY110</f>
        <v>0</v>
      </c>
      <c r="BZ123" s="19" t="str">
        <f>IF($A$25="mm","mm","in")</f>
        <v>mm</v>
      </c>
      <c r="CA123" s="55" t="str">
        <f>IF(BY63=0,"N/A",IF(NOT(BY111="Welded"),"N/A",IF(BY123="","BLANK","EQ")))</f>
        <v>N/A</v>
      </c>
      <c r="CC123" s="49"/>
      <c r="CD123" s="60"/>
      <c r="CE123" s="60"/>
      <c r="CF123" s="60"/>
      <c r="CG123" s="60"/>
      <c r="CH123" s="64" t="str">
        <f>IF(CI63=0,"",IF(NOT(CI111="Welded"),"","Weld thickness is assumed = skin thickness:"))</f>
        <v/>
      </c>
      <c r="CI123" s="55">
        <f>CI110</f>
        <v>0</v>
      </c>
      <c r="CJ123" s="19" t="str">
        <f>IF($A$25="mm","mm","in")</f>
        <v>mm</v>
      </c>
      <c r="CK123" s="55" t="str">
        <f>IF(CI63=0,"N/A",IF(NOT(CI111="Welded"),"N/A",IF(CI123="","BLANK","EQ")))</f>
        <v>N/A</v>
      </c>
      <c r="CM123" s="49"/>
      <c r="CN123" s="60"/>
      <c r="CO123" s="60"/>
      <c r="CP123" s="60"/>
      <c r="CQ123" s="60"/>
      <c r="CR123" s="64" t="str">
        <f>IF(CS63=0,"",IF(NOT(CS111="Welded"),"","Weld thickness is assumed = skin thickness:"))</f>
        <v/>
      </c>
      <c r="CS123" s="55">
        <f>CS110</f>
        <v>0</v>
      </c>
      <c r="CT123" s="19" t="str">
        <f>IF($A$25="mm","mm","in")</f>
        <v>mm</v>
      </c>
      <c r="CU123" s="55" t="str">
        <f>IF(CS63=0,"N/A",IF(NOT(CS111="Welded"),"N/A",IF(CS123="","BLANK","EQ")))</f>
        <v>N/A</v>
      </c>
      <c r="CV123" s="41"/>
      <c r="CW123" s="49"/>
      <c r="CX123" s="60"/>
      <c r="CY123" s="60"/>
      <c r="CZ123" s="60"/>
      <c r="DA123" s="60"/>
      <c r="DB123" s="64" t="str">
        <f>IF(DC63=0,"",IF(NOT(DC111="Welded"),"","Weld thickness is assumed = skin thickness:"))</f>
        <v/>
      </c>
      <c r="DC123" s="55">
        <f>DC110</f>
        <v>0</v>
      </c>
      <c r="DD123" s="19" t="str">
        <f>IF($A$25="mm","mm","in")</f>
        <v>mm</v>
      </c>
      <c r="DE123" s="55" t="str">
        <f>IF(DC63=0,"N/A",IF(NOT(DC111="Welded"),"N/A",IF(DC123="","BLANK","EQ")))</f>
        <v>N/A</v>
      </c>
      <c r="DG123" s="49"/>
      <c r="DH123" s="60"/>
      <c r="DI123" s="60"/>
      <c r="DJ123" s="60"/>
      <c r="DK123" s="60"/>
      <c r="DL123" s="64" t="str">
        <f>IF(DM63=0,"",IF(NOT(DM111="Welded"),"","Weld thickness is assumed = skin thickness:"))</f>
        <v/>
      </c>
      <c r="DM123" s="55">
        <f>DM110</f>
        <v>0</v>
      </c>
      <c r="DN123" s="19" t="str">
        <f>IF($A$25="mm","mm","in")</f>
        <v>mm</v>
      </c>
      <c r="DO123" s="55" t="str">
        <f>IF(DM63=0,"N/A",IF(NOT(DM111="Welded"),"N/A",IF(DM123="","BLANK","EQ")))</f>
        <v>N/A</v>
      </c>
    </row>
    <row r="124" spans="1:119" x14ac:dyDescent="0.3">
      <c r="K124" s="289" t="s">
        <v>773</v>
      </c>
      <c r="L124" s="289"/>
      <c r="M124" s="289"/>
      <c r="N124" s="289"/>
      <c r="O124" s="289"/>
      <c r="P124" s="252"/>
      <c r="Q124" s="50"/>
      <c r="R124" s="19" t="str">
        <f>IF($A$25="mm","mm","in")</f>
        <v>mm</v>
      </c>
      <c r="S124" s="25" t="str">
        <f>IF(NOT(P118="Other"),"N/A",IF(Q124="","BLANK","EQ"))</f>
        <v>N/A</v>
      </c>
      <c r="U124" s="72"/>
      <c r="V124" s="60"/>
      <c r="W124" s="60"/>
      <c r="X124" s="60"/>
      <c r="Y124" s="60"/>
      <c r="Z124" s="92"/>
      <c r="AA124" s="67"/>
      <c r="AB124" s="68"/>
      <c r="AC124" s="55"/>
      <c r="AO124" s="47"/>
      <c r="AP124" s="49"/>
      <c r="AQ124" s="49"/>
      <c r="AR124" s="49"/>
      <c r="AS124" s="49"/>
      <c r="AT124" s="92"/>
      <c r="AU124" s="67"/>
      <c r="AV124" s="68"/>
      <c r="AW124" s="55"/>
      <c r="BI124" s="49"/>
      <c r="BJ124" s="49"/>
      <c r="BK124" s="49"/>
      <c r="BL124" s="49"/>
      <c r="BM124" s="49"/>
      <c r="BN124" s="49"/>
      <c r="BO124" s="55"/>
      <c r="BQ124" s="55"/>
      <c r="BS124" s="47"/>
      <c r="BT124" s="49"/>
      <c r="BU124" s="49"/>
      <c r="BV124" s="49"/>
      <c r="BW124" s="49"/>
      <c r="BX124" s="49" t="str">
        <f>IF(BY63=0,"",IF(NOT(BY111="Welded"),"","Shear strength &gt;= Test Load:"))</f>
        <v/>
      </c>
      <c r="BY124" s="58" t="str">
        <f>IF(BY122="","",BY109*BY122*BY123*IF($A$25="mm",1/10^6,1))</f>
        <v/>
      </c>
      <c r="BZ124" s="102" t="str">
        <f>IF(BY122="","",BY124/$U$23)</f>
        <v/>
      </c>
      <c r="CA124" s="55" t="str">
        <f>IF(BY63=0,"N/A",IF(NOT(BY111="Welded"),"N/A",IF(BZ124&lt;1,"REJECT","EQ")))</f>
        <v>N/A</v>
      </c>
      <c r="CC124" s="47"/>
      <c r="CD124" s="49"/>
      <c r="CE124" s="49"/>
      <c r="CF124" s="49"/>
      <c r="CG124" s="49"/>
      <c r="CH124" s="49" t="str">
        <f>IF(CI63=0,"",IF(NOT(CI111="Welded"),"","Shear strength &gt;= Test Load:"))</f>
        <v/>
      </c>
      <c r="CI124" s="58" t="str">
        <f>IF(CI122="","",CI109*CI122*CI123*IF($A$25="mm",1/10^6,1))</f>
        <v/>
      </c>
      <c r="CJ124" s="102" t="str">
        <f>IF(CI122="","",CI124/$U$23)</f>
        <v/>
      </c>
      <c r="CK124" s="55" t="str">
        <f>IF(CI63=0,"N/A",IF(NOT(CI111="Welded"),"N/A",IF(CJ124&lt;1,"REJECT","EQ")))</f>
        <v>N/A</v>
      </c>
      <c r="CM124" s="47"/>
      <c r="CN124" s="49"/>
      <c r="CO124" s="49"/>
      <c r="CP124" s="49"/>
      <c r="CQ124" s="49"/>
      <c r="CR124" s="49" t="str">
        <f>IF(CS63=0,"",IF(NOT(CS111="Welded"),"","Shear strength &gt;= Test Load:"))</f>
        <v/>
      </c>
      <c r="CS124" s="58" t="str">
        <f>IF(CS122="","",CS109*CS122*CS123*IF($A$25="mm",1/10^6,1))</f>
        <v/>
      </c>
      <c r="CT124" s="102" t="str">
        <f>IF(CS122="","",CS124/$U$23)</f>
        <v/>
      </c>
      <c r="CU124" s="55" t="str">
        <f>IF(CS63=0,"N/A",IF(NOT(CS111="Welded"),"N/A",IF(CT124&lt;1,"REJECT","EQ")))</f>
        <v>N/A</v>
      </c>
      <c r="CV124" s="41"/>
      <c r="CW124" s="47"/>
      <c r="CX124" s="49"/>
      <c r="CY124" s="49"/>
      <c r="CZ124" s="49"/>
      <c r="DA124" s="49"/>
      <c r="DB124" s="49" t="str">
        <f>IF(DC63=0,"",IF(NOT(DC111="Welded"),"","Shear strength &gt;= Test Load:"))</f>
        <v/>
      </c>
      <c r="DC124" s="58" t="str">
        <f>IF(DC122="","",DC109*DC122*DC123*IF($A$25="mm",1/10^6,1))</f>
        <v/>
      </c>
      <c r="DD124" s="102" t="str">
        <f>IF(DC122="","",DC124/$U$23)</f>
        <v/>
      </c>
      <c r="DE124" s="55" t="str">
        <f>IF(DC63=0,"N/A",IF(NOT(DC111="Welded"),"N/A",IF(DD124&lt;1,"REJECT","EQ")))</f>
        <v>N/A</v>
      </c>
      <c r="DG124" s="47"/>
      <c r="DH124" s="49"/>
      <c r="DI124" s="49"/>
      <c r="DJ124" s="49"/>
      <c r="DK124" s="49"/>
      <c r="DL124" s="49" t="str">
        <f>IF(DM63=0,"",IF(NOT(DM111="Welded"),"","Shear strength &gt;= Test Load:"))</f>
        <v/>
      </c>
      <c r="DM124" s="58" t="str">
        <f>IF(DM122="","",DM109*DM122*DM123*IF($A$25="mm",1/10^6,1))</f>
        <v/>
      </c>
      <c r="DN124" s="102" t="str">
        <f>IF(DM122="","",DM124/$U$23)</f>
        <v/>
      </c>
      <c r="DO124" s="55" t="str">
        <f>IF(DM63=0,"N/A",IF(NOT(DM111="Welded"),"N/A",IF(DN124&lt;1,"REJECT","EQ")))</f>
        <v>N/A</v>
      </c>
    </row>
    <row r="125" spans="1:119" x14ac:dyDescent="0.3">
      <c r="K125" s="293" t="s">
        <v>775</v>
      </c>
      <c r="L125" s="293"/>
      <c r="M125" s="293"/>
      <c r="N125" s="304" t="s">
        <v>775</v>
      </c>
      <c r="O125" s="293"/>
      <c r="P125" s="305"/>
      <c r="Q125" s="304" t="s">
        <v>775</v>
      </c>
      <c r="R125" s="293"/>
      <c r="S125" s="305"/>
      <c r="U125" s="72"/>
      <c r="V125" s="60"/>
      <c r="W125" s="60"/>
      <c r="X125" s="60"/>
      <c r="Y125" s="60"/>
      <c r="Z125" s="92"/>
      <c r="AA125" s="67"/>
      <c r="AB125" s="68"/>
      <c r="AC125" s="55"/>
      <c r="AO125" s="47"/>
      <c r="AP125" s="49"/>
      <c r="AQ125" s="49"/>
      <c r="AR125" s="49"/>
      <c r="AS125" s="49"/>
      <c r="AT125" s="58"/>
      <c r="AU125" s="58"/>
      <c r="AV125" s="68"/>
      <c r="AW125" s="25"/>
      <c r="BI125" s="60"/>
      <c r="BJ125" s="60"/>
      <c r="BK125" s="60"/>
      <c r="BL125" s="60"/>
      <c r="BM125" s="60"/>
      <c r="BN125" s="60"/>
      <c r="BO125" s="55"/>
      <c r="BQ125" s="25"/>
      <c r="BS125" s="49"/>
      <c r="BT125" s="60"/>
      <c r="BU125" s="60"/>
      <c r="BV125" s="60"/>
      <c r="BW125" s="60"/>
      <c r="BX125" s="64" t="str">
        <f>IF(BY63=0,"",IF(NOT(BY111="Bonded"),"","Shear strength of adhesive:"))</f>
        <v/>
      </c>
      <c r="BY125" s="76"/>
      <c r="BZ125" s="46" t="str">
        <f>IF($A$25="mm","N/mm^2","psi")</f>
        <v>N/mm^2</v>
      </c>
      <c r="CA125" s="55" t="str">
        <f>IF(BY63=0,"N/A",IF(NOT(BY111="Bonded"),"N/A",IF(BY125="","BLANK","EQ")))</f>
        <v>N/A</v>
      </c>
      <c r="CC125" s="49"/>
      <c r="CD125" s="60"/>
      <c r="CE125" s="60"/>
      <c r="CF125" s="60"/>
      <c r="CG125" s="60"/>
      <c r="CH125" s="64" t="str">
        <f>IF(CI63=0,"",IF(NOT(CI111="Bonded"),"","Shear strength of adhesive:"))</f>
        <v/>
      </c>
      <c r="CI125" s="76"/>
      <c r="CJ125" s="46" t="str">
        <f>IF($A$25="mm","N/mm^2","psi")</f>
        <v>N/mm^2</v>
      </c>
      <c r="CK125" s="55" t="str">
        <f>IF(CI63=0,"N/A",IF(NOT(CI111="Bonded"),"N/A",IF(CI125="","BLANK","EQ")))</f>
        <v>N/A</v>
      </c>
      <c r="CM125" s="49"/>
      <c r="CN125" s="60"/>
      <c r="CO125" s="60"/>
      <c r="CP125" s="60"/>
      <c r="CQ125" s="60"/>
      <c r="CR125" s="64" t="str">
        <f>IF(CS63=0,"",IF(NOT(CS111="Bonded"),"","Shear strength of adhesive:"))</f>
        <v/>
      </c>
      <c r="CS125" s="76"/>
      <c r="CT125" s="46" t="str">
        <f>IF($A$25="mm","N/mm^2","psi")</f>
        <v>N/mm^2</v>
      </c>
      <c r="CU125" s="55" t="str">
        <f>IF(CS63=0,"N/A",IF(NOT(CS111="Bonded"),"N/A",IF(CS125="","BLANK","EQ")))</f>
        <v>N/A</v>
      </c>
      <c r="CW125" s="49"/>
      <c r="CX125" s="60"/>
      <c r="CY125" s="60"/>
      <c r="CZ125" s="60"/>
      <c r="DA125" s="60"/>
      <c r="DB125" s="64" t="str">
        <f>IF(DC63=0,"",IF(NOT(DC111="Bonded"),"","Shear strength of adhesive:"))</f>
        <v/>
      </c>
      <c r="DC125" s="76"/>
      <c r="DD125" s="46" t="str">
        <f>IF($A$25="mm","N/mm^2","psi")</f>
        <v>N/mm^2</v>
      </c>
      <c r="DE125" s="55" t="str">
        <f>IF(DC63=0,"N/A",IF(NOT(DC111="Bonded"),"N/A",IF(DC125="","BLANK","EQ")))</f>
        <v>N/A</v>
      </c>
      <c r="DG125" s="49"/>
      <c r="DH125" s="60"/>
      <c r="DI125" s="60"/>
      <c r="DJ125" s="60"/>
      <c r="DK125" s="60"/>
      <c r="DL125" s="64" t="str">
        <f>IF(DM63=0,"",IF(NOT(DM111="Bonded"),"","Shear strength of adhesive:"))</f>
        <v/>
      </c>
      <c r="DM125" s="76"/>
      <c r="DN125" s="46" t="str">
        <f>IF($A$25="mm","N/mm^2","psi")</f>
        <v>N/mm^2</v>
      </c>
      <c r="DO125" s="55" t="str">
        <f>IF(DM63=0,"N/A",IF(NOT(DM111="Bonded"),"N/A",IF(DM125="","BLANK","EQ")))</f>
        <v>N/A</v>
      </c>
    </row>
    <row r="126" spans="1:119" ht="15.6" x14ac:dyDescent="0.3">
      <c r="K126" s="25" t="s">
        <v>776</v>
      </c>
      <c r="L126" s="25">
        <f>IF($A$25="mm",Q117/1000,Q117)</f>
        <v>0</v>
      </c>
      <c r="M126" s="19" t="str">
        <f>IF($A$25="mm","m","in")</f>
        <v>m</v>
      </c>
      <c r="N126" s="157" t="s">
        <v>777</v>
      </c>
      <c r="O126" s="92">
        <f>L126*L127</f>
        <v>0</v>
      </c>
      <c r="P126" s="158" t="str">
        <f>IF($A$25="mm","m^2","in^2")</f>
        <v>m^2</v>
      </c>
      <c r="Q126" s="157" t="s">
        <v>778</v>
      </c>
      <c r="R126" s="92">
        <f>(L126*L127^3)/12</f>
        <v>0</v>
      </c>
      <c r="S126" s="158" t="str">
        <f>IF($A$25="mm","m^4","in^4")</f>
        <v>m^4</v>
      </c>
      <c r="U126" s="47"/>
      <c r="V126" s="49"/>
      <c r="W126" s="49"/>
      <c r="X126" s="49"/>
      <c r="Y126" s="49"/>
      <c r="Z126" s="92"/>
      <c r="AA126" s="67"/>
      <c r="AB126" s="68"/>
      <c r="AC126" s="55"/>
      <c r="AO126" s="47"/>
      <c r="AP126" s="49"/>
      <c r="AQ126" s="49"/>
      <c r="AR126" s="49"/>
      <c r="AS126" s="49"/>
      <c r="AT126" s="49"/>
      <c r="AU126" s="58"/>
      <c r="AW126" s="25"/>
      <c r="BI126" s="49"/>
      <c r="BJ126" s="49"/>
      <c r="BK126" s="49"/>
      <c r="BL126" s="49"/>
      <c r="BM126" s="49"/>
      <c r="BN126" s="49"/>
      <c r="BO126" s="25"/>
      <c r="BQ126" s="25"/>
      <c r="BS126" s="49"/>
      <c r="BT126" s="60"/>
      <c r="BU126" s="60"/>
      <c r="BV126" s="60"/>
      <c r="BW126" s="60"/>
      <c r="BX126" s="64" t="str">
        <f>IF(BY63=0,"",IF(NOT(BY111="Bonded"),"","Tensile/peel strength of adhesive:"))</f>
        <v/>
      </c>
      <c r="BY126" s="76"/>
      <c r="BZ126" s="46" t="str">
        <f>IF($A$25="mm","N/mm^2","psi")</f>
        <v>N/mm^2</v>
      </c>
      <c r="CA126" s="55" t="str">
        <f>IF(BY63=0,"N/A",IF(NOT(BY111="Bonded"),"N/A",IF(BY126="","BLANK","EQ")))</f>
        <v>N/A</v>
      </c>
      <c r="CC126" s="49"/>
      <c r="CD126" s="60"/>
      <c r="CE126" s="60"/>
      <c r="CF126" s="60"/>
      <c r="CG126" s="60"/>
      <c r="CH126" s="64" t="str">
        <f>IF(CI63=0,"",IF(NOT(CI111="Bonded"),"","Tensile/peel strength of adhesive:"))</f>
        <v/>
      </c>
      <c r="CI126" s="76"/>
      <c r="CJ126" s="46" t="str">
        <f>IF($A$25="mm","N/mm^2","psi")</f>
        <v>N/mm^2</v>
      </c>
      <c r="CK126" s="55" t="str">
        <f>IF(CI63=0,"N/A",IF(NOT(CI111="Bonded"),"N/A",IF(CI126="","BLANK","EQ")))</f>
        <v>N/A</v>
      </c>
      <c r="CM126" s="49"/>
      <c r="CN126" s="60"/>
      <c r="CO126" s="60"/>
      <c r="CP126" s="60"/>
      <c r="CQ126" s="60"/>
      <c r="CR126" s="64" t="str">
        <f>IF(CS63=0,"",IF(NOT(CS111="Bonded"),"","Tensile/peel strength of adhesive:"))</f>
        <v/>
      </c>
      <c r="CS126" s="76"/>
      <c r="CT126" s="46" t="str">
        <f>IF($A$25="mm","N/mm^2","psi")</f>
        <v>N/mm^2</v>
      </c>
      <c r="CU126" s="55" t="str">
        <f>IF(CS63=0,"N/A",IF(NOT(CS111="Bonded"),"N/A",IF(CS126="","BLANK","EQ")))</f>
        <v>N/A</v>
      </c>
      <c r="CW126" s="49"/>
      <c r="CX126" s="60"/>
      <c r="CY126" s="60"/>
      <c r="CZ126" s="60"/>
      <c r="DA126" s="60"/>
      <c r="DB126" s="64" t="str">
        <f>IF(DC63=0,"",IF(NOT(DC111="Bonded"),"","Tensile/peel strength of adhesive:"))</f>
        <v/>
      </c>
      <c r="DC126" s="76"/>
      <c r="DD126" s="46" t="str">
        <f>IF($A$25="mm","N/mm^2","psi")</f>
        <v>N/mm^2</v>
      </c>
      <c r="DE126" s="55" t="str">
        <f>IF(DC63=0,"N/A",IF(NOT(DC111="Bonded"),"N/A",IF(DC126="","BLANK","EQ")))</f>
        <v>N/A</v>
      </c>
      <c r="DG126" s="49"/>
      <c r="DH126" s="60"/>
      <c r="DI126" s="60"/>
      <c r="DJ126" s="60"/>
      <c r="DK126" s="60"/>
      <c r="DL126" s="64" t="str">
        <f>IF(DM63=0,"",IF(NOT(DM111="Bonded"),"","Tensile/peel strength of adhesive:"))</f>
        <v/>
      </c>
      <c r="DM126" s="76"/>
      <c r="DN126" s="46" t="str">
        <f>IF($A$25="mm","N/mm^2","psi")</f>
        <v>N/mm^2</v>
      </c>
      <c r="DO126" s="55" t="str">
        <f>IF(DM63=0,"N/A",IF(NOT(DM111="Bonded"),"N/A",IF(DM126="","BLANK","EQ")))</f>
        <v>N/A</v>
      </c>
    </row>
    <row r="127" spans="1:119" ht="15.6" x14ac:dyDescent="0.3">
      <c r="K127" s="93" t="s">
        <v>779</v>
      </c>
      <c r="L127" s="25">
        <f>IF($A$25="mm",Q123/1000,Q123)</f>
        <v>0</v>
      </c>
      <c r="M127" s="19" t="str">
        <f>IF($A$25="mm","m","in")</f>
        <v>m</v>
      </c>
      <c r="N127" s="157" t="s">
        <v>780</v>
      </c>
      <c r="O127" s="92">
        <f>L129*L130</f>
        <v>0</v>
      </c>
      <c r="P127" s="158" t="str">
        <f>IF($A$25="mm","m^2","in^2")</f>
        <v>m^2</v>
      </c>
      <c r="Q127" s="157" t="s">
        <v>781</v>
      </c>
      <c r="R127" s="92">
        <f>(L129*L130^3)/12</f>
        <v>0</v>
      </c>
      <c r="S127" s="158" t="str">
        <f>IF($A$25="mm","m^4","in^4")</f>
        <v>m^4</v>
      </c>
      <c r="U127" s="47"/>
      <c r="V127" s="49"/>
      <c r="W127" s="49"/>
      <c r="X127" s="49"/>
      <c r="Y127" s="49"/>
      <c r="Z127" s="92"/>
      <c r="AA127" s="67"/>
      <c r="AB127" s="68"/>
      <c r="AC127" s="55"/>
      <c r="AO127" s="47"/>
      <c r="AP127" s="46"/>
      <c r="BI127" s="49"/>
      <c r="BJ127" s="49"/>
      <c r="BK127" s="49"/>
      <c r="BL127" s="49"/>
      <c r="BM127" s="49"/>
      <c r="BN127" s="49"/>
      <c r="BO127" s="25"/>
      <c r="BQ127" s="25"/>
      <c r="BS127" s="60"/>
      <c r="BT127" s="60"/>
      <c r="BU127" s="60"/>
      <c r="BV127" s="60"/>
      <c r="BW127" s="60"/>
      <c r="BX127" s="73" t="str">
        <f>IF(BY63=0,"",IF(NOT(BY111="Bonded"),"","Minimum bond area:"))</f>
        <v/>
      </c>
      <c r="BY127" s="76"/>
      <c r="BZ127" s="19" t="str">
        <f>IF($A$25="mm","mm^2","in^2")</f>
        <v>mm^2</v>
      </c>
      <c r="CA127" s="55" t="str">
        <f>IF(BY63=0,"N/A",IF(NOT(BY111="Bonded"),"N/A",IF(BY127="","BLANK","EQ")))</f>
        <v>N/A</v>
      </c>
      <c r="CC127" s="60"/>
      <c r="CD127" s="60"/>
      <c r="CE127" s="60"/>
      <c r="CF127" s="60"/>
      <c r="CG127" s="60"/>
      <c r="CH127" s="73" t="str">
        <f>IF(CI63=0,"",IF(NOT(CI111="Bonded"),"","Minimum bond area:"))</f>
        <v/>
      </c>
      <c r="CI127" s="76"/>
      <c r="CJ127" s="19" t="str">
        <f>IF($A$25="mm","mm^2","in^2")</f>
        <v>mm^2</v>
      </c>
      <c r="CK127" s="55" t="str">
        <f>IF(CI63=0,"N/A",IF(NOT(CI111="Bonded"),"N/A",IF(CI127="","BLANK","EQ")))</f>
        <v>N/A</v>
      </c>
      <c r="CM127" s="60"/>
      <c r="CN127" s="60"/>
      <c r="CO127" s="60"/>
      <c r="CP127" s="60"/>
      <c r="CQ127" s="60"/>
      <c r="CR127" s="73" t="str">
        <f>IF(CS63=0,"",IF(NOT(CS111="Bonded"),"","Minimum bond area:"))</f>
        <v/>
      </c>
      <c r="CS127" s="76"/>
      <c r="CT127" s="19" t="str">
        <f>IF($A$25="mm","mm^2","in^2")</f>
        <v>mm^2</v>
      </c>
      <c r="CU127" s="55" t="str">
        <f>IF(CS63=0,"N/A",IF(NOT(CS111="Bonded"),"N/A",IF(CS127="","BLANK","EQ")))</f>
        <v>N/A</v>
      </c>
      <c r="CW127" s="60"/>
      <c r="CX127" s="60"/>
      <c r="CY127" s="60"/>
      <c r="CZ127" s="60"/>
      <c r="DA127" s="60"/>
      <c r="DB127" s="73" t="str">
        <f>IF(DC63=0,"",IF(NOT(DC111="Bonded"),"","Minimum bond area:"))</f>
        <v/>
      </c>
      <c r="DC127" s="76"/>
      <c r="DD127" s="19" t="str">
        <f>IF($A$25="mm","mm^2","in^2")</f>
        <v>mm^2</v>
      </c>
      <c r="DE127" s="55" t="str">
        <f>IF(DC63=0,"N/A",IF(NOT(DC111="Bonded"),"N/A",IF(DC127="","BLANK","EQ")))</f>
        <v>N/A</v>
      </c>
      <c r="DG127" s="60"/>
      <c r="DH127" s="60"/>
      <c r="DI127" s="60"/>
      <c r="DJ127" s="60"/>
      <c r="DK127" s="60"/>
      <c r="DL127" s="73" t="str">
        <f>IF(DM63=0,"",IF(NOT(DM111="Bonded"),"","Minimum bond area:"))</f>
        <v/>
      </c>
      <c r="DM127" s="76"/>
      <c r="DN127" s="19" t="str">
        <f>IF($A$25="mm","mm^2","in^2")</f>
        <v>mm^2</v>
      </c>
      <c r="DO127" s="55" t="str">
        <f>IF(DM63=0,"N/A",IF(NOT(DM111="Bonded"),"N/A",IF(DM127="","BLANK","EQ")))</f>
        <v>N/A</v>
      </c>
    </row>
    <row r="128" spans="1:119" ht="15.6" x14ac:dyDescent="0.3">
      <c r="K128" s="93" t="s">
        <v>782</v>
      </c>
      <c r="L128" s="25">
        <f>IF($A$25="mm",Q121/1000,Q121)</f>
        <v>0</v>
      </c>
      <c r="M128" s="19" t="str">
        <f>IF($A$25="mm","m","in")</f>
        <v>m</v>
      </c>
      <c r="N128" s="157" t="s">
        <v>783</v>
      </c>
      <c r="O128" s="95">
        <f>L130/2</f>
        <v>0</v>
      </c>
      <c r="P128" s="158" t="str">
        <f>IF($A$25="mm","m","in")</f>
        <v>m</v>
      </c>
      <c r="Q128" s="157" t="s">
        <v>784</v>
      </c>
      <c r="R128" s="92">
        <f>IF(O130="","",R126+(O126*(O130-O128)^2))</f>
        <v>0</v>
      </c>
      <c r="S128" s="158" t="str">
        <f>IF($A$25="mm","m^4","in^4")</f>
        <v>m^4</v>
      </c>
      <c r="U128" s="47"/>
      <c r="V128" s="49"/>
      <c r="W128" s="49"/>
      <c r="X128" s="49"/>
      <c r="Y128" s="49"/>
      <c r="Z128" s="58"/>
      <c r="AA128" s="58"/>
      <c r="AB128" s="68"/>
      <c r="AC128" s="25"/>
      <c r="AO128" s="25"/>
      <c r="AP128" s="25"/>
      <c r="AQ128" s="25"/>
      <c r="AR128" s="25"/>
      <c r="AS128" s="25"/>
      <c r="AT128" s="25"/>
      <c r="AU128" s="25"/>
      <c r="AV128" s="25"/>
      <c r="AW128" s="25"/>
      <c r="BI128" s="72"/>
      <c r="BJ128" s="72"/>
      <c r="BK128" s="72"/>
      <c r="BL128" s="72"/>
      <c r="BM128" s="72"/>
      <c r="BN128" s="72"/>
      <c r="BO128" s="72"/>
      <c r="BP128" s="72"/>
      <c r="BQ128" s="72"/>
      <c r="BS128" s="47"/>
      <c r="BT128" s="49"/>
      <c r="BU128" s="49"/>
      <c r="BV128" s="49"/>
      <c r="BW128" s="49"/>
      <c r="BX128" s="49" t="str">
        <f>IF(BY63=0,"",IF(NOT(BY111="Bonded"),"","Shear strength &gt;= Test Load:"))</f>
        <v/>
      </c>
      <c r="BY128" s="58" t="str">
        <f>IF(BY127="","",BY125*BY127)</f>
        <v/>
      </c>
      <c r="BZ128" s="102" t="str">
        <f>IF(OR(BY125="",BY127=""),"",BY128/$U$23)</f>
        <v/>
      </c>
      <c r="CA128" s="55" t="str">
        <f>IF(BY63=0,"N/A",IF(NOT(BY111="Bonded"),"N/A",IF(BZ128&lt;1,"REJECT","EQ")))</f>
        <v>N/A</v>
      </c>
      <c r="CC128" s="47"/>
      <c r="CD128" s="49"/>
      <c r="CE128" s="49"/>
      <c r="CF128" s="49"/>
      <c r="CG128" s="49"/>
      <c r="CH128" s="49" t="str">
        <f>IF(CI63=0,"",IF(NOT(CI111="Bonded"),"","Shear strength &gt;= Test Load:"))</f>
        <v/>
      </c>
      <c r="CI128" s="58" t="str">
        <f>IF(CI127="","",CI125*CI127)</f>
        <v/>
      </c>
      <c r="CJ128" s="102" t="str">
        <f>IF(OR(CI125="",CI127=""),"",CI128/$U$23)</f>
        <v/>
      </c>
      <c r="CK128" s="55" t="str">
        <f>IF(CI63=0,"N/A",IF(NOT(CI111="Bonded"),"N/A",IF(CJ128&lt;1,"REJECT","EQ")))</f>
        <v>N/A</v>
      </c>
      <c r="CM128" s="47"/>
      <c r="CN128" s="49"/>
      <c r="CO128" s="49"/>
      <c r="CP128" s="49"/>
      <c r="CQ128" s="49"/>
      <c r="CR128" s="49" t="str">
        <f>IF(CS63=0,"",IF(NOT(CS111="Bonded"),"","Shear strength &gt;= Test Load:"))</f>
        <v/>
      </c>
      <c r="CS128" s="58" t="str">
        <f>IF(CS127="","",CS125*CS127)</f>
        <v/>
      </c>
      <c r="CT128" s="102" t="str">
        <f>IF(OR(CS125="",CS127=""),"",CS128/$U$23)</f>
        <v/>
      </c>
      <c r="CU128" s="55" t="str">
        <f>IF(CS63=0,"N/A",IF(NOT(CS111="Bonded"),"N/A",IF(CT128&lt;1,"REJECT","EQ")))</f>
        <v>N/A</v>
      </c>
      <c r="CW128" s="47"/>
      <c r="CX128" s="49"/>
      <c r="CY128" s="49"/>
      <c r="CZ128" s="49"/>
      <c r="DA128" s="49"/>
      <c r="DB128" s="49" t="str">
        <f>IF(DC63=0,"",IF(NOT(DC111="Bonded"),"","Shear strength &gt;= Test Load:"))</f>
        <v/>
      </c>
      <c r="DC128" s="58" t="str">
        <f>IF(DC127="","",DC125*DC127)</f>
        <v/>
      </c>
      <c r="DD128" s="102" t="str">
        <f>IF(OR(DC125="",DC127=""),"",DC128/$U$23)</f>
        <v/>
      </c>
      <c r="DE128" s="55" t="str">
        <f>IF(DC63=0,"N/A",IF(NOT(DC111="Bonded"),"N/A",IF(DD128&lt;1,"REJECT","EQ")))</f>
        <v>N/A</v>
      </c>
      <c r="DG128" s="47"/>
      <c r="DH128" s="49"/>
      <c r="DI128" s="49"/>
      <c r="DJ128" s="49"/>
      <c r="DK128" s="49"/>
      <c r="DL128" s="49" t="str">
        <f>IF(DM63=0,"",IF(NOT(DM111="Bonded"),"","Shear strength &gt;= Test Load:"))</f>
        <v/>
      </c>
      <c r="DM128" s="58" t="str">
        <f>IF(DM127="","",DM125*DM127)</f>
        <v/>
      </c>
      <c r="DN128" s="102" t="str">
        <f>IF(OR(DM125="",DM127=""),"",DM128/$U$23)</f>
        <v/>
      </c>
      <c r="DO128" s="55" t="str">
        <f>IF(DM63=0,"N/A",IF(NOT(DM111="Bonded"),"N/A",IF(DN128&lt;1,"REJECT","EQ")))</f>
        <v>N/A</v>
      </c>
    </row>
    <row r="129" spans="11:119" ht="15.6" x14ac:dyDescent="0.3">
      <c r="K129" s="25" t="s">
        <v>785</v>
      </c>
      <c r="L129" s="25">
        <f>IF($A$25="mm",Q117/1000,Q117)</f>
        <v>0</v>
      </c>
      <c r="M129" s="19" t="str">
        <f>IF($A$25="mm","m","in")</f>
        <v>m</v>
      </c>
      <c r="N129" s="157" t="s">
        <v>786</v>
      </c>
      <c r="O129" s="95">
        <f>(L128-0.5*L130)</f>
        <v>0</v>
      </c>
      <c r="P129" s="158" t="str">
        <f>IF($A$25="mm","m","in")</f>
        <v>m</v>
      </c>
      <c r="Q129" s="157" t="s">
        <v>787</v>
      </c>
      <c r="R129" s="92">
        <f>IF(O130="","",R127+(O127*(O130-O129)^2))</f>
        <v>0</v>
      </c>
      <c r="S129" s="158" t="str">
        <f>IF($A$25="mm","m^4","in^4")</f>
        <v>m^4</v>
      </c>
      <c r="U129" s="47"/>
      <c r="V129" s="49"/>
      <c r="W129" s="49"/>
      <c r="X129" s="49"/>
      <c r="Y129" s="49"/>
      <c r="Z129" s="49"/>
      <c r="AA129" s="58"/>
      <c r="AC129" s="25"/>
      <c r="AO129" s="47"/>
      <c r="AP129" s="48"/>
      <c r="AQ129" s="48"/>
      <c r="AR129" s="48"/>
      <c r="AS129" s="48"/>
      <c r="AT129" s="25"/>
      <c r="AU129" s="25"/>
      <c r="AW129" s="25"/>
      <c r="BI129" s="25"/>
      <c r="BJ129" s="25"/>
      <c r="BL129" s="49"/>
      <c r="BM129" s="92"/>
      <c r="BO129" s="49"/>
      <c r="BP129" s="92"/>
      <c r="BS129" s="25"/>
      <c r="BT129" s="25"/>
      <c r="BV129" s="91"/>
      <c r="BW129" s="95"/>
      <c r="BX129" s="49" t="str">
        <f>IF(BY63=0,"",IF(NOT(BY111="Bonded"),"","0.5*Tensile/Peel*Area &gt;= Test Load *Offset:"))</f>
        <v/>
      </c>
      <c r="BY129" s="58" t="str">
        <f>IF(BY127="","",0.5*BY126*BY127)</f>
        <v/>
      </c>
      <c r="BZ129" s="102" t="str">
        <f>IF(OR(BY127="",BY126=""),"",BY129/($U$23*BY63/IF(MIN(BY96,BY100)&gt;0,MIN(BY96,BY100),BY63)))</f>
        <v/>
      </c>
      <c r="CA129" s="55" t="str">
        <f>IF(BY63=0,"N/A",IF(NOT(BY111="Bonded"),"N/A",IF(BZ129&lt;1,"REJECT","EQ")))</f>
        <v>N/A</v>
      </c>
      <c r="CC129" s="25"/>
      <c r="CD129" s="25"/>
      <c r="CF129" s="91"/>
      <c r="CG129" s="95"/>
      <c r="CH129" s="49" t="str">
        <f>IF(CI63=0,"",IF(NOT(CI111="Bonded"),"","0.5*Tensile/Peel*Area &gt;= Test Load *Offset:"))</f>
        <v/>
      </c>
      <c r="CI129" s="58" t="str">
        <f>IF(CI127="","",0.5*CI126*CI127)</f>
        <v/>
      </c>
      <c r="CJ129" s="102" t="str">
        <f>IF(OR(CI127="",CI126=""),"",CI129/($U$23*CI63/IF(MIN(CI96,CI100)&gt;0,MIN(CI96,CI100),CI63)))</f>
        <v/>
      </c>
      <c r="CK129" s="55" t="str">
        <f>IF(CI63=0,"N/A",IF(NOT(CI111="Bonded"),"N/A",IF(CJ129&lt;1,"REJECT","EQ")))</f>
        <v>N/A</v>
      </c>
      <c r="CM129" s="25"/>
      <c r="CN129" s="25"/>
      <c r="CP129" s="91"/>
      <c r="CQ129" s="95"/>
      <c r="CR129" s="49" t="str">
        <f>IF(CS63=0,"",IF(NOT(CS111="Bonded"),"","0.5*Tensile/Peel*Area &gt;= Test Load *Offset:"))</f>
        <v/>
      </c>
      <c r="CS129" s="58" t="str">
        <f>IF(CS127="","",0.5*CS126*CS127)</f>
        <v/>
      </c>
      <c r="CT129" s="102" t="str">
        <f>IF(OR(CS127="",CS126=""),"",CS129/($U$23*CS63/IF(MIN(CS96,CS100)&gt;0,MIN(CS96,CS100),CS63)))</f>
        <v/>
      </c>
      <c r="CU129" s="55" t="str">
        <f>IF(CS63=0,"N/A",IF(NOT(CS111="Bonded"),"N/A",IF(CT129&lt;1,"REJECT","EQ")))</f>
        <v>N/A</v>
      </c>
      <c r="CW129" s="25"/>
      <c r="CX129" s="25"/>
      <c r="CZ129" s="91"/>
      <c r="DA129" s="95"/>
      <c r="DB129" s="49" t="str">
        <f>IF(DC63=0,"",IF(NOT(DC111="Bonded"),"","0.5*Tensile/Peel*Area &gt;= Test Load *Offset:"))</f>
        <v/>
      </c>
      <c r="DC129" s="58" t="str">
        <f>IF(DC127="","",0.5*DC126*DC127)</f>
        <v/>
      </c>
      <c r="DD129" s="102" t="str">
        <f>IF(OR(DC127="",DC126=""),"",DC129/($U$23*DC63/IF(MIN(DC96,DC100)&gt;0,MIN(DC96,DC100),DC63)))</f>
        <v/>
      </c>
      <c r="DE129" s="55" t="str">
        <f>IF(DC63=0,"N/A",IF(NOT(DC111="Bonded"),"N/A",IF(DD129&lt;1,"REJECT","EQ")))</f>
        <v>N/A</v>
      </c>
      <c r="DG129" s="25"/>
      <c r="DH129" s="25"/>
      <c r="DJ129" s="91"/>
      <c r="DK129" s="95"/>
      <c r="DL129" s="49" t="str">
        <f>IF(DM63=0,"",IF(NOT(DM111="Bonded"),"","0.5*Tensile/Peel*Area &gt;= Test Load *Offset:"))</f>
        <v/>
      </c>
      <c r="DM129" s="58" t="str">
        <f>IF(DM127="","",0.5*DM126*DM127)</f>
        <v/>
      </c>
      <c r="DN129" s="102" t="str">
        <f>IF(OR(DM127="",DM126=""),"",DM129/($U$23*DM63/IF(MIN(DM96,DM100)&gt;0,MIN(DM96,DM100),DM63)))</f>
        <v/>
      </c>
      <c r="DO129" s="55" t="str">
        <f>IF(DM63=0,"N/A",IF(NOT(DM111="Bonded"),"N/A",IF(DN129&lt;1,"REJECT","EQ")))</f>
        <v>N/A</v>
      </c>
    </row>
    <row r="130" spans="11:119" ht="15.6" x14ac:dyDescent="0.3">
      <c r="K130" s="25" t="s">
        <v>788</v>
      </c>
      <c r="L130" s="25">
        <f>IF($A$25="mm",Q124/1000,Q124)</f>
        <v>0</v>
      </c>
      <c r="M130" s="19" t="str">
        <f>IF($A$25="mm","m","in")</f>
        <v>m</v>
      </c>
      <c r="N130" s="157" t="s">
        <v>789</v>
      </c>
      <c r="O130" s="95">
        <f>IF(OR(Q117="",Q123="",Q124=""),0,(O126*O128+O127*O129)/(O126+O127))</f>
        <v>0</v>
      </c>
      <c r="P130" s="158" t="str">
        <f>IF($A$25="mm","m","in")</f>
        <v>m</v>
      </c>
      <c r="Q130" s="157" t="s">
        <v>790</v>
      </c>
      <c r="R130" s="92">
        <f>IF(O130="",0,R128+R129)</f>
        <v>0</v>
      </c>
      <c r="S130" s="158" t="str">
        <f>IF($A$25="mm","m^4","in^4")</f>
        <v>m^4</v>
      </c>
      <c r="U130" s="47"/>
      <c r="V130" s="49"/>
      <c r="W130" s="49"/>
      <c r="X130" s="49"/>
      <c r="Y130" s="49"/>
      <c r="Z130" s="25"/>
      <c r="AA130" s="25"/>
      <c r="AC130" s="25"/>
      <c r="AO130" s="47"/>
      <c r="AP130" s="49"/>
      <c r="AQ130" s="49"/>
      <c r="AR130" s="49"/>
      <c r="AS130" s="49"/>
      <c r="AT130" s="47"/>
      <c r="AU130" s="47"/>
      <c r="AV130" s="47"/>
      <c r="AW130" s="25"/>
      <c r="BI130" s="93"/>
      <c r="BJ130" s="25"/>
      <c r="BL130" s="49"/>
      <c r="BM130" s="92"/>
      <c r="BO130" s="49"/>
      <c r="BP130" s="92"/>
      <c r="BS130" s="60"/>
      <c r="BT130" s="49"/>
      <c r="BU130" s="49"/>
      <c r="BV130" s="49"/>
      <c r="BW130" s="49"/>
      <c r="BX130" s="228" t="str">
        <f>IF(BY63=0,"",IF(NOT(BY111="Bonded"),"","Bonded Area Perimeter:"))</f>
        <v/>
      </c>
      <c r="BY130" s="229"/>
      <c r="BZ130" s="230" t="str">
        <f>IF($A$25="mm","mm","in")</f>
        <v>mm</v>
      </c>
      <c r="CA130" s="231" t="str">
        <f>IF(BY63=0,"N/A",IF(NOT(BY111="Bonded"),"N/A",IF(BY130="","BLANK","EQ")))</f>
        <v>N/A</v>
      </c>
      <c r="CH130" s="228" t="str">
        <f>IF(CI63=0,"",IF(NOT(CI111="Bonded"),"","Bonded Area Perimeter:"))</f>
        <v/>
      </c>
      <c r="CI130" s="229"/>
      <c r="CJ130" s="230" t="str">
        <f>IF($A$25="mm","mm","in")</f>
        <v>mm</v>
      </c>
      <c r="CK130" s="231" t="str">
        <f>IF(CI63=0,"N/A",IF(NOT(CI111="Bonded"),"N/A",IF(CI130="","BLANK","EQ")))</f>
        <v>N/A</v>
      </c>
      <c r="CR130" s="228" t="str">
        <f>IF(CS63=0,"",IF(NOT(CS111="Bonded"),"","Bonded Area Perimeter:"))</f>
        <v/>
      </c>
      <c r="CS130" s="229"/>
      <c r="CT130" s="230" t="str">
        <f>IF($A$25="mm","mm","in")</f>
        <v>mm</v>
      </c>
      <c r="CU130" s="231" t="str">
        <f>IF(CS63=0,"N/A",IF(NOT(CS111="Bonded"),"N/A",IF(CS130="","BLANK","EQ")))</f>
        <v>N/A</v>
      </c>
      <c r="DB130" s="228" t="str">
        <f>IF(DC63=0,"",IF(NOT(DC111="Bonded"),"","Bonded Area Perimeter:"))</f>
        <v/>
      </c>
      <c r="DC130" s="229"/>
      <c r="DD130" s="230" t="str">
        <f>IF($A$25="mm","mm","in")</f>
        <v>mm</v>
      </c>
      <c r="DE130" s="231" t="str">
        <f>IF(DC63=0,"N/A",IF(NOT(DC111="Bonded"),"N/A",IF(DC130="","BLANK","EQ")))</f>
        <v>N/A</v>
      </c>
      <c r="DL130" s="228" t="str">
        <f>IF(DM63=0,"",IF(NOT(DM111="Bonded"),"","Bonded Area Perimeter:"))</f>
        <v/>
      </c>
      <c r="DM130" s="229"/>
      <c r="DN130" s="230" t="str">
        <f>IF($A$25="mm","mm","in")</f>
        <v>mm</v>
      </c>
      <c r="DO130" s="231" t="str">
        <f>IF(DM63=0,"N/A",IF(NOT(DM111="Bonded"),"N/A",IF(DM130="","BLANK","EQ")))</f>
        <v>N/A</v>
      </c>
    </row>
    <row r="131" spans="11:119" x14ac:dyDescent="0.3">
      <c r="K131" s="25"/>
      <c r="L131" s="25"/>
      <c r="N131" s="97"/>
      <c r="O131" s="294" t="s">
        <v>791</v>
      </c>
      <c r="P131" s="294"/>
      <c r="Q131" s="295" t="str">
        <f>P118</f>
        <v>Steel</v>
      </c>
      <c r="R131" s="295"/>
      <c r="U131" s="47"/>
      <c r="V131" s="49"/>
      <c r="W131" s="49"/>
      <c r="X131" s="49"/>
      <c r="Y131" s="49"/>
      <c r="Z131" s="25"/>
      <c r="AA131" s="25"/>
      <c r="AC131" s="25"/>
      <c r="AO131" s="25"/>
      <c r="AP131" s="49"/>
      <c r="AQ131" s="49"/>
      <c r="AR131" s="49"/>
      <c r="AS131" s="49"/>
      <c r="AT131" s="25"/>
      <c r="AU131" s="83"/>
      <c r="AV131" s="83"/>
      <c r="AW131" s="25"/>
      <c r="BI131" s="93"/>
      <c r="BJ131" s="25"/>
      <c r="BL131" s="49"/>
      <c r="BM131" s="55"/>
      <c r="BO131" s="49"/>
      <c r="BP131" s="92"/>
      <c r="BS131" s="47"/>
      <c r="BT131" s="49"/>
      <c r="BU131" s="49"/>
      <c r="BV131" s="49"/>
      <c r="BW131" s="49"/>
      <c r="BX131" s="228" t="str">
        <f>IF(BY63=0,"",IF(NOT(BY111="Bonded"),"","Bonded Single Skin Thickness:"))</f>
        <v/>
      </c>
      <c r="BY131" s="229"/>
      <c r="BZ131" s="230" t="str">
        <f>IF($A$25="mm","mm","in")</f>
        <v>mm</v>
      </c>
      <c r="CA131" s="231" t="str">
        <f>IF(BY63=0,"N/A",IF(NOT(BY111="Bonded"),"N/A",IF(BY125="","BLANK","EQ")))</f>
        <v>N/A</v>
      </c>
      <c r="CH131" s="228" t="str">
        <f>IF(CI63=0,"",IF(NOT(CI111="Bonded"),"","Bonded Single Skin Thickness:"))</f>
        <v/>
      </c>
      <c r="CI131" s="229"/>
      <c r="CJ131" s="230" t="str">
        <f>IF($A$25="mm","mm","in")</f>
        <v>mm</v>
      </c>
      <c r="CK131" s="231" t="str">
        <f>IF(CI63=0,"N/A",IF(NOT(CI111="Bonded"),"N/A",IF(CI125="","BLANK","EQ")))</f>
        <v>N/A</v>
      </c>
      <c r="CR131" s="228" t="str">
        <f>IF(CS63=0,"",IF(NOT(CS111="Bonded"),"","Bonded Single Skin Thickness:"))</f>
        <v/>
      </c>
      <c r="CS131" s="229"/>
      <c r="CT131" s="230" t="str">
        <f>IF($A$25="mm","mm","in")</f>
        <v>mm</v>
      </c>
      <c r="CU131" s="231" t="str">
        <f>IF(CS63=0,"N/A",IF(NOT(CS111="Bonded"),"N/A",IF(CS125="","BLANK","EQ")))</f>
        <v>N/A</v>
      </c>
      <c r="DB131" s="228" t="str">
        <f>IF(DC63=0,"",IF(NOT(DC111="Bonded"),"","Bonded Single Skin Thickness:"))</f>
        <v/>
      </c>
      <c r="DC131" s="229"/>
      <c r="DD131" s="230" t="str">
        <f>IF($A$25="mm","mm","in")</f>
        <v>mm</v>
      </c>
      <c r="DE131" s="231" t="str">
        <f>IF(DC63=0,"N/A",IF(NOT(DC111="Bonded"),"N/A",IF(DC125="","BLANK","EQ")))</f>
        <v>N/A</v>
      </c>
      <c r="DL131" s="228" t="str">
        <f>IF(DM63=0,"",IF(NOT(DM111="Bonded"),"","Bonded Single Skin Thickness:"))</f>
        <v/>
      </c>
      <c r="DM131" s="229"/>
      <c r="DN131" s="230" t="str">
        <f>IF($A$25="mm","mm","in")</f>
        <v>mm</v>
      </c>
      <c r="DO131" s="231" t="str">
        <f>IF(DM63=0,"N/A",IF(NOT(DM111="Bonded"),"N/A",IF(DM125="","BLANK","EQ")))</f>
        <v>N/A</v>
      </c>
    </row>
    <row r="132" spans="11:119" ht="15.75" customHeight="1" x14ac:dyDescent="0.3">
      <c r="K132" s="47"/>
      <c r="L132" s="289" t="s">
        <v>792</v>
      </c>
      <c r="M132" s="289"/>
      <c r="N132" s="289"/>
      <c r="O132" s="289"/>
      <c r="P132" s="25">
        <f>IF($A$25="mm",0.9/1000,0.035)</f>
        <v>8.9999999999999998E-4</v>
      </c>
      <c r="Q132" s="25">
        <f>IF($A$25="mm",Q121/1000,Q121)</f>
        <v>0</v>
      </c>
      <c r="R132" s="19" t="str">
        <f>IF($A$25="mm","m","in")</f>
        <v>m</v>
      </c>
      <c r="S132" s="25" t="str">
        <f>IF(NOT(P118="Other"),"N/A","EQ")</f>
        <v>N/A</v>
      </c>
      <c r="U132" s="47"/>
      <c r="V132" s="49"/>
      <c r="W132" s="49"/>
      <c r="X132" s="49"/>
      <c r="Y132" s="49"/>
      <c r="Z132" s="25"/>
      <c r="AA132" s="25"/>
      <c r="AC132" s="25"/>
      <c r="AO132" s="47"/>
      <c r="AP132" s="49"/>
      <c r="AQ132" s="49"/>
      <c r="AR132" s="49"/>
      <c r="AS132" s="49"/>
      <c r="AT132" s="25"/>
      <c r="AU132" s="25"/>
      <c r="AW132" s="25"/>
      <c r="BI132" s="25"/>
      <c r="BJ132" s="25"/>
      <c r="BL132" s="49"/>
      <c r="BM132" s="95"/>
      <c r="BO132" s="49"/>
      <c r="BP132" s="92"/>
      <c r="BS132" s="60"/>
      <c r="BT132" s="49"/>
      <c r="BU132" s="49"/>
      <c r="BV132" s="49"/>
      <c r="BW132" s="49"/>
      <c r="BX132" s="228" t="str">
        <f>IF(BY63=0,"",IF(NOT(BY111="Bonded"),"","Shear strength &gt;= Test Load:"))</f>
        <v/>
      </c>
      <c r="BY132" s="232" t="str">
        <f>IF(BY130="","",BY130*BY131*BY109*IF($A$25="mm",1/(10^6),1))</f>
        <v/>
      </c>
      <c r="BZ132" s="233" t="str">
        <f>IF(OR(BY130="",BY131=""),"",BY132/$U$23)</f>
        <v/>
      </c>
      <c r="CA132" s="231" t="str">
        <f>IF(BY63=0,"N/A",IF(NOT(BY111="Bonded"),"N/A",IF(BZ132&lt;1,"REJECT","EQ")))</f>
        <v>N/A</v>
      </c>
      <c r="CH132" s="228" t="str">
        <f>IF(CI63=0,"",IF(NOT(CI111="Bonded"),"","Shear strength &gt;= Test Load:"))</f>
        <v/>
      </c>
      <c r="CI132" s="232" t="str">
        <f>IF(CI130="","",CI130*CI131*CI109*IF($A$25="mm",1/(10^6),1))</f>
        <v/>
      </c>
      <c r="CJ132" s="233" t="str">
        <f>IF(OR(CI130="",CI131=""),"",CI132/$U$23)</f>
        <v/>
      </c>
      <c r="CK132" s="231" t="str">
        <f>IF(CI63=0,"N/A",IF(NOT(CI111="Bonded"),"N/A",IF(CJ132&lt;1,"REJECT","EQ")))</f>
        <v>N/A</v>
      </c>
      <c r="CR132" s="228" t="str">
        <f>IF(CS63=0,"",IF(NOT(CS111="Bonded"),"","Shear strength &gt;= Test Load:"))</f>
        <v/>
      </c>
      <c r="CS132" s="232" t="str">
        <f>IF(CS130="","",CS130*CS131*CS109*IF($A$25="mm",1/(10^6),1))</f>
        <v/>
      </c>
      <c r="CT132" s="233" t="str">
        <f>IF(OR(CS130="",CS131=""),"",CS132/$U$23)</f>
        <v/>
      </c>
      <c r="CU132" s="231" t="str">
        <f>IF(CS63=0,"N/A",IF(NOT(CS111="Bonded"),"N/A",IF(CT132&lt;1,"REJECT","EQ")))</f>
        <v>N/A</v>
      </c>
      <c r="DB132" s="228" t="str">
        <f>IF(DC63=0,"",IF(NOT(DC111="Bonded"),"","Shear strength &gt;= Test Load:"))</f>
        <v/>
      </c>
      <c r="DC132" s="232" t="str">
        <f>IF(DC130="","",DC130*DC131*DC109*IF($A$25="mm",1/(10^6),1))</f>
        <v/>
      </c>
      <c r="DD132" s="233" t="str">
        <f>IF(OR(DC130="",DC131=""),"",DC132/$U$23)</f>
        <v/>
      </c>
      <c r="DE132" s="231" t="str">
        <f>IF(DC63=0,"N/A",IF(NOT(DC111="Bonded"),"N/A",IF(DD132&lt;1,"REJECT","EQ")))</f>
        <v>N/A</v>
      </c>
      <c r="DL132" s="228" t="str">
        <f>IF(DM63=0,"",IF(NOT(DM111="Bonded"),"","Shear strength &gt;= Test Load:"))</f>
        <v/>
      </c>
      <c r="DM132" s="232" t="str">
        <f>IF(DM130="","",DM130*DM131*DM109*IF($A$25="mm",1/(10^6),1))</f>
        <v/>
      </c>
      <c r="DN132" s="233" t="str">
        <f>IF(OR(DM130="",DM131=""),"",DM132/$U$23)</f>
        <v/>
      </c>
      <c r="DO132" s="231" t="str">
        <f>IF(DM63=0,"N/A",IF(NOT(DM111="Bonded"),"N/A",IF(DN132&lt;1,"REJECT","EQ")))</f>
        <v>N/A</v>
      </c>
    </row>
    <row r="133" spans="11:119" x14ac:dyDescent="0.3">
      <c r="K133" s="49"/>
      <c r="L133" s="289" t="s">
        <v>793</v>
      </c>
      <c r="M133" s="289"/>
      <c r="N133" s="289"/>
      <c r="O133" s="289"/>
      <c r="P133" s="58">
        <f>Q117*P132/IF($A$25="mm",1000,1)</f>
        <v>0</v>
      </c>
      <c r="Q133" s="58">
        <f>O126+O127/IF($A$25="mm",1000,1)</f>
        <v>0</v>
      </c>
      <c r="R133" s="19" t="str">
        <f>IF($A$25="mm","m^2","in^2")</f>
        <v>m^2</v>
      </c>
      <c r="S133" s="25" t="str">
        <f>IF(NOT(P118="Other"),"N/A","EQ")</f>
        <v>N/A</v>
      </c>
      <c r="U133" s="49"/>
      <c r="V133" s="49"/>
      <c r="W133" s="49"/>
      <c r="X133" s="49"/>
      <c r="Y133" s="49"/>
      <c r="Z133" s="58"/>
      <c r="AA133" s="58"/>
      <c r="AC133" s="25"/>
      <c r="AP133" s="49"/>
      <c r="AQ133" s="49"/>
      <c r="AR133" s="49"/>
      <c r="AS133" s="49"/>
      <c r="AT133" s="25"/>
      <c r="AU133" s="25"/>
      <c r="AW133" s="25"/>
      <c r="BI133" s="25"/>
      <c r="BJ133" s="25"/>
      <c r="BL133" s="49"/>
      <c r="BM133" s="96"/>
      <c r="BO133" s="49"/>
      <c r="BP133" s="92"/>
      <c r="BS133" s="60"/>
      <c r="BT133" s="49"/>
      <c r="BU133" s="49"/>
      <c r="BV133" s="49"/>
      <c r="BW133" s="49"/>
      <c r="BX133" s="58"/>
      <c r="BY133" s="58"/>
      <c r="CA133" s="55"/>
    </row>
    <row r="134" spans="11:119" x14ac:dyDescent="0.3">
      <c r="K134" s="60"/>
      <c r="L134" s="289" t="s">
        <v>795</v>
      </c>
      <c r="M134" s="289"/>
      <c r="N134" s="289"/>
      <c r="O134" s="289"/>
      <c r="P134" s="58">
        <f>IF($A$25="mm",1/1000,1)*Q117*P132^3/12</f>
        <v>0</v>
      </c>
      <c r="Q134" s="58">
        <f>R130</f>
        <v>0</v>
      </c>
      <c r="R134" s="19" t="str">
        <f>IF($A$25="mm","m^4","in^4")</f>
        <v>m^4</v>
      </c>
      <c r="S134" s="25" t="str">
        <f>IF(NOT(P118="Other"),"N/A","EQ")</f>
        <v>N/A</v>
      </c>
      <c r="U134" s="60"/>
      <c r="V134" s="49"/>
      <c r="W134" s="49"/>
      <c r="X134" s="49"/>
      <c r="Y134" s="49"/>
      <c r="Z134" s="58"/>
      <c r="AA134" s="58"/>
      <c r="AC134" s="25"/>
      <c r="AO134" s="47"/>
      <c r="AP134" s="49"/>
      <c r="AQ134" s="49"/>
      <c r="AR134" s="49"/>
      <c r="AS134" s="49"/>
      <c r="AT134" s="25"/>
      <c r="AU134" s="25"/>
      <c r="AW134" s="25"/>
      <c r="BI134" s="25"/>
      <c r="BJ134" s="25"/>
      <c r="BL134" s="161"/>
      <c r="BM134" s="98"/>
      <c r="BN134" s="98"/>
      <c r="BO134" s="162"/>
      <c r="BP134" s="162"/>
      <c r="BS134" s="63"/>
      <c r="BT134" s="63"/>
      <c r="BU134" s="60"/>
      <c r="BV134" s="60"/>
      <c r="BW134" s="60"/>
      <c r="BX134" s="92"/>
      <c r="BY134" s="67"/>
      <c r="BZ134" s="68"/>
      <c r="CA134" s="55"/>
    </row>
    <row r="135" spans="11:119" x14ac:dyDescent="0.3">
      <c r="K135" s="47" t="s">
        <v>534</v>
      </c>
      <c r="L135" s="289" t="s">
        <v>510</v>
      </c>
      <c r="M135" s="289"/>
      <c r="N135" s="289"/>
      <c r="O135" s="289"/>
      <c r="P135" s="58">
        <f>$G$3</f>
        <v>200000000000</v>
      </c>
      <c r="Q135" s="58" t="e">
        <f>INDEX($G$3:$G$19,MATCH(Q120,$E$3:$E$19,0))</f>
        <v>#N/A</v>
      </c>
      <c r="R135" s="19" t="str">
        <f>IF($A$25="mm","Pa","psi")</f>
        <v>Pa</v>
      </c>
      <c r="S135" s="25" t="str">
        <f>IF(NOT(P118="Other"),"N/A",IF(Q135=0,"BLANK","EQ"))</f>
        <v>N/A</v>
      </c>
      <c r="U135" s="47"/>
      <c r="V135" s="49"/>
      <c r="W135" s="49"/>
      <c r="X135" s="49"/>
      <c r="Y135" s="49"/>
      <c r="Z135" s="58"/>
      <c r="AA135" s="58"/>
      <c r="AC135" s="25"/>
      <c r="AO135" s="47"/>
      <c r="AP135" s="49"/>
      <c r="AQ135" s="49"/>
      <c r="AR135" s="49"/>
      <c r="AS135" s="49"/>
      <c r="AT135" s="25"/>
      <c r="AU135" s="25"/>
      <c r="AW135" s="25"/>
      <c r="BI135" s="47"/>
      <c r="BJ135" s="49"/>
      <c r="BK135" s="49"/>
      <c r="BL135" s="49"/>
      <c r="BM135" s="49"/>
      <c r="BN135" s="25"/>
      <c r="BO135" s="25"/>
      <c r="BQ135" s="25"/>
      <c r="BS135" s="72"/>
      <c r="BT135" s="60"/>
      <c r="BU135" s="60"/>
      <c r="BV135" s="60"/>
      <c r="BW135" s="60"/>
      <c r="BX135" s="92"/>
      <c r="BY135" s="67"/>
      <c r="BZ135" s="68"/>
      <c r="CA135" s="55"/>
      <c r="CB135" s="25"/>
    </row>
    <row r="136" spans="11:119" x14ac:dyDescent="0.3">
      <c r="K136" s="289" t="s">
        <v>705</v>
      </c>
      <c r="L136" s="289"/>
      <c r="M136" s="289"/>
      <c r="N136" s="289"/>
      <c r="O136" s="289"/>
      <c r="P136" s="58">
        <f>$I$3</f>
        <v>365000000</v>
      </c>
      <c r="Q136" s="58" t="e">
        <f>INDEX($I$3:$I$19,MATCH(Q120,$E$3:$E$19,0))</f>
        <v>#N/A</v>
      </c>
      <c r="R136" s="75" t="e">
        <f>IF(OR(Q136=0,Q136=""),0,Q136/P136)</f>
        <v>#N/A</v>
      </c>
      <c r="S136" s="25" t="str">
        <f>IF(NOT(P118="Other"),"N/A",IF(OR(Q136="",Q136=0),"BLANK",IF(Q136&gt;=1,"EQ",IF(Q136&gt;=0.95,"CHECK","REJECT"))))</f>
        <v>N/A</v>
      </c>
      <c r="U136" s="60"/>
      <c r="V136" s="49"/>
      <c r="W136" s="49"/>
      <c r="X136" s="49"/>
      <c r="Y136" s="49"/>
      <c r="Z136" s="58"/>
      <c r="AA136" s="58"/>
      <c r="AC136" s="25"/>
      <c r="AO136" s="47"/>
      <c r="AP136" s="49"/>
      <c r="AQ136" s="49"/>
      <c r="AR136" s="49"/>
      <c r="AS136" s="49"/>
      <c r="AT136" s="25"/>
      <c r="AU136" s="25"/>
      <c r="AW136" s="25"/>
      <c r="BI136" s="49"/>
      <c r="BJ136" s="49"/>
      <c r="BK136" s="49"/>
      <c r="BL136" s="49"/>
      <c r="BM136" s="49"/>
      <c r="BN136" s="58"/>
      <c r="BO136" s="58"/>
      <c r="BQ136" s="25"/>
      <c r="BS136" s="25"/>
      <c r="BT136" s="25"/>
      <c r="BU136" s="25"/>
      <c r="BV136" s="25"/>
      <c r="BW136" s="25"/>
      <c r="BX136" s="25"/>
      <c r="BY136" s="25"/>
      <c r="BZ136" s="25"/>
      <c r="CA136" s="25"/>
      <c r="CB136" s="25"/>
    </row>
    <row r="137" spans="11:119" x14ac:dyDescent="0.3">
      <c r="K137" s="60"/>
      <c r="L137" s="289" t="s">
        <v>708</v>
      </c>
      <c r="M137" s="289"/>
      <c r="N137" s="289"/>
      <c r="O137" s="289"/>
      <c r="P137" s="58">
        <f>$K$3</f>
        <v>210604999.99999997</v>
      </c>
      <c r="Q137" s="58" t="e">
        <f>INDEX($K$3:$K$19,MATCH(Q120,$E$3:$E$19,0))</f>
        <v>#N/A</v>
      </c>
      <c r="R137" s="75" t="e">
        <f>IF(OR(Q137=0,Q137=""),0,Q137/P137)</f>
        <v>#N/A</v>
      </c>
      <c r="S137" s="25" t="str">
        <f>IF(NOT(P118="Other"),"N/A",IF(OR(Q137="",Q137=0),"BLANK",IF(Q137&gt;=1,"EQ",IF(Q137&gt;=0.95,"CHECK","REJECT"))))</f>
        <v>N/A</v>
      </c>
      <c r="U137" s="63"/>
      <c r="V137" s="63"/>
      <c r="W137" s="60"/>
      <c r="X137" s="60"/>
      <c r="Y137" s="60"/>
      <c r="Z137" s="67"/>
      <c r="AA137" s="67"/>
      <c r="AB137" s="68"/>
      <c r="AC137" s="55"/>
      <c r="AO137" s="49"/>
      <c r="AP137" s="49"/>
      <c r="AQ137" s="49"/>
      <c r="AR137" s="49"/>
      <c r="AS137" s="49"/>
      <c r="AT137" s="58"/>
      <c r="AU137" s="58"/>
      <c r="AW137" s="25"/>
      <c r="BI137" s="60"/>
      <c r="BJ137" s="49"/>
      <c r="BK137" s="49"/>
      <c r="BL137" s="49"/>
      <c r="BM137" s="49"/>
      <c r="BN137" s="58"/>
      <c r="BO137" s="58"/>
      <c r="BQ137" s="25"/>
      <c r="BS137" s="25"/>
      <c r="BT137" s="25"/>
      <c r="BU137" s="25"/>
      <c r="BV137" s="25"/>
      <c r="BW137" s="25"/>
      <c r="BX137" s="25"/>
      <c r="BY137" s="83"/>
      <c r="BZ137" s="83"/>
      <c r="CA137" s="25"/>
      <c r="CB137" s="25"/>
    </row>
    <row r="138" spans="11:119" x14ac:dyDescent="0.3">
      <c r="K138" s="287" t="s">
        <v>513</v>
      </c>
      <c r="L138" s="287"/>
      <c r="M138" s="288" t="s">
        <v>797</v>
      </c>
      <c r="N138" s="288"/>
      <c r="O138" s="288"/>
      <c r="P138" s="92">
        <f>P135*P134</f>
        <v>0</v>
      </c>
      <c r="Q138" s="92" t="e">
        <f>IF(OR(NOT(P118="Other"),O130="",Q135=0),0,Q135*Q134)</f>
        <v>#N/A</v>
      </c>
      <c r="R138" s="159" t="e">
        <f>IF(OR(P138=0,Q138=""),0,Q138/P138)</f>
        <v>#N/A</v>
      </c>
      <c r="S138" s="55" t="str">
        <f>IF(NOT(P118="Other"),"N/A",IF(R138="","EQ",IF(R138&gt;=1,"EQ",IF(R138&gt;=0.95,"CHECK","REJECT"))))</f>
        <v>N/A</v>
      </c>
      <c r="U138" s="72"/>
      <c r="V138" s="60"/>
      <c r="W138" s="60"/>
      <c r="X138" s="60"/>
      <c r="Y138" s="60"/>
      <c r="Z138" s="67"/>
      <c r="AA138" s="67"/>
      <c r="AB138" s="68"/>
      <c r="AC138" s="55"/>
      <c r="AO138" s="60"/>
      <c r="AP138" s="49"/>
      <c r="AQ138" s="49"/>
      <c r="AR138" s="49"/>
      <c r="AS138" s="49"/>
      <c r="AT138" s="58"/>
      <c r="AU138" s="58"/>
      <c r="AW138" s="25"/>
      <c r="BI138" s="47"/>
      <c r="BJ138" s="49"/>
      <c r="BK138" s="49"/>
      <c r="BL138" s="49"/>
      <c r="BM138" s="49"/>
      <c r="BN138" s="58"/>
      <c r="BO138" s="58"/>
      <c r="BQ138" s="25"/>
      <c r="BS138" s="25"/>
      <c r="BT138" s="25"/>
      <c r="BU138" s="25"/>
      <c r="BV138" s="25"/>
      <c r="BW138" s="25"/>
      <c r="BX138" s="25"/>
      <c r="BY138" s="25"/>
      <c r="BZ138" s="25"/>
      <c r="CA138" s="25"/>
      <c r="CB138" s="25"/>
    </row>
    <row r="139" spans="11:119" x14ac:dyDescent="0.3">
      <c r="K139" s="72" t="s">
        <v>798</v>
      </c>
      <c r="L139" s="288" t="s">
        <v>799</v>
      </c>
      <c r="M139" s="288"/>
      <c r="N139" s="288"/>
      <c r="O139" s="288"/>
      <c r="P139" s="92">
        <f>P136*P133</f>
        <v>0</v>
      </c>
      <c r="Q139" s="92" t="e">
        <f>IF(OR(P114="Tube",O129="",Q135=0),0,Q136*Q133)</f>
        <v>#N/A</v>
      </c>
      <c r="R139" s="159" t="e">
        <f>IF(OR(P139=0,Q139=""),0,Q139/P139)</f>
        <v>#N/A</v>
      </c>
      <c r="S139" s="55" t="str">
        <f>IF(NOT(P$118="Other"),"N/A",IF(OR(Q133=0,Q136=0),"BLANK",IF(R139&gt;=1,"EQ",IF(R139&gt;=0.95,"CHECK","REJECT"))))</f>
        <v>N/A</v>
      </c>
      <c r="U139" s="72"/>
      <c r="V139" s="60"/>
      <c r="W139" s="60"/>
      <c r="X139" s="60"/>
      <c r="Y139" s="60"/>
      <c r="Z139" s="67"/>
      <c r="AA139" s="67"/>
      <c r="AB139" s="68"/>
      <c r="AC139" s="55"/>
      <c r="AO139" s="47"/>
      <c r="AP139" s="49"/>
      <c r="AQ139" s="49"/>
      <c r="AR139" s="49"/>
      <c r="AS139" s="49"/>
      <c r="AT139" s="58"/>
      <c r="AU139" s="58"/>
      <c r="AW139" s="25"/>
      <c r="BI139" s="49"/>
      <c r="BJ139" s="49"/>
      <c r="BK139" s="49"/>
      <c r="BL139" s="49"/>
      <c r="BM139" s="49"/>
      <c r="BN139" s="58"/>
      <c r="BO139" s="58"/>
      <c r="BP139" s="75"/>
      <c r="BQ139" s="25"/>
      <c r="BS139" s="25"/>
      <c r="BT139" s="25"/>
      <c r="BU139" s="25"/>
      <c r="BV139" s="25"/>
      <c r="BW139" s="25"/>
      <c r="BX139" s="25"/>
      <c r="BY139" s="25"/>
      <c r="BZ139" s="25"/>
      <c r="CA139" s="25"/>
      <c r="CB139" s="25"/>
    </row>
    <row r="140" spans="11:119" x14ac:dyDescent="0.3">
      <c r="K140" s="72" t="s">
        <v>519</v>
      </c>
      <c r="L140" s="288" t="s">
        <v>800</v>
      </c>
      <c r="M140" s="288"/>
      <c r="N140" s="288"/>
      <c r="O140" s="288"/>
      <c r="P140" s="92">
        <f>4*P136*P134/(P132/2)</f>
        <v>0</v>
      </c>
      <c r="Q140" s="92" t="e">
        <f>IF(OR(P114="Tube",O129="",Q135=0),0,4*Q136*Q134/(Q132/2))</f>
        <v>#N/A</v>
      </c>
      <c r="R140" s="159" t="e">
        <f>IF(OR(P140=0,Q140=""),0,Q140/P140)</f>
        <v>#N/A</v>
      </c>
      <c r="S140" s="55" t="str">
        <f>IF(NOT(P$118="Other"),"N/A",IF(OR(Q134=0,Q136=0),"BLANK",IF(R140&gt;=1,"EQ",IF(R140&gt;=0.95,"CHECK","REJECT"))))</f>
        <v>N/A</v>
      </c>
      <c r="U140" s="47"/>
      <c r="V140" s="49"/>
      <c r="W140" s="49"/>
      <c r="X140" s="49"/>
      <c r="Y140" s="49"/>
      <c r="Z140" s="67"/>
      <c r="AA140" s="67"/>
      <c r="AB140" s="68"/>
      <c r="AC140" s="55"/>
      <c r="AO140" s="60"/>
      <c r="AP140" s="49"/>
      <c r="AQ140" s="49"/>
      <c r="AR140" s="49"/>
      <c r="AS140" s="49"/>
      <c r="AT140" s="58"/>
      <c r="AU140" s="58"/>
      <c r="AW140" s="25"/>
      <c r="BI140" s="60"/>
      <c r="BJ140" s="49"/>
      <c r="BK140" s="49"/>
      <c r="BL140" s="49"/>
      <c r="BM140" s="49"/>
      <c r="BN140" s="58"/>
      <c r="BO140" s="58"/>
      <c r="BP140" s="75"/>
      <c r="BQ140" s="25"/>
      <c r="BS140" s="25"/>
      <c r="BT140" s="25"/>
      <c r="BU140" s="25"/>
      <c r="BV140" s="25"/>
      <c r="BW140" s="25"/>
      <c r="BX140" s="25"/>
      <c r="BY140" s="25"/>
      <c r="BZ140" s="25"/>
      <c r="CA140" s="25"/>
      <c r="CB140" s="25"/>
    </row>
    <row r="141" spans="11:119" x14ac:dyDescent="0.3">
      <c r="K141" s="47" t="s">
        <v>522</v>
      </c>
      <c r="L141" s="289" t="s">
        <v>523</v>
      </c>
      <c r="M141" s="289"/>
      <c r="N141" s="289"/>
      <c r="O141" s="289"/>
      <c r="P141" s="92">
        <f>IF(P134=0,0,P140/(48*P135*P134))</f>
        <v>0</v>
      </c>
      <c r="Q141" s="92" t="e">
        <f>IF(OR(Q140="",Q135=0),0,P140/(48*Q135*Q134))</f>
        <v>#N/A</v>
      </c>
      <c r="R141" s="159" t="e">
        <f>IF(OR(P141=0,Q141=""),0,Q141/P141)</f>
        <v>#N/A</v>
      </c>
      <c r="S141" s="55" t="str">
        <f>IF(NOT(P$118="Other"),"N/A",IF(OR(Q140=0,Q135=0,Q134=0),"BLANK",IF(R141&gt;=1,"EQ",IF(R141&gt;=0.95,"CHECK","REJECT"))))</f>
        <v>N/A</v>
      </c>
      <c r="U141" s="47"/>
      <c r="V141" s="49"/>
      <c r="W141" s="49"/>
      <c r="X141" s="49"/>
      <c r="Y141" s="49"/>
      <c r="Z141" s="67"/>
      <c r="AA141" s="67"/>
      <c r="AB141" s="68"/>
      <c r="AC141" s="55"/>
      <c r="AO141" s="63"/>
      <c r="AP141" s="63"/>
      <c r="AQ141" s="60"/>
      <c r="AR141" s="60"/>
      <c r="AS141" s="60"/>
      <c r="AT141" s="67"/>
      <c r="AU141" s="67"/>
      <c r="AV141" s="68"/>
      <c r="AW141" s="55"/>
      <c r="BI141" s="63"/>
      <c r="BJ141" s="63"/>
      <c r="BK141" s="60"/>
      <c r="BL141" s="60"/>
      <c r="BM141" s="60"/>
      <c r="BN141" s="92"/>
      <c r="BO141" s="67"/>
      <c r="BP141" s="68"/>
      <c r="BQ141" s="55"/>
      <c r="BS141" s="25"/>
      <c r="BT141" s="25"/>
      <c r="BU141" s="25"/>
      <c r="BV141" s="25"/>
      <c r="BW141" s="25"/>
      <c r="BX141" s="25"/>
      <c r="BY141" s="25"/>
      <c r="BZ141" s="25"/>
      <c r="CA141" s="25"/>
      <c r="CB141" s="25"/>
    </row>
    <row r="142" spans="11:119" x14ac:dyDescent="0.3">
      <c r="K142" s="47" t="s">
        <v>222</v>
      </c>
      <c r="L142" s="289" t="s">
        <v>524</v>
      </c>
      <c r="M142" s="289"/>
      <c r="N142" s="289"/>
      <c r="O142" s="289"/>
      <c r="P142" s="92">
        <f>IF(P134=0,0,0.5*P140^2/(48*P135*P134))</f>
        <v>0</v>
      </c>
      <c r="Q142" s="92" t="e">
        <f>IF(OR(Q140="",Q135=0),0,0.5*Q140^2/(48*(Q135*Q134)))</f>
        <v>#N/A</v>
      </c>
      <c r="R142" s="159" t="e">
        <f>IF(OR(P142=0,Q142=""),0,Q142/P142)</f>
        <v>#N/A</v>
      </c>
      <c r="S142" s="55" t="str">
        <f>IF(NOT(P$118="Other"),"N/A",IF(OR(Q140=0,Q135=0,Q134=0),"BLANK",IF(R142&gt;=1,"EQ",IF(R142&gt;=0.95,"CHECK","REJECT"))))</f>
        <v>N/A</v>
      </c>
      <c r="AO142" s="72"/>
      <c r="AP142" s="60"/>
      <c r="AQ142" s="60"/>
      <c r="AR142" s="60"/>
      <c r="AS142" s="60"/>
      <c r="AT142" s="67"/>
      <c r="AU142" s="67"/>
      <c r="AV142" s="68"/>
      <c r="AW142" s="55"/>
      <c r="BI142" s="47"/>
      <c r="BJ142" s="49"/>
      <c r="BK142" s="49"/>
      <c r="BL142" s="49"/>
      <c r="BM142" s="49"/>
      <c r="BN142" s="49"/>
      <c r="BO142" s="25"/>
      <c r="BQ142" s="25"/>
      <c r="BS142" s="25"/>
      <c r="BT142" s="25"/>
      <c r="BU142" s="25"/>
      <c r="BV142" s="25"/>
      <c r="BW142" s="25"/>
      <c r="BX142" s="25"/>
      <c r="BY142" s="25"/>
      <c r="BZ142" s="25"/>
      <c r="CA142" s="25"/>
      <c r="CB142" s="25"/>
    </row>
    <row r="143" spans="11:119" x14ac:dyDescent="0.3">
      <c r="K143" s="47"/>
      <c r="L143" s="49"/>
      <c r="M143" s="49"/>
      <c r="N143" s="49"/>
      <c r="O143" s="49"/>
      <c r="P143" s="49"/>
      <c r="Q143" s="25"/>
      <c r="S143" s="25"/>
      <c r="U143" s="104"/>
      <c r="V143" s="104"/>
      <c r="W143" s="104"/>
      <c r="X143" s="104"/>
      <c r="Y143" s="104"/>
      <c r="Z143" s="104"/>
      <c r="AA143" s="104"/>
      <c r="AB143" s="104"/>
      <c r="AC143" s="104"/>
      <c r="AO143" s="72"/>
      <c r="AP143" s="60"/>
      <c r="AQ143" s="60"/>
      <c r="AR143" s="60"/>
      <c r="AS143" s="60"/>
      <c r="AT143" s="67"/>
      <c r="AU143" s="67"/>
      <c r="AV143" s="68"/>
      <c r="AW143" s="55"/>
      <c r="BI143" s="72"/>
      <c r="BJ143" s="72"/>
      <c r="BK143" s="72"/>
      <c r="BL143" s="72"/>
      <c r="BM143" s="72"/>
      <c r="BN143" s="72"/>
      <c r="BO143" s="72"/>
      <c r="BP143" s="72"/>
      <c r="BQ143" s="72"/>
      <c r="BS143" s="25"/>
      <c r="BT143" s="25"/>
      <c r="BU143" s="25"/>
      <c r="BV143" s="25"/>
      <c r="BW143" s="25"/>
      <c r="BX143" s="58"/>
      <c r="BY143" s="58"/>
      <c r="BZ143" s="25"/>
      <c r="CA143" s="25"/>
      <c r="CB143" s="25"/>
    </row>
    <row r="144" spans="11:119" x14ac:dyDescent="0.3">
      <c r="K144" s="293" t="s">
        <v>806</v>
      </c>
      <c r="L144" s="293"/>
      <c r="M144" s="293"/>
      <c r="N144" s="293"/>
      <c r="O144" s="293"/>
      <c r="P144" s="293"/>
      <c r="Q144" s="293"/>
      <c r="R144" s="293"/>
      <c r="S144" s="293"/>
      <c r="U144" s="104"/>
      <c r="V144" s="104"/>
      <c r="W144" s="104"/>
      <c r="X144" s="104"/>
      <c r="Y144" s="104"/>
      <c r="Z144" s="104"/>
      <c r="AA144" s="104"/>
      <c r="AB144" s="104"/>
      <c r="AC144" s="104"/>
      <c r="AO144" s="47"/>
      <c r="AP144" s="49"/>
      <c r="AQ144" s="49"/>
      <c r="AR144" s="49"/>
      <c r="AS144" s="49"/>
      <c r="AT144" s="67"/>
      <c r="AU144" s="67"/>
      <c r="AV144" s="68"/>
      <c r="AW144" s="55"/>
      <c r="BI144" s="25"/>
      <c r="BJ144" s="25"/>
      <c r="BK144" s="25"/>
      <c r="BL144" s="25"/>
      <c r="BM144" s="25"/>
      <c r="BN144" s="25"/>
      <c r="BO144" s="25"/>
      <c r="BP144" s="25"/>
      <c r="BQ144" s="25"/>
      <c r="BS144" s="55"/>
      <c r="BT144" s="25"/>
      <c r="BU144" s="25"/>
      <c r="BV144" s="25"/>
      <c r="BW144" s="25"/>
      <c r="BX144" s="58"/>
      <c r="BY144" s="58"/>
      <c r="BZ144" s="25"/>
      <c r="CA144" s="25"/>
      <c r="CB144" s="25"/>
    </row>
    <row r="145" spans="11:80" x14ac:dyDescent="0.3">
      <c r="K145" s="272" t="str">
        <f>IF(COUNTIF(S146:S171,"BLANK"),"BLANK",IF(OR(SUMPRODUCT(--ISERROR(S146:S171))&gt;0,COUNTIF(S146:S171,"REJECT")),"REJECT",IF(COUNTIF(S146:S171,"CHECK"),"CHECK","EQ")))</f>
        <v>BLANK</v>
      </c>
      <c r="L145" s="272"/>
      <c r="M145" s="272"/>
      <c r="N145" s="272"/>
      <c r="O145" s="272"/>
      <c r="P145" s="272"/>
      <c r="Q145" s="272"/>
      <c r="R145" s="272"/>
      <c r="S145" s="272"/>
      <c r="U145" s="104"/>
      <c r="V145" s="104"/>
      <c r="W145" s="104"/>
      <c r="X145" s="104"/>
      <c r="Y145" s="104"/>
      <c r="Z145" s="104"/>
      <c r="AA145" s="104"/>
      <c r="AB145" s="104"/>
      <c r="AC145" s="104"/>
      <c r="AO145" s="47"/>
      <c r="AP145" s="49"/>
      <c r="AQ145" s="49"/>
      <c r="AR145" s="49"/>
      <c r="AS145" s="49"/>
      <c r="AT145" s="67"/>
      <c r="AU145" s="67"/>
      <c r="AV145" s="68"/>
      <c r="AW145" s="55"/>
      <c r="BI145" s="49"/>
      <c r="BJ145" s="49"/>
      <c r="BK145" s="49"/>
      <c r="BL145" s="49"/>
      <c r="BM145" s="49"/>
      <c r="BN145" s="49"/>
      <c r="BO145" s="25"/>
      <c r="BQ145" s="25"/>
      <c r="BS145" s="25"/>
      <c r="BT145" s="25"/>
      <c r="BU145" s="25"/>
      <c r="BV145" s="25"/>
      <c r="BW145" s="25"/>
      <c r="BX145" s="58"/>
      <c r="BY145" s="58"/>
      <c r="BZ145" s="25"/>
      <c r="CA145" s="25"/>
      <c r="CB145" s="25"/>
    </row>
    <row r="146" spans="11:80" ht="15" thickBot="1" x14ac:dyDescent="0.35">
      <c r="K146" s="289" t="s">
        <v>807</v>
      </c>
      <c r="L146" s="289"/>
      <c r="M146" s="289"/>
      <c r="N146" s="289"/>
      <c r="O146" s="289"/>
      <c r="P146" s="252"/>
      <c r="Q146" s="57"/>
      <c r="R146" s="19" t="str">
        <f>IF($A$25="mm","mm","in")</f>
        <v>mm</v>
      </c>
      <c r="S146" s="25" t="str">
        <f>IF(Q146="","BLANK",IF(Q146&gt;=0.75*Q117,"EQ","REJECT"))</f>
        <v>BLANK</v>
      </c>
      <c r="U146" s="104"/>
      <c r="V146" s="104"/>
      <c r="W146" s="104"/>
      <c r="X146" s="104"/>
      <c r="Y146" s="104"/>
      <c r="Z146" s="104"/>
      <c r="AA146" s="104"/>
      <c r="AB146" s="104"/>
      <c r="AC146" s="104"/>
      <c r="BI146" s="47"/>
      <c r="BJ146" s="48"/>
      <c r="BK146" s="48"/>
      <c r="BL146" s="48"/>
      <c r="BM146" s="48"/>
      <c r="BN146" s="25"/>
      <c r="BO146" s="25"/>
      <c r="BQ146" s="25"/>
      <c r="BS146" s="55"/>
      <c r="BT146" s="25"/>
      <c r="BU146" s="25"/>
      <c r="BV146" s="25"/>
      <c r="BW146" s="25"/>
      <c r="BX146" s="58"/>
      <c r="BY146" s="58"/>
      <c r="BZ146" s="25"/>
      <c r="CA146" s="25"/>
      <c r="CB146" s="25"/>
    </row>
    <row r="147" spans="11:80" ht="15" thickBot="1" x14ac:dyDescent="0.35">
      <c r="K147" s="47" t="s">
        <v>808</v>
      </c>
      <c r="L147" s="292" t="s">
        <v>809</v>
      </c>
      <c r="M147" s="292"/>
      <c r="N147" s="292"/>
      <c r="O147" s="292"/>
      <c r="P147" s="243" t="s">
        <v>160</v>
      </c>
      <c r="Q147" s="244"/>
      <c r="S147" s="25" t="s">
        <v>89</v>
      </c>
      <c r="U147" s="104"/>
      <c r="V147" s="104"/>
      <c r="W147" s="104"/>
      <c r="X147" s="104"/>
      <c r="Y147" s="104"/>
      <c r="Z147" s="104"/>
      <c r="AA147" s="104"/>
      <c r="AB147" s="104"/>
      <c r="AC147" s="104"/>
      <c r="AP147" s="48"/>
      <c r="AQ147" s="48"/>
      <c r="AR147" s="48"/>
      <c r="AS147" s="48"/>
      <c r="AT147" s="48"/>
      <c r="AU147" s="48"/>
      <c r="AV147" s="47"/>
      <c r="AW147" s="47"/>
      <c r="BI147" s="47"/>
      <c r="BJ147" s="48"/>
      <c r="BK147" s="48"/>
      <c r="BL147" s="48"/>
      <c r="BM147" s="48"/>
      <c r="BN147" s="49"/>
      <c r="BO147" s="25"/>
      <c r="BQ147" s="25"/>
      <c r="BS147" s="55"/>
      <c r="BT147" s="55"/>
      <c r="BU147" s="55"/>
      <c r="BV147" s="55"/>
      <c r="BW147" s="55"/>
      <c r="BX147" s="92"/>
      <c r="BY147" s="92"/>
      <c r="BZ147" s="68"/>
      <c r="CA147" s="55"/>
      <c r="CB147" s="25"/>
    </row>
    <row r="148" spans="11:80" ht="15" thickBot="1" x14ac:dyDescent="0.35">
      <c r="K148" s="47"/>
      <c r="L148" s="48"/>
      <c r="M148" s="48"/>
      <c r="N148" s="48"/>
      <c r="O148" s="48"/>
      <c r="P148" s="49" t="s">
        <v>805</v>
      </c>
      <c r="Q148" s="156"/>
      <c r="R148" s="19" t="str">
        <f>IF($A$25="mm","mm","in")</f>
        <v>mm</v>
      </c>
      <c r="S148" s="25" t="str">
        <f>IF(P147="Other","N/A",IF(Q148="","BLANK",
IF(AND(P147="Steel",OR(AND($A$25="mm",Q148&gt;=0.9),AND($A$25="Inch",Q148&gt;=0.035))),"EQ",
IF(AND(P147="Aluminum",OR(AND($A$25="mm",Q148&gt;=2.3),AND($A$25="Inch",Q148&gt;=0.09))),"EQ","REJECT"))))</f>
        <v>BLANK</v>
      </c>
      <c r="T148" s="75"/>
      <c r="U148" s="41"/>
      <c r="V148" s="41"/>
      <c r="W148" s="41"/>
      <c r="X148" s="41"/>
      <c r="Y148" s="41"/>
      <c r="Z148" s="41"/>
      <c r="AA148" s="41"/>
      <c r="AB148" s="41"/>
      <c r="AC148" s="41"/>
      <c r="AO148" s="25"/>
      <c r="AP148" s="25"/>
      <c r="AQ148" s="25"/>
      <c r="AR148" s="25"/>
      <c r="AS148" s="25"/>
      <c r="AT148" s="25"/>
      <c r="AU148" s="25"/>
      <c r="AV148" s="25"/>
      <c r="AW148" s="25"/>
      <c r="BI148" s="49"/>
      <c r="BJ148" s="49"/>
      <c r="BK148" s="49"/>
      <c r="BL148" s="49"/>
      <c r="BM148" s="49"/>
      <c r="BN148" s="49"/>
      <c r="BO148" s="83"/>
      <c r="BP148" s="83"/>
      <c r="BQ148" s="25"/>
      <c r="BS148" s="55"/>
      <c r="BT148" s="55"/>
      <c r="BU148" s="55"/>
      <c r="BV148" s="55"/>
      <c r="BW148" s="55"/>
      <c r="BX148" s="92"/>
      <c r="BY148" s="92"/>
      <c r="BZ148" s="68"/>
      <c r="CA148" s="55"/>
      <c r="CB148" s="25"/>
    </row>
    <row r="149" spans="11:80" ht="15" thickBot="1" x14ac:dyDescent="0.35">
      <c r="K149" s="289" t="s">
        <v>766</v>
      </c>
      <c r="L149" s="289"/>
      <c r="M149" s="289"/>
      <c r="N149" s="289"/>
      <c r="O149" s="289"/>
      <c r="P149" s="251"/>
      <c r="Q149" s="308"/>
      <c r="R149" s="309"/>
      <c r="S149" s="25" t="str">
        <f>IF(NOT(P147="Other"),"N/A",IF(Q149="","BLANK","EQ"))</f>
        <v>N/A</v>
      </c>
      <c r="T149" s="75"/>
      <c r="U149" s="41"/>
      <c r="V149" s="41"/>
      <c r="W149" s="41"/>
      <c r="X149" s="41"/>
      <c r="Y149" s="41"/>
      <c r="Z149" s="41"/>
      <c r="AA149" s="41"/>
      <c r="AB149" s="41"/>
      <c r="AC149" s="41"/>
      <c r="AO149" s="47"/>
      <c r="AP149" s="48"/>
      <c r="AQ149" s="48"/>
      <c r="AR149" s="48"/>
      <c r="AS149" s="48"/>
      <c r="AT149" s="25"/>
      <c r="AU149" s="25"/>
      <c r="AW149" s="25"/>
      <c r="BI149" s="49"/>
      <c r="BJ149" s="49"/>
      <c r="BK149" s="49"/>
      <c r="BL149" s="49"/>
      <c r="BM149" s="49"/>
      <c r="BN149" s="49"/>
      <c r="BO149" s="55"/>
      <c r="BQ149" s="55"/>
      <c r="BS149" s="55"/>
      <c r="BT149" s="55"/>
      <c r="BU149" s="55"/>
      <c r="BV149" s="55"/>
      <c r="BW149" s="55"/>
      <c r="BX149" s="92"/>
      <c r="BY149" s="92"/>
      <c r="BZ149" s="68"/>
      <c r="CA149" s="55"/>
      <c r="CB149" s="25"/>
    </row>
    <row r="150" spans="11:80" x14ac:dyDescent="0.3">
      <c r="K150" s="289" t="s">
        <v>767</v>
      </c>
      <c r="L150" s="289"/>
      <c r="M150" s="289"/>
      <c r="N150" s="289"/>
      <c r="O150" s="289"/>
      <c r="P150" s="289"/>
      <c r="Q150" s="55">
        <f>Q151+Q153+Q152</f>
        <v>0</v>
      </c>
      <c r="R150" s="19" t="str">
        <f>IF($A$25="mm","mm","in")</f>
        <v>mm</v>
      </c>
      <c r="S150" s="55" t="str">
        <f>IF(NOT(P147="Other"),"N/A","EQ")</f>
        <v>N/A</v>
      </c>
      <c r="U150" s="41"/>
      <c r="V150" s="41"/>
      <c r="W150" s="41"/>
      <c r="X150" s="41"/>
      <c r="Y150" s="41"/>
      <c r="Z150" s="41"/>
      <c r="AA150" s="41"/>
      <c r="AB150" s="41"/>
      <c r="AC150" s="41"/>
      <c r="AO150" s="47"/>
      <c r="AP150" s="49"/>
      <c r="AQ150" s="49"/>
      <c r="AR150" s="49"/>
      <c r="AS150" s="49"/>
      <c r="AT150" s="47"/>
      <c r="AU150" s="47"/>
      <c r="AV150" s="47"/>
      <c r="AW150" s="25"/>
      <c r="BI150" s="60"/>
      <c r="BJ150" s="60"/>
      <c r="BK150" s="60"/>
      <c r="BL150" s="60"/>
      <c r="BM150" s="60"/>
      <c r="BN150" s="60"/>
      <c r="BO150" s="55"/>
      <c r="BQ150" s="25"/>
      <c r="BS150" s="25"/>
      <c r="BT150" s="25"/>
      <c r="BU150" s="25"/>
      <c r="BV150" s="25"/>
      <c r="BW150" s="25"/>
      <c r="BX150" s="92"/>
      <c r="BY150" s="92"/>
      <c r="BZ150" s="68"/>
      <c r="CA150" s="55"/>
      <c r="CB150" s="25"/>
    </row>
    <row r="151" spans="11:80" x14ac:dyDescent="0.3">
      <c r="K151" s="288" t="s">
        <v>769</v>
      </c>
      <c r="L151" s="288"/>
      <c r="M151" s="288"/>
      <c r="N151" s="288"/>
      <c r="O151" s="288"/>
      <c r="P151" s="306"/>
      <c r="Q151" s="76"/>
      <c r="R151" s="19" t="str">
        <f>IF($A$25="mm","mm","in")</f>
        <v>mm</v>
      </c>
      <c r="S151" s="25" t="str">
        <f>IF(NOT(P147="Other"),"N/A",IF(Q151="","BLANK","EQ"))</f>
        <v>N/A</v>
      </c>
      <c r="AO151" s="25"/>
      <c r="AP151" s="49"/>
      <c r="AQ151" s="49"/>
      <c r="AR151" s="49"/>
      <c r="AS151" s="49"/>
      <c r="AT151" s="25"/>
      <c r="AU151" s="83"/>
      <c r="AV151" s="83"/>
      <c r="AW151" s="25"/>
      <c r="BI151" s="49"/>
      <c r="BJ151" s="49"/>
      <c r="BK151" s="49"/>
      <c r="BL151" s="49"/>
      <c r="BM151" s="49"/>
      <c r="BN151" s="49"/>
      <c r="BO151" s="25"/>
      <c r="BQ151" s="25"/>
      <c r="BS151" s="25"/>
      <c r="BT151" s="25"/>
      <c r="BU151" s="25"/>
      <c r="BV151" s="25"/>
      <c r="BW151" s="25"/>
      <c r="BX151" s="92"/>
      <c r="BY151" s="92"/>
      <c r="BZ151" s="68"/>
      <c r="CA151" s="55"/>
      <c r="CB151" s="25"/>
    </row>
    <row r="152" spans="11:80" x14ac:dyDescent="0.3">
      <c r="K152" s="289" t="s">
        <v>772</v>
      </c>
      <c r="L152" s="289"/>
      <c r="M152" s="289"/>
      <c r="N152" s="289"/>
      <c r="O152" s="289"/>
      <c r="P152" s="252"/>
      <c r="Q152" s="50"/>
      <c r="R152" s="19" t="str">
        <f>IF($A$25="mm","mm","in")</f>
        <v>mm</v>
      </c>
      <c r="S152" s="25" t="str">
        <f>IF(NOT(P147="Other"),"N/A",IF(Q152="","BLANK","EQ"))</f>
        <v>N/A</v>
      </c>
      <c r="AO152" s="47"/>
      <c r="AP152" s="49"/>
      <c r="AQ152" s="49"/>
      <c r="AR152" s="49"/>
      <c r="AS152" s="49"/>
      <c r="AT152" s="25"/>
      <c r="AU152" s="25"/>
      <c r="AW152" s="25"/>
      <c r="BI152" s="49"/>
      <c r="BJ152" s="49"/>
      <c r="BK152" s="49"/>
      <c r="BL152" s="49"/>
      <c r="BM152" s="49"/>
      <c r="BN152" s="49"/>
      <c r="BO152" s="25"/>
      <c r="BQ152" s="25"/>
      <c r="BS152" s="25"/>
      <c r="BT152" s="25"/>
      <c r="BU152" s="25"/>
      <c r="BV152" s="25"/>
      <c r="BW152" s="25"/>
      <c r="BX152" s="25"/>
      <c r="BY152" s="25"/>
      <c r="BZ152" s="25"/>
      <c r="CA152" s="25"/>
      <c r="CB152" s="25"/>
    </row>
    <row r="153" spans="11:80" x14ac:dyDescent="0.3">
      <c r="K153" s="289" t="s">
        <v>773</v>
      </c>
      <c r="L153" s="289"/>
      <c r="M153" s="289"/>
      <c r="N153" s="289"/>
      <c r="O153" s="289"/>
      <c r="P153" s="252"/>
      <c r="Q153" s="50"/>
      <c r="R153" s="19" t="str">
        <f>IF($A$25="mm","mm","in")</f>
        <v>mm</v>
      </c>
      <c r="S153" s="25" t="str">
        <f>IF(NOT(P147="Other"),"N/A",IF(Q153="","BLANK","EQ"))</f>
        <v>N/A</v>
      </c>
      <c r="AP153" s="49"/>
      <c r="AQ153" s="49"/>
      <c r="AR153" s="49"/>
      <c r="AS153" s="49"/>
      <c r="AT153" s="25"/>
      <c r="AU153" s="25"/>
      <c r="AW153" s="25"/>
      <c r="BI153" s="72"/>
      <c r="BJ153" s="72"/>
      <c r="BK153" s="72"/>
      <c r="BL153" s="72"/>
      <c r="BM153" s="72"/>
      <c r="BN153" s="72"/>
      <c r="BO153" s="72"/>
      <c r="BP153" s="72"/>
      <c r="BQ153" s="72"/>
      <c r="BS153" s="25"/>
      <c r="BT153" s="25"/>
      <c r="BU153" s="25"/>
      <c r="BV153" s="25"/>
      <c r="BW153" s="25"/>
      <c r="BX153" s="25"/>
      <c r="BY153" s="25"/>
      <c r="BZ153" s="25"/>
      <c r="CA153" s="25"/>
      <c r="CB153" s="25"/>
    </row>
    <row r="154" spans="11:80" x14ac:dyDescent="0.3">
      <c r="K154" s="293" t="s">
        <v>775</v>
      </c>
      <c r="L154" s="293"/>
      <c r="M154" s="293"/>
      <c r="N154" s="304" t="s">
        <v>775</v>
      </c>
      <c r="O154" s="293"/>
      <c r="P154" s="305"/>
      <c r="Q154" s="304" t="s">
        <v>775</v>
      </c>
      <c r="R154" s="293"/>
      <c r="S154" s="305"/>
      <c r="AO154" s="47"/>
      <c r="AP154" s="49"/>
      <c r="AQ154" s="49"/>
      <c r="AR154" s="49"/>
      <c r="AS154" s="49"/>
      <c r="AT154" s="25"/>
      <c r="AU154" s="25"/>
      <c r="AW154" s="25"/>
      <c r="BI154" s="25"/>
      <c r="BJ154" s="25"/>
      <c r="BL154" s="49"/>
      <c r="BM154" s="92"/>
      <c r="BO154" s="49"/>
      <c r="BP154" s="92"/>
      <c r="BS154" s="25"/>
      <c r="BT154" s="25"/>
      <c r="BU154" s="25"/>
      <c r="BV154" s="25"/>
      <c r="BW154" s="25"/>
      <c r="BX154" s="25"/>
      <c r="BY154" s="25"/>
      <c r="BZ154" s="25"/>
      <c r="CA154" s="25"/>
      <c r="CB154" s="25"/>
    </row>
    <row r="155" spans="11:80" ht="15.6" x14ac:dyDescent="0.3">
      <c r="K155" s="25" t="s">
        <v>776</v>
      </c>
      <c r="L155" s="25">
        <f>IF($A$25="mm",Q146/1000,Q146)</f>
        <v>0</v>
      </c>
      <c r="M155" s="19" t="str">
        <f>IF($A$25="mm","m","in")</f>
        <v>m</v>
      </c>
      <c r="N155" s="157" t="s">
        <v>777</v>
      </c>
      <c r="O155" s="92">
        <f>L155*L156</f>
        <v>0</v>
      </c>
      <c r="P155" s="158" t="str">
        <f>IF($A$25="mm","m^2","in^2")</f>
        <v>m^2</v>
      </c>
      <c r="Q155" s="157" t="s">
        <v>778</v>
      </c>
      <c r="R155" s="92">
        <f>(L155*L156^3)/12</f>
        <v>0</v>
      </c>
      <c r="S155" s="158" t="str">
        <f>IF($A$25="mm","m^4","in^4")</f>
        <v>m^4</v>
      </c>
      <c r="AO155" s="47"/>
      <c r="AP155" s="49"/>
      <c r="AQ155" s="49"/>
      <c r="AR155" s="49"/>
      <c r="AS155" s="49"/>
      <c r="AT155" s="25"/>
      <c r="AU155" s="25"/>
      <c r="AW155" s="25"/>
      <c r="BI155" s="93"/>
      <c r="BJ155" s="25"/>
      <c r="BL155" s="49"/>
      <c r="BM155" s="92"/>
      <c r="BO155" s="49"/>
      <c r="BP155" s="92"/>
      <c r="BS155" s="25"/>
      <c r="BT155" s="25"/>
      <c r="BU155" s="25"/>
      <c r="BV155" s="25"/>
      <c r="BW155" s="25"/>
      <c r="BX155" s="25"/>
      <c r="BY155" s="25"/>
      <c r="BZ155" s="25"/>
      <c r="CA155" s="25"/>
      <c r="CB155" s="25"/>
    </row>
    <row r="156" spans="11:80" ht="15.6" x14ac:dyDescent="0.3">
      <c r="K156" s="93" t="s">
        <v>779</v>
      </c>
      <c r="L156" s="25">
        <f>IF($A$25="mm",Q152/1000,Q152)</f>
        <v>0</v>
      </c>
      <c r="M156" s="19" t="str">
        <f>IF($A$25="mm","m","in")</f>
        <v>m</v>
      </c>
      <c r="N156" s="157" t="s">
        <v>780</v>
      </c>
      <c r="O156" s="92">
        <f>L158*L159</f>
        <v>0</v>
      </c>
      <c r="P156" s="158" t="str">
        <f>IF($A$25="mm","m^2","in^2")</f>
        <v>m^2</v>
      </c>
      <c r="Q156" s="157" t="s">
        <v>781</v>
      </c>
      <c r="R156" s="92">
        <f>(L158*L159^3)/12</f>
        <v>0</v>
      </c>
      <c r="S156" s="158" t="str">
        <f>IF($A$25="mm","m^4","in^4")</f>
        <v>m^4</v>
      </c>
      <c r="AO156" s="47"/>
      <c r="AP156" s="49"/>
      <c r="AQ156" s="49"/>
      <c r="AR156" s="49"/>
      <c r="AS156" s="49"/>
      <c r="AT156" s="25"/>
      <c r="AU156" s="25"/>
      <c r="AW156" s="25"/>
      <c r="BI156" s="93"/>
      <c r="BJ156" s="25"/>
      <c r="BL156" s="49"/>
      <c r="BM156" s="55"/>
      <c r="BO156" s="49"/>
      <c r="BP156" s="92"/>
      <c r="BS156" s="83"/>
      <c r="BT156" s="83"/>
      <c r="BU156" s="83"/>
      <c r="BV156" s="83"/>
      <c r="BW156" s="83"/>
      <c r="BX156" s="83"/>
      <c r="BY156" s="83"/>
      <c r="BZ156" s="83"/>
      <c r="CA156" s="83"/>
      <c r="CB156" s="25"/>
    </row>
    <row r="157" spans="11:80" ht="15.6" x14ac:dyDescent="0.3">
      <c r="K157" s="93" t="s">
        <v>782</v>
      </c>
      <c r="L157" s="25">
        <f>IF($A$25="mm",Q150/1000,Q150)</f>
        <v>0</v>
      </c>
      <c r="M157" s="19" t="str">
        <f>IF($A$25="mm","m","in")</f>
        <v>m</v>
      </c>
      <c r="N157" s="157" t="s">
        <v>783</v>
      </c>
      <c r="O157" s="95">
        <f>L159/2</f>
        <v>0</v>
      </c>
      <c r="P157" s="158" t="str">
        <f>IF($A$25="mm","m","in")</f>
        <v>m</v>
      </c>
      <c r="Q157" s="157" t="s">
        <v>784</v>
      </c>
      <c r="R157" s="92">
        <f>IF(O159="","",R155+(O155*(O159-O157)^2))</f>
        <v>0</v>
      </c>
      <c r="S157" s="158" t="str">
        <f>IF($A$25="mm","m^4","in^4")</f>
        <v>m^4</v>
      </c>
      <c r="AO157" s="49"/>
      <c r="AP157" s="49"/>
      <c r="AQ157" s="49"/>
      <c r="AR157" s="49"/>
      <c r="AS157" s="49"/>
      <c r="AT157" s="58"/>
      <c r="AU157" s="58"/>
      <c r="AW157" s="25"/>
      <c r="BI157" s="25"/>
      <c r="BJ157" s="25"/>
      <c r="BL157" s="49"/>
      <c r="BM157" s="95"/>
      <c r="BO157" s="49"/>
      <c r="BP157" s="92"/>
      <c r="BS157" s="83"/>
      <c r="BT157" s="83"/>
      <c r="BU157" s="83"/>
      <c r="BV157" s="83"/>
      <c r="BW157" s="83"/>
      <c r="BX157" s="83"/>
      <c r="BY157" s="83"/>
      <c r="BZ157" s="83"/>
      <c r="CA157" s="83"/>
      <c r="CB157" s="25"/>
    </row>
    <row r="158" spans="11:80" ht="15.6" x14ac:dyDescent="0.3">
      <c r="K158" s="25" t="s">
        <v>785</v>
      </c>
      <c r="L158" s="25">
        <f>IF($A$25="mm",Q146/1000,Q146)</f>
        <v>0</v>
      </c>
      <c r="M158" s="19" t="str">
        <f>IF($A$25="mm","m","in")</f>
        <v>m</v>
      </c>
      <c r="N158" s="157" t="s">
        <v>786</v>
      </c>
      <c r="O158" s="95">
        <f>(L157-0.5*L159)</f>
        <v>0</v>
      </c>
      <c r="P158" s="158" t="str">
        <f>IF($A$25="mm","m","in")</f>
        <v>m</v>
      </c>
      <c r="Q158" s="157" t="s">
        <v>787</v>
      </c>
      <c r="R158" s="92">
        <f>IF(O159="","",R156+(O156*(O159-O158)^2))</f>
        <v>0</v>
      </c>
      <c r="S158" s="158" t="str">
        <f>IF($A$25="mm","m^4","in^4")</f>
        <v>m^4</v>
      </c>
      <c r="AO158" s="60"/>
      <c r="AP158" s="49"/>
      <c r="AQ158" s="49"/>
      <c r="AR158" s="49"/>
      <c r="AS158" s="49"/>
      <c r="AT158" s="58"/>
      <c r="AU158" s="58"/>
      <c r="AW158" s="25"/>
      <c r="BI158" s="25"/>
      <c r="BJ158" s="25"/>
      <c r="BL158" s="49"/>
      <c r="BM158" s="96"/>
      <c r="BO158" s="49"/>
      <c r="BP158" s="92"/>
      <c r="BS158" s="83"/>
      <c r="BT158" s="83"/>
      <c r="BU158" s="83"/>
      <c r="BV158" s="83"/>
      <c r="BW158" s="83"/>
      <c r="BX158" s="83"/>
      <c r="BY158" s="83"/>
      <c r="BZ158" s="83"/>
      <c r="CA158" s="83"/>
      <c r="CB158" s="25"/>
    </row>
    <row r="159" spans="11:80" ht="15.6" x14ac:dyDescent="0.3">
      <c r="K159" s="25" t="s">
        <v>788</v>
      </c>
      <c r="L159" s="25">
        <f>IF($A$25="mm",Q153/1000,Q153)</f>
        <v>0</v>
      </c>
      <c r="M159" s="19" t="str">
        <f>IF($A$25="mm","m","in")</f>
        <v>m</v>
      </c>
      <c r="N159" s="157" t="s">
        <v>789</v>
      </c>
      <c r="O159" s="95">
        <f>IF(OR(Q146="",Q152="",Q153=""),0,(O155*O157+O156*O158)/(O155+O156))</f>
        <v>0</v>
      </c>
      <c r="P159" s="158" t="str">
        <f>IF($A$25="mm","m","in")</f>
        <v>m</v>
      </c>
      <c r="Q159" s="157" t="s">
        <v>790</v>
      </c>
      <c r="R159" s="92">
        <f>IF(O159="",0,R157+R158)</f>
        <v>0</v>
      </c>
      <c r="S159" s="158" t="str">
        <f>IF($A$25="mm","m^4","in^4")</f>
        <v>m^4</v>
      </c>
      <c r="AO159" s="47"/>
      <c r="AP159" s="49"/>
      <c r="AQ159" s="49"/>
      <c r="AR159" s="49"/>
      <c r="AS159" s="49"/>
      <c r="AT159" s="58"/>
      <c r="AU159" s="58"/>
      <c r="AW159" s="25"/>
      <c r="BI159" s="25"/>
      <c r="BJ159" s="25"/>
      <c r="BL159" s="161"/>
      <c r="BM159" s="98"/>
      <c r="BN159" s="98"/>
      <c r="BO159" s="162"/>
      <c r="BP159" s="162"/>
      <c r="BS159" s="25"/>
      <c r="BT159" s="25"/>
      <c r="BU159" s="25"/>
      <c r="BV159" s="25"/>
      <c r="BW159" s="25"/>
      <c r="BX159" s="25"/>
      <c r="BY159" s="25"/>
      <c r="BZ159" s="25"/>
      <c r="CA159" s="25"/>
      <c r="CB159" s="25"/>
    </row>
    <row r="160" spans="11:80" x14ac:dyDescent="0.3">
      <c r="K160" s="25"/>
      <c r="L160" s="25"/>
      <c r="N160" s="97"/>
      <c r="O160" s="294" t="s">
        <v>791</v>
      </c>
      <c r="P160" s="294"/>
      <c r="Q160" s="295" t="str">
        <f>P147</f>
        <v>Steel</v>
      </c>
      <c r="R160" s="295"/>
      <c r="AO160" s="60"/>
      <c r="AP160" s="49"/>
      <c r="AQ160" s="49"/>
      <c r="AR160" s="49"/>
      <c r="AS160" s="49"/>
      <c r="AT160" s="58"/>
      <c r="AU160" s="58"/>
      <c r="AW160" s="25"/>
      <c r="BI160" s="47"/>
      <c r="BJ160" s="49"/>
      <c r="BK160" s="49"/>
      <c r="BL160" s="49"/>
      <c r="BM160" s="49"/>
      <c r="BN160" s="25"/>
      <c r="BO160" s="25"/>
      <c r="BQ160" s="25"/>
      <c r="BS160" s="25"/>
      <c r="BT160" s="25"/>
      <c r="BU160" s="25"/>
      <c r="BV160" s="25"/>
      <c r="BW160" s="25"/>
      <c r="BX160" s="25"/>
      <c r="BY160" s="25"/>
      <c r="BZ160" s="25"/>
      <c r="CA160" s="25"/>
      <c r="CB160" s="25"/>
    </row>
    <row r="161" spans="11:80" ht="15.75" customHeight="1" x14ac:dyDescent="0.3">
      <c r="K161" s="47"/>
      <c r="L161" s="289" t="s">
        <v>792</v>
      </c>
      <c r="M161" s="289"/>
      <c r="N161" s="289"/>
      <c r="O161" s="289"/>
      <c r="P161" s="25">
        <f>IF($A$25="mm",0.9/1000,0.035)</f>
        <v>8.9999999999999998E-4</v>
      </c>
      <c r="Q161" s="25">
        <f>IF($A$25="mm",Q150/1000,Q150)</f>
        <v>0</v>
      </c>
      <c r="R161" s="19" t="str">
        <f>IF($A$25="mm","m","in")</f>
        <v>m</v>
      </c>
      <c r="S161" s="25" t="str">
        <f>IF(NOT(P147="Other"),"N/A","EQ")</f>
        <v>N/A</v>
      </c>
      <c r="AO161" s="63"/>
      <c r="AP161" s="63"/>
      <c r="AQ161" s="60"/>
      <c r="AR161" s="60"/>
      <c r="AS161" s="60"/>
      <c r="AT161" s="67"/>
      <c r="AU161" s="67"/>
      <c r="AV161" s="68"/>
      <c r="AW161" s="55"/>
      <c r="BI161" s="49"/>
      <c r="BJ161" s="49"/>
      <c r="BK161" s="49"/>
      <c r="BL161" s="49"/>
      <c r="BM161" s="49"/>
      <c r="BN161" s="58"/>
      <c r="BO161" s="58"/>
      <c r="BQ161" s="25"/>
      <c r="BS161" s="25"/>
      <c r="BT161" s="25"/>
      <c r="BU161" s="25"/>
      <c r="BV161" s="25"/>
      <c r="BW161" s="25"/>
      <c r="BX161" s="25"/>
      <c r="BY161" s="25"/>
      <c r="BZ161" s="25"/>
      <c r="CA161" s="25"/>
      <c r="CB161" s="25"/>
    </row>
    <row r="162" spans="11:80" x14ac:dyDescent="0.3">
      <c r="K162" s="49"/>
      <c r="L162" s="289" t="s">
        <v>793</v>
      </c>
      <c r="M162" s="289"/>
      <c r="N162" s="289"/>
      <c r="O162" s="289"/>
      <c r="P162" s="58">
        <f>Q146*P161/IF($A$25="mm",1000,1)</f>
        <v>0</v>
      </c>
      <c r="Q162" s="58">
        <f>O155+O156/IF($A$25="mm",1000,1)</f>
        <v>0</v>
      </c>
      <c r="R162" s="19" t="str">
        <f>IF($A$25="mm","m^2","in^2")</f>
        <v>m^2</v>
      </c>
      <c r="S162" s="25" t="str">
        <f>IF(NOT(P147="Other"),"N/A","EQ")</f>
        <v>N/A</v>
      </c>
      <c r="AO162" s="72"/>
      <c r="AP162" s="60"/>
      <c r="AQ162" s="60"/>
      <c r="AR162" s="60"/>
      <c r="AS162" s="60"/>
      <c r="AT162" s="67"/>
      <c r="AU162" s="67"/>
      <c r="AV162" s="68"/>
      <c r="AW162" s="55"/>
      <c r="BI162" s="60"/>
      <c r="BJ162" s="49"/>
      <c r="BK162" s="49"/>
      <c r="BL162" s="49"/>
      <c r="BM162" s="49"/>
      <c r="BN162" s="58"/>
      <c r="BO162" s="58"/>
      <c r="BQ162" s="25"/>
      <c r="BS162" s="25"/>
      <c r="BT162" s="25"/>
      <c r="BU162" s="25"/>
      <c r="BV162" s="25"/>
      <c r="BW162" s="25"/>
      <c r="BX162" s="25"/>
      <c r="BY162" s="25"/>
      <c r="BZ162" s="25"/>
      <c r="CA162" s="25"/>
      <c r="CB162" s="25"/>
    </row>
    <row r="163" spans="11:80" x14ac:dyDescent="0.3">
      <c r="K163" s="60"/>
      <c r="L163" s="289" t="s">
        <v>795</v>
      </c>
      <c r="M163" s="289"/>
      <c r="N163" s="289"/>
      <c r="O163" s="289"/>
      <c r="P163" s="58">
        <f>IF($A$25="mm",1/1000,1)*Q146*P161^3/12</f>
        <v>0</v>
      </c>
      <c r="Q163" s="58">
        <f>R159</f>
        <v>0</v>
      </c>
      <c r="R163" s="19" t="str">
        <f>IF($A$25="mm","m^4","in^4")</f>
        <v>m^4</v>
      </c>
      <c r="S163" s="25" t="str">
        <f>IF(NOT(P147="Other"),"N/A","EQ")</f>
        <v>N/A</v>
      </c>
      <c r="AO163" s="72"/>
      <c r="AP163" s="60"/>
      <c r="AQ163" s="60"/>
      <c r="AR163" s="60"/>
      <c r="AS163" s="60"/>
      <c r="AT163" s="67"/>
      <c r="AU163" s="67"/>
      <c r="AV163" s="68"/>
      <c r="AW163" s="55"/>
      <c r="BI163" s="47"/>
      <c r="BJ163" s="49"/>
      <c r="BK163" s="49"/>
      <c r="BL163" s="49"/>
      <c r="BM163" s="49"/>
      <c r="BN163" s="58"/>
      <c r="BO163" s="58"/>
      <c r="BQ163" s="25"/>
      <c r="BS163" s="25"/>
      <c r="BT163" s="25"/>
      <c r="BU163" s="25"/>
      <c r="BV163" s="25"/>
      <c r="BW163" s="25"/>
      <c r="BX163" s="25"/>
      <c r="BY163" s="25"/>
      <c r="BZ163" s="25"/>
      <c r="CA163" s="25"/>
      <c r="CB163" s="25"/>
    </row>
    <row r="164" spans="11:80" x14ac:dyDescent="0.3">
      <c r="K164" s="47" t="s">
        <v>534</v>
      </c>
      <c r="L164" s="289" t="s">
        <v>510</v>
      </c>
      <c r="M164" s="289"/>
      <c r="N164" s="289"/>
      <c r="O164" s="289"/>
      <c r="P164" s="58">
        <f>$G$3</f>
        <v>200000000000</v>
      </c>
      <c r="Q164" s="58" t="e">
        <f>INDEX($G$3:$G$19,MATCH(Q149,$E$3:$E$19,0))</f>
        <v>#N/A</v>
      </c>
      <c r="R164" s="19" t="str">
        <f>IF($A$25="mm","Pa","psi")</f>
        <v>Pa</v>
      </c>
      <c r="S164" s="25" t="str">
        <f>IF(NOT(P147="Other"),"N/A",IF(Q164=0,"BLANK","EQ"))</f>
        <v>N/A</v>
      </c>
      <c r="AO164" s="47"/>
      <c r="AP164" s="49"/>
      <c r="AQ164" s="49"/>
      <c r="AR164" s="49"/>
      <c r="AS164" s="49"/>
      <c r="AT164" s="67"/>
      <c r="AU164" s="67"/>
      <c r="AV164" s="68"/>
      <c r="AW164" s="55"/>
      <c r="BI164" s="49"/>
      <c r="BJ164" s="49"/>
      <c r="BK164" s="49"/>
      <c r="BL164" s="49"/>
      <c r="BM164" s="49"/>
      <c r="BN164" s="58"/>
      <c r="BO164" s="58"/>
      <c r="BP164" s="75"/>
      <c r="BQ164" s="25"/>
      <c r="BS164" s="25"/>
      <c r="BT164" s="25"/>
      <c r="BU164" s="25"/>
      <c r="BV164" s="25"/>
      <c r="BW164" s="25"/>
      <c r="BX164" s="25"/>
      <c r="BY164" s="25"/>
      <c r="BZ164" s="25"/>
      <c r="CA164" s="25"/>
      <c r="CB164" s="25"/>
    </row>
    <row r="165" spans="11:80" x14ac:dyDescent="0.3">
      <c r="K165" s="289" t="s">
        <v>705</v>
      </c>
      <c r="L165" s="289"/>
      <c r="M165" s="289"/>
      <c r="N165" s="289"/>
      <c r="O165" s="289"/>
      <c r="P165" s="58">
        <f>$I$3</f>
        <v>365000000</v>
      </c>
      <c r="Q165" s="58" t="e">
        <f>INDEX($I$3:$I$19,MATCH(Q149,$E$3:$E$19,0))</f>
        <v>#N/A</v>
      </c>
      <c r="R165" s="75" t="e">
        <f>IF(OR(Q165=0,Q165=""),0,Q165/P165)</f>
        <v>#N/A</v>
      </c>
      <c r="S165" s="25" t="str">
        <f>IF(NOT(P147="Other"),"N/A",IF(OR(Q165="",Q165=0),"BLANK",IF(Q165&gt;=1,"EQ",IF(Q165&gt;=0.95,"CHECK","REJECT"))))</f>
        <v>N/A</v>
      </c>
      <c r="AO165" s="47"/>
      <c r="AP165" s="49"/>
      <c r="AQ165" s="49"/>
      <c r="AR165" s="49"/>
      <c r="AS165" s="49"/>
      <c r="AT165" s="67"/>
      <c r="AU165" s="67"/>
      <c r="AV165" s="68"/>
      <c r="AW165" s="55"/>
      <c r="BI165" s="60"/>
      <c r="BJ165" s="49"/>
      <c r="BK165" s="49"/>
      <c r="BL165" s="49"/>
      <c r="BM165" s="49"/>
      <c r="BN165" s="58"/>
      <c r="BO165" s="58"/>
      <c r="BP165" s="75"/>
      <c r="BQ165" s="25"/>
      <c r="BS165" s="25"/>
      <c r="BT165" s="25"/>
      <c r="BU165" s="25"/>
      <c r="BV165" s="25"/>
      <c r="BW165" s="25"/>
      <c r="BX165" s="25"/>
      <c r="BY165" s="25"/>
      <c r="BZ165" s="25"/>
      <c r="CA165" s="25"/>
      <c r="CB165" s="25"/>
    </row>
    <row r="166" spans="11:80" x14ac:dyDescent="0.3">
      <c r="K166" s="60"/>
      <c r="L166" s="289" t="s">
        <v>708</v>
      </c>
      <c r="M166" s="289"/>
      <c r="N166" s="289"/>
      <c r="O166" s="289"/>
      <c r="P166" s="58">
        <f>$K$3</f>
        <v>210604999.99999997</v>
      </c>
      <c r="Q166" s="58" t="e">
        <f>INDEX($K$3:$K$19,MATCH(Q149,$E$3:$E$19,0))</f>
        <v>#N/A</v>
      </c>
      <c r="R166" s="75" t="e">
        <f>IF(OR(Q166=0,Q166=""),0,Q166/P166)</f>
        <v>#N/A</v>
      </c>
      <c r="S166" s="25" t="str">
        <f>IF(NOT(P147="Other"),"N/A",IF(OR(Q166="",Q166=0),"BLANK",IF(Q166&gt;=1,"EQ",IF(Q166&gt;=0.95,"CHECK","REJECT"))))</f>
        <v>N/A</v>
      </c>
      <c r="BI166" s="63"/>
      <c r="BJ166" s="63"/>
      <c r="BK166" s="60"/>
      <c r="BL166" s="60"/>
      <c r="BM166" s="60"/>
      <c r="BN166" s="92"/>
      <c r="BO166" s="67"/>
      <c r="BP166" s="68"/>
      <c r="BQ166" s="55"/>
      <c r="BS166" s="25"/>
      <c r="BT166" s="25"/>
      <c r="BU166" s="25"/>
      <c r="BV166" s="25"/>
      <c r="BW166" s="25"/>
      <c r="BX166" s="25"/>
      <c r="BY166" s="25"/>
      <c r="BZ166" s="25"/>
      <c r="CA166" s="25"/>
      <c r="CB166" s="25"/>
    </row>
    <row r="167" spans="11:80" x14ac:dyDescent="0.3">
      <c r="K167" s="287" t="s">
        <v>513</v>
      </c>
      <c r="L167" s="287"/>
      <c r="M167" s="288" t="s">
        <v>797</v>
      </c>
      <c r="N167" s="288"/>
      <c r="O167" s="288"/>
      <c r="P167" s="92">
        <f>P164*P163</f>
        <v>0</v>
      </c>
      <c r="Q167" s="92" t="e">
        <f>IF(OR(NOT(P147="Other"),O159="",Q164=0),0,Q164*Q163)</f>
        <v>#N/A</v>
      </c>
      <c r="R167" s="159" t="e">
        <f>IF(OR(P167=0,Q167=""),0,Q167/P167)</f>
        <v>#N/A</v>
      </c>
      <c r="S167" s="55" t="str">
        <f>IF(NOT(P147="Other"),"N/A",IF(R167="","EQ",IF(R167&gt;=1,"EQ",IF(R167&gt;=0.95,"CHECK","REJECT"))))</f>
        <v>N/A</v>
      </c>
      <c r="BS167" s="25"/>
      <c r="BT167" s="25"/>
      <c r="BU167" s="25"/>
      <c r="BV167" s="25"/>
      <c r="BW167" s="25"/>
      <c r="BX167" s="25"/>
      <c r="BY167" s="25"/>
      <c r="BZ167" s="25"/>
      <c r="CA167" s="25"/>
      <c r="CB167" s="25"/>
    </row>
    <row r="168" spans="11:80" x14ac:dyDescent="0.3">
      <c r="K168" s="72" t="s">
        <v>798</v>
      </c>
      <c r="L168" s="288" t="s">
        <v>799</v>
      </c>
      <c r="M168" s="288"/>
      <c r="N168" s="288"/>
      <c r="O168" s="288"/>
      <c r="P168" s="92">
        <f>P165*P162</f>
        <v>0</v>
      </c>
      <c r="Q168" s="92" t="e">
        <f>IF(OR(P143="Tube",O158="",Q164=0),0,Q165*Q162)</f>
        <v>#N/A</v>
      </c>
      <c r="R168" s="159" t="e">
        <f>IF(OR(P168=0,Q168=""),0,Q168/P168)</f>
        <v>#N/A</v>
      </c>
      <c r="S168" s="55" t="str">
        <f>IF(NOT(P$147="Other"),"N/A",IF(OR(Q162=0,Q165=0),"BLANK",IF(R168&gt;=1,"EQ",IF(R168&gt;=0.95,"CHECK","REJECT"))))</f>
        <v>N/A</v>
      </c>
      <c r="BI168" s="72"/>
      <c r="BJ168" s="72"/>
      <c r="BK168" s="72"/>
      <c r="BL168" s="72"/>
      <c r="BM168" s="72"/>
      <c r="BN168" s="72"/>
      <c r="BO168" s="72"/>
      <c r="BP168" s="72"/>
      <c r="BQ168" s="72"/>
      <c r="BS168" s="25"/>
      <c r="BT168" s="25"/>
      <c r="BU168" s="25"/>
      <c r="BV168" s="25"/>
      <c r="BW168" s="25"/>
      <c r="BX168" s="25"/>
      <c r="BY168" s="25"/>
      <c r="BZ168" s="25"/>
      <c r="CA168" s="25"/>
      <c r="CB168" s="25"/>
    </row>
    <row r="169" spans="11:80" x14ac:dyDescent="0.3">
      <c r="K169" s="72" t="s">
        <v>519</v>
      </c>
      <c r="L169" s="288" t="s">
        <v>800</v>
      </c>
      <c r="M169" s="288"/>
      <c r="N169" s="288"/>
      <c r="O169" s="288"/>
      <c r="P169" s="92">
        <f>4*P165*P163/(P161/2)</f>
        <v>0</v>
      </c>
      <c r="Q169" s="92" t="e">
        <f>IF(OR(P143="Tube",O158="",Q164=0),0,4*Q165*Q163/(Q161/2))</f>
        <v>#N/A</v>
      </c>
      <c r="R169" s="159" t="e">
        <f>IF(OR(P169=0,Q169=""),0,Q169/P169)</f>
        <v>#N/A</v>
      </c>
      <c r="S169" s="55" t="str">
        <f>IF(NOT(P$147="Other"),"N/A",IF(OR(Q163=0,Q165=0),"BLANK",IF(R169&gt;=1,"EQ",IF(R169&gt;=0.95,"CHECK","REJECT"))))</f>
        <v>N/A</v>
      </c>
      <c r="BI169" s="25"/>
      <c r="BJ169" s="25"/>
      <c r="BK169" s="25"/>
      <c r="BL169" s="25"/>
      <c r="BM169" s="25"/>
      <c r="BN169" s="25"/>
      <c r="BO169" s="25"/>
      <c r="BP169" s="25"/>
      <c r="BQ169" s="25"/>
      <c r="BS169" s="25"/>
      <c r="BT169" s="25"/>
      <c r="BU169" s="25"/>
      <c r="BV169" s="25"/>
      <c r="BW169" s="25"/>
      <c r="BX169" s="25"/>
      <c r="BY169" s="25"/>
      <c r="BZ169" s="25"/>
      <c r="CA169" s="25"/>
      <c r="CB169" s="25"/>
    </row>
    <row r="170" spans="11:80" x14ac:dyDescent="0.3">
      <c r="K170" s="47" t="s">
        <v>522</v>
      </c>
      <c r="L170" s="289" t="s">
        <v>523</v>
      </c>
      <c r="M170" s="289"/>
      <c r="N170" s="289"/>
      <c r="O170" s="289"/>
      <c r="P170" s="92">
        <f>IF(P163=0,0,P169/(48*P164*P163))</f>
        <v>0</v>
      </c>
      <c r="Q170" s="92" t="e">
        <f>IF(OR(Q169="",Q164=0),0,P169/(48*Q164*Q163))</f>
        <v>#N/A</v>
      </c>
      <c r="R170" s="159" t="e">
        <f>IF(OR(P170=0,Q170=""),0,Q170/P170)</f>
        <v>#N/A</v>
      </c>
      <c r="S170" s="55" t="str">
        <f>IF(NOT(P$147="Other"),"N/A",IF(OR(Q169=0,Q164=0,Q163=0),"BLANK",IF(R170&gt;=1,"EQ",IF(R170&gt;=0.95,"CHECK","REJECT"))))</f>
        <v>N/A</v>
      </c>
      <c r="BI170" s="49"/>
      <c r="BJ170" s="49"/>
      <c r="BK170" s="49"/>
      <c r="BL170" s="49"/>
      <c r="BM170" s="49"/>
      <c r="BN170" s="49"/>
      <c r="BO170" s="25"/>
      <c r="BQ170" s="25"/>
      <c r="BS170" s="25"/>
      <c r="BT170" s="25"/>
      <c r="BU170" s="25"/>
      <c r="BV170" s="25"/>
      <c r="BW170" s="25"/>
      <c r="BX170" s="25"/>
      <c r="BY170" s="25"/>
      <c r="BZ170" s="25"/>
      <c r="CA170" s="25"/>
      <c r="CB170" s="25"/>
    </row>
    <row r="171" spans="11:80" x14ac:dyDescent="0.3">
      <c r="K171" s="47" t="s">
        <v>222</v>
      </c>
      <c r="L171" s="289" t="s">
        <v>524</v>
      </c>
      <c r="M171" s="289"/>
      <c r="N171" s="289"/>
      <c r="O171" s="289"/>
      <c r="P171" s="92">
        <f>IF(P163=0,0,0.5*P169^2/(48*P164*P163))</f>
        <v>0</v>
      </c>
      <c r="Q171" s="92" t="e">
        <f>IF(OR(Q169="",Q164=0),0,0.5*Q169^2/(48*(Q164*Q163)))</f>
        <v>#N/A</v>
      </c>
      <c r="R171" s="159" t="e">
        <f>IF(OR(P171=0,Q171=""),0,Q171/P171)</f>
        <v>#N/A</v>
      </c>
      <c r="S171" s="55" t="str">
        <f>IF(NOT(P$147="Other"),"N/A",IF(OR(Q169=0,Q164=0,Q163=0),"BLANK",IF(R171&gt;=1,"EQ",IF(R171&gt;=0.95,"CHECK","REJECT"))))</f>
        <v>N/A</v>
      </c>
      <c r="BI171" s="49"/>
      <c r="BJ171" s="49"/>
      <c r="BK171" s="49"/>
      <c r="BL171" s="49"/>
      <c r="BM171" s="49"/>
      <c r="BN171" s="49"/>
      <c r="BO171" s="25"/>
      <c r="BQ171" s="25"/>
      <c r="BS171" s="25"/>
      <c r="BT171" s="25"/>
      <c r="BU171" s="25"/>
      <c r="BV171" s="25"/>
      <c r="BW171" s="25"/>
      <c r="BX171" s="25"/>
      <c r="BY171" s="25"/>
      <c r="BZ171" s="25"/>
      <c r="CA171" s="25"/>
      <c r="CB171" s="25"/>
    </row>
    <row r="172" spans="11:80" x14ac:dyDescent="0.3">
      <c r="BI172" s="47"/>
      <c r="BJ172" s="48"/>
      <c r="BK172" s="48"/>
      <c r="BL172" s="48"/>
      <c r="BM172" s="48"/>
      <c r="BN172" s="25"/>
      <c r="BO172" s="25"/>
      <c r="BQ172" s="25"/>
      <c r="BS172" s="25"/>
      <c r="BT172" s="25"/>
      <c r="BU172" s="25"/>
      <c r="BV172" s="25"/>
      <c r="BW172" s="25"/>
      <c r="BX172" s="25"/>
      <c r="BY172" s="25"/>
      <c r="BZ172" s="25"/>
      <c r="CA172" s="25"/>
      <c r="CB172" s="25"/>
    </row>
    <row r="173" spans="11:80" x14ac:dyDescent="0.3">
      <c r="K173" s="293" t="s">
        <v>810</v>
      </c>
      <c r="L173" s="293"/>
      <c r="M173" s="293"/>
      <c r="N173" s="293"/>
      <c r="O173" s="293"/>
      <c r="P173" s="293"/>
      <c r="Q173" s="293"/>
      <c r="R173" s="293"/>
      <c r="S173" s="293"/>
      <c r="T173" s="75"/>
      <c r="BI173" s="47"/>
      <c r="BJ173" s="48"/>
      <c r="BK173" s="48"/>
      <c r="BL173" s="48"/>
      <c r="BM173" s="48"/>
      <c r="BN173" s="49"/>
      <c r="BO173" s="25"/>
      <c r="BQ173" s="25"/>
      <c r="BS173" s="25"/>
      <c r="BT173" s="25"/>
      <c r="BU173" s="25"/>
      <c r="BV173" s="25"/>
      <c r="BW173" s="25"/>
      <c r="BX173" s="25"/>
      <c r="BY173" s="25"/>
      <c r="BZ173" s="25"/>
      <c r="CA173" s="25"/>
      <c r="CB173" s="25"/>
    </row>
    <row r="174" spans="11:80" x14ac:dyDescent="0.3">
      <c r="K174" s="272" t="str">
        <f>IF(COUNTIF(S175:S201,"BLANK"),"BLANK",IF(OR(SUMPRODUCT(--ISERROR(S175:S201))&gt;0,COUNTIF(S175:S201,"REJECT")),"REJECT",IF(COUNTIF(S175:S201,"CHECK"),"CHECK","EQ")))</f>
        <v>BLANK</v>
      </c>
      <c r="L174" s="272"/>
      <c r="M174" s="272"/>
      <c r="N174" s="272"/>
      <c r="O174" s="272"/>
      <c r="P174" s="272"/>
      <c r="Q174" s="272"/>
      <c r="R174" s="272"/>
      <c r="S174" s="272"/>
      <c r="T174" s="75"/>
      <c r="BI174" s="49"/>
      <c r="BJ174" s="49"/>
      <c r="BK174" s="49"/>
      <c r="BL174" s="49"/>
      <c r="BM174" s="49"/>
      <c r="BN174" s="49"/>
      <c r="BO174" s="83"/>
      <c r="BP174" s="83"/>
      <c r="BQ174" s="25"/>
      <c r="BS174" s="25"/>
      <c r="BT174" s="25"/>
      <c r="BU174" s="25"/>
      <c r="BV174" s="25"/>
      <c r="BW174" s="25"/>
      <c r="BX174" s="25"/>
      <c r="BY174" s="25"/>
      <c r="BZ174" s="25"/>
      <c r="CA174" s="25"/>
      <c r="CB174" s="25"/>
    </row>
    <row r="175" spans="11:80" x14ac:dyDescent="0.3">
      <c r="K175" s="289" t="s">
        <v>811</v>
      </c>
      <c r="L175" s="289"/>
      <c r="M175" s="289"/>
      <c r="N175" s="289"/>
      <c r="O175" s="289"/>
      <c r="P175" s="252"/>
      <c r="Q175" s="57"/>
      <c r="R175" s="19" t="str">
        <f>IF($A$25="mm","mm","in")</f>
        <v>mm</v>
      </c>
      <c r="S175" s="25" t="str">
        <f>IF(Q176="","BLANK","EQ")</f>
        <v>BLANK</v>
      </c>
      <c r="BI175" s="49"/>
      <c r="BJ175" s="49"/>
      <c r="BK175" s="49"/>
      <c r="BL175" s="49"/>
      <c r="BM175" s="49"/>
      <c r="BN175" s="49"/>
      <c r="BO175" s="55"/>
      <c r="BQ175" s="55"/>
      <c r="BS175" s="25"/>
      <c r="BT175" s="25"/>
      <c r="BU175" s="25"/>
      <c r="BV175" s="25"/>
      <c r="BW175" s="25"/>
      <c r="BX175" s="25"/>
      <c r="BY175" s="25"/>
      <c r="BZ175" s="25"/>
      <c r="CA175" s="25"/>
      <c r="CB175" s="25"/>
    </row>
    <row r="176" spans="11:80" ht="15" thickBot="1" x14ac:dyDescent="0.35">
      <c r="K176" s="289" t="s">
        <v>812</v>
      </c>
      <c r="L176" s="289"/>
      <c r="M176" s="289"/>
      <c r="N176" s="289"/>
      <c r="O176" s="289"/>
      <c r="P176" s="252"/>
      <c r="Q176" s="57"/>
      <c r="R176" s="19" t="str">
        <f>IF($A$25="mm","mm","in")</f>
        <v>mm</v>
      </c>
      <c r="S176" s="25" t="str">
        <f>IF(Q176="","BLANK","EQ")</f>
        <v>BLANK</v>
      </c>
      <c r="BI176" s="60"/>
      <c r="BJ176" s="60"/>
      <c r="BK176" s="60"/>
      <c r="BL176" s="60"/>
      <c r="BM176" s="60"/>
      <c r="BN176" s="60"/>
      <c r="BO176" s="55"/>
      <c r="BQ176" s="25"/>
      <c r="BS176" s="25"/>
      <c r="BT176" s="25"/>
      <c r="BU176" s="25"/>
      <c r="BV176" s="25"/>
      <c r="BW176" s="25"/>
      <c r="BX176" s="25"/>
      <c r="BY176" s="25"/>
      <c r="BZ176" s="25"/>
      <c r="CA176" s="25"/>
      <c r="CB176" s="25"/>
    </row>
    <row r="177" spans="11:80" ht="15" thickBot="1" x14ac:dyDescent="0.35">
      <c r="K177" s="47" t="s">
        <v>813</v>
      </c>
      <c r="L177" s="307" t="s">
        <v>814</v>
      </c>
      <c r="M177" s="307"/>
      <c r="N177" s="307"/>
      <c r="O177" s="307"/>
      <c r="P177" s="243" t="s">
        <v>160</v>
      </c>
      <c r="Q177" s="244"/>
      <c r="S177" s="25" t="s">
        <v>89</v>
      </c>
      <c r="BI177" s="49"/>
      <c r="BJ177" s="49"/>
      <c r="BK177" s="49"/>
      <c r="BL177" s="49"/>
      <c r="BM177" s="49"/>
      <c r="BN177" s="49"/>
      <c r="BO177" s="25"/>
      <c r="BQ177" s="25"/>
      <c r="BS177" s="25"/>
      <c r="BT177" s="25"/>
      <c r="BU177" s="25"/>
      <c r="BV177" s="25"/>
      <c r="BW177" s="25"/>
      <c r="BX177" s="25"/>
      <c r="BY177" s="25"/>
      <c r="BZ177" s="25"/>
      <c r="CA177" s="25"/>
      <c r="CB177" s="25"/>
    </row>
    <row r="178" spans="11:80" ht="15" thickBot="1" x14ac:dyDescent="0.35">
      <c r="K178" s="47"/>
      <c r="L178" s="48"/>
      <c r="M178" s="48"/>
      <c r="N178" s="48"/>
      <c r="O178" s="48"/>
      <c r="P178" s="49" t="s">
        <v>805</v>
      </c>
      <c r="Q178" s="156"/>
      <c r="R178" s="19" t="str">
        <f>IF($A$25="mm","mm","in")</f>
        <v>mm</v>
      </c>
      <c r="S178" s="25" t="str">
        <f>IF(P177="Other","N/A",IF(Q178="","BLANK",
IF(AND(P177="Steel",OR(AND($A$25="mm",Q178&gt;=0.9),AND($A$25="Inch",Q178&gt;=0.035))),"EQ",
IF(AND(P177="Aluminum",OR(AND($A$25="mm",Q178&gt;=2.3),AND($A$25="Inch",Q178&gt;=0.09))),"EQ","REJECT"))))</f>
        <v>BLANK</v>
      </c>
      <c r="BI178" s="49"/>
      <c r="BJ178" s="49"/>
      <c r="BK178" s="49"/>
      <c r="BL178" s="49"/>
      <c r="BM178" s="49"/>
      <c r="BN178" s="49"/>
      <c r="BO178" s="25"/>
      <c r="BQ178" s="25"/>
      <c r="BS178" s="25"/>
      <c r="BT178" s="25"/>
      <c r="BU178" s="25"/>
      <c r="BV178" s="25"/>
      <c r="BW178" s="25"/>
      <c r="BX178" s="25"/>
      <c r="BY178" s="25"/>
      <c r="BZ178" s="25"/>
      <c r="CA178" s="25"/>
      <c r="CB178" s="25"/>
    </row>
    <row r="179" spans="11:80" ht="15" thickBot="1" x14ac:dyDescent="0.35">
      <c r="K179" s="289" t="s">
        <v>766</v>
      </c>
      <c r="L179" s="289"/>
      <c r="M179" s="289"/>
      <c r="N179" s="289"/>
      <c r="O179" s="289"/>
      <c r="P179" s="251"/>
      <c r="Q179" s="308"/>
      <c r="R179" s="309"/>
      <c r="S179" s="25" t="str">
        <f>IF(NOT(P177="Other"),"N/A",IF(Q179="","BLANK","EQ"))</f>
        <v>N/A</v>
      </c>
      <c r="BI179" s="72"/>
      <c r="BJ179" s="72"/>
      <c r="BK179" s="72"/>
      <c r="BL179" s="72"/>
      <c r="BM179" s="72"/>
      <c r="BN179" s="72"/>
      <c r="BO179" s="72"/>
      <c r="BP179" s="72"/>
      <c r="BQ179" s="72"/>
      <c r="BS179" s="25"/>
      <c r="BT179" s="25"/>
      <c r="BU179" s="25"/>
      <c r="BV179" s="25"/>
      <c r="BW179" s="25"/>
      <c r="BX179" s="25"/>
      <c r="BY179" s="25"/>
      <c r="BZ179" s="25"/>
      <c r="CA179" s="25"/>
      <c r="CB179" s="25"/>
    </row>
    <row r="180" spans="11:80" x14ac:dyDescent="0.3">
      <c r="K180" s="289" t="s">
        <v>767</v>
      </c>
      <c r="L180" s="289"/>
      <c r="M180" s="289"/>
      <c r="N180" s="289"/>
      <c r="O180" s="289"/>
      <c r="P180" s="289"/>
      <c r="Q180" s="55">
        <f>Q181+Q183+Q182</f>
        <v>0</v>
      </c>
      <c r="R180" s="19" t="str">
        <f>IF($A$25="mm","mm","in")</f>
        <v>mm</v>
      </c>
      <c r="S180" s="55" t="str">
        <f>IF(NOT(P177="Other"),"N/A","EQ")</f>
        <v>N/A</v>
      </c>
      <c r="BI180" s="25"/>
      <c r="BJ180" s="25"/>
      <c r="BL180" s="49"/>
      <c r="BM180" s="92"/>
      <c r="BO180" s="49"/>
      <c r="BP180" s="92"/>
      <c r="BS180" s="25"/>
      <c r="BT180" s="25"/>
      <c r="BU180" s="25"/>
      <c r="BV180" s="25"/>
      <c r="BW180" s="25"/>
      <c r="BX180" s="25"/>
      <c r="BY180" s="25"/>
      <c r="BZ180" s="25"/>
      <c r="CA180" s="25"/>
      <c r="CB180" s="25"/>
    </row>
    <row r="181" spans="11:80" x14ac:dyDescent="0.3">
      <c r="K181" s="288" t="s">
        <v>769</v>
      </c>
      <c r="L181" s="288"/>
      <c r="M181" s="288"/>
      <c r="N181" s="288"/>
      <c r="O181" s="288"/>
      <c r="P181" s="306"/>
      <c r="Q181" s="76"/>
      <c r="R181" s="19" t="str">
        <f>IF($A$25="mm","mm","in")</f>
        <v>mm</v>
      </c>
      <c r="S181" s="25" t="str">
        <f>IF(NOT(P177="Other"),"N/A",IF(Q181="","BLANK","EQ"))</f>
        <v>N/A</v>
      </c>
      <c r="BI181" s="93"/>
      <c r="BJ181" s="25"/>
      <c r="BL181" s="49"/>
      <c r="BM181" s="92"/>
      <c r="BO181" s="49"/>
      <c r="BP181" s="92"/>
      <c r="BS181" s="25"/>
      <c r="BT181" s="25"/>
      <c r="BU181" s="25"/>
      <c r="BV181" s="25"/>
      <c r="BW181" s="25"/>
      <c r="BX181" s="25"/>
      <c r="BY181" s="25"/>
      <c r="BZ181" s="25"/>
      <c r="CA181" s="25"/>
      <c r="CB181" s="25"/>
    </row>
    <row r="182" spans="11:80" x14ac:dyDescent="0.3">
      <c r="K182" s="289" t="s">
        <v>772</v>
      </c>
      <c r="L182" s="289"/>
      <c r="M182" s="289"/>
      <c r="N182" s="289"/>
      <c r="O182" s="289"/>
      <c r="P182" s="252"/>
      <c r="Q182" s="50"/>
      <c r="R182" s="19" t="str">
        <f>IF($A$25="mm","mm","in")</f>
        <v>mm</v>
      </c>
      <c r="S182" s="25" t="str">
        <f>IF(NOT(P177="Other"),"N/A",IF(Q182="","BLANK","EQ"))</f>
        <v>N/A</v>
      </c>
      <c r="BI182" s="93"/>
      <c r="BJ182" s="25"/>
      <c r="BL182" s="49"/>
      <c r="BM182" s="55"/>
      <c r="BO182" s="49"/>
      <c r="BP182" s="92"/>
      <c r="BS182" s="25"/>
      <c r="BT182" s="25"/>
      <c r="BU182" s="25"/>
      <c r="BV182" s="25"/>
      <c r="BW182" s="25"/>
      <c r="BX182" s="25"/>
      <c r="BY182" s="25"/>
      <c r="BZ182" s="25"/>
      <c r="CA182" s="25"/>
      <c r="CB182" s="25"/>
    </row>
    <row r="183" spans="11:80" x14ac:dyDescent="0.3">
      <c r="K183" s="289" t="s">
        <v>773</v>
      </c>
      <c r="L183" s="289"/>
      <c r="M183" s="289"/>
      <c r="N183" s="289"/>
      <c r="O183" s="289"/>
      <c r="P183" s="252"/>
      <c r="Q183" s="50"/>
      <c r="R183" s="19" t="str">
        <f>IF($A$25="mm","mm","in")</f>
        <v>mm</v>
      </c>
      <c r="S183" s="25" t="str">
        <f>IF(NOT(P177="Other"),"N/A",IF(Q183="","BLANK","EQ"))</f>
        <v>N/A</v>
      </c>
      <c r="BI183" s="25"/>
      <c r="BJ183" s="25"/>
      <c r="BL183" s="49"/>
      <c r="BM183" s="95"/>
      <c r="BO183" s="49"/>
      <c r="BP183" s="92"/>
      <c r="BS183" s="25"/>
      <c r="BT183" s="25"/>
      <c r="BU183" s="25"/>
      <c r="BV183" s="25"/>
      <c r="BW183" s="25"/>
      <c r="BX183" s="25"/>
      <c r="BY183" s="25"/>
      <c r="BZ183" s="25"/>
      <c r="CA183" s="25"/>
      <c r="CB183" s="25"/>
    </row>
    <row r="184" spans="11:80" x14ac:dyDescent="0.3">
      <c r="K184" s="293" t="s">
        <v>775</v>
      </c>
      <c r="L184" s="293"/>
      <c r="M184" s="293"/>
      <c r="N184" s="304" t="s">
        <v>775</v>
      </c>
      <c r="O184" s="293"/>
      <c r="P184" s="305"/>
      <c r="Q184" s="304" t="s">
        <v>775</v>
      </c>
      <c r="R184" s="293"/>
      <c r="S184" s="305"/>
      <c r="BI184" s="25"/>
      <c r="BJ184" s="25"/>
      <c r="BL184" s="49"/>
      <c r="BM184" s="96"/>
      <c r="BO184" s="49"/>
      <c r="BP184" s="92"/>
      <c r="BS184" s="25"/>
      <c r="BT184" s="25"/>
      <c r="BU184" s="25"/>
      <c r="BV184" s="25"/>
      <c r="BW184" s="25"/>
      <c r="BX184" s="25"/>
      <c r="BY184" s="25"/>
      <c r="BZ184" s="25"/>
      <c r="CA184" s="25"/>
      <c r="CB184" s="25"/>
    </row>
    <row r="185" spans="11:80" ht="15.6" x14ac:dyDescent="0.3">
      <c r="K185" s="25" t="s">
        <v>776</v>
      </c>
      <c r="L185" s="25">
        <f>IF($A$25="mm",Q176/1000,Q176)</f>
        <v>0</v>
      </c>
      <c r="M185" s="19" t="str">
        <f>IF($A$25="mm","m","in")</f>
        <v>m</v>
      </c>
      <c r="N185" s="157" t="s">
        <v>777</v>
      </c>
      <c r="O185" s="92">
        <f>L185*L186</f>
        <v>0</v>
      </c>
      <c r="P185" s="158" t="str">
        <f>IF($A$25="mm","m^2","in^2")</f>
        <v>m^2</v>
      </c>
      <c r="Q185" s="157" t="s">
        <v>778</v>
      </c>
      <c r="R185" s="92">
        <f>(L185*L186^3)/12</f>
        <v>0</v>
      </c>
      <c r="S185" s="158" t="str">
        <f>IF($A$25="mm","m^4","in^4")</f>
        <v>m^4</v>
      </c>
      <c r="BI185" s="25"/>
      <c r="BJ185" s="25"/>
      <c r="BL185" s="161"/>
      <c r="BM185" s="98"/>
      <c r="BN185" s="98"/>
      <c r="BO185" s="162"/>
      <c r="BP185" s="162"/>
      <c r="BS185" s="25"/>
      <c r="BT185" s="25"/>
      <c r="BU185" s="25"/>
      <c r="BV185" s="25"/>
      <c r="BW185" s="25"/>
      <c r="BX185" s="25"/>
      <c r="BY185" s="25"/>
      <c r="BZ185" s="25"/>
      <c r="CA185" s="25"/>
      <c r="CB185" s="25"/>
    </row>
    <row r="186" spans="11:80" ht="15.6" x14ac:dyDescent="0.3">
      <c r="K186" s="93" t="s">
        <v>779</v>
      </c>
      <c r="L186" s="25">
        <f>IF($A$25="mm",Q182/1000,Q182)</f>
        <v>0</v>
      </c>
      <c r="M186" s="19" t="str">
        <f>IF($A$25="mm","m","in")</f>
        <v>m</v>
      </c>
      <c r="N186" s="157" t="s">
        <v>780</v>
      </c>
      <c r="O186" s="92">
        <f>L188*L189</f>
        <v>0</v>
      </c>
      <c r="P186" s="158" t="str">
        <f>IF($A$25="mm","m^2","in^2")</f>
        <v>m^2</v>
      </c>
      <c r="Q186" s="157" t="s">
        <v>781</v>
      </c>
      <c r="R186" s="92">
        <f>(L188*L189^3)/12</f>
        <v>0</v>
      </c>
      <c r="S186" s="158" t="str">
        <f>IF($A$25="mm","m^4","in^4")</f>
        <v>m^4</v>
      </c>
      <c r="BI186" s="47"/>
      <c r="BJ186" s="49"/>
      <c r="BK186" s="49"/>
      <c r="BL186" s="49"/>
      <c r="BM186" s="49"/>
      <c r="BN186" s="25"/>
      <c r="BO186" s="25"/>
      <c r="BQ186" s="25"/>
      <c r="BS186" s="25"/>
      <c r="BT186" s="25"/>
      <c r="BU186" s="25"/>
      <c r="BV186" s="25"/>
      <c r="BW186" s="25"/>
      <c r="BX186" s="25"/>
      <c r="BY186" s="25"/>
      <c r="BZ186" s="25"/>
      <c r="CA186" s="25"/>
      <c r="CB186" s="25"/>
    </row>
    <row r="187" spans="11:80" ht="15.6" x14ac:dyDescent="0.3">
      <c r="K187" s="93" t="s">
        <v>782</v>
      </c>
      <c r="L187" s="25">
        <f>IF($A$25="mm",Q180/1000,Q180)</f>
        <v>0</v>
      </c>
      <c r="M187" s="19" t="str">
        <f>IF($A$25="mm","m","in")</f>
        <v>m</v>
      </c>
      <c r="N187" s="157" t="s">
        <v>783</v>
      </c>
      <c r="O187" s="95">
        <f>L189/2</f>
        <v>0</v>
      </c>
      <c r="P187" s="158" t="str">
        <f>IF($A$25="mm","m","in")</f>
        <v>m</v>
      </c>
      <c r="Q187" s="157" t="s">
        <v>784</v>
      </c>
      <c r="R187" s="92">
        <f>IF(O189="","",R185+(O185*(O189-O187)^2))</f>
        <v>0</v>
      </c>
      <c r="S187" s="158" t="str">
        <f>IF($A$25="mm","m^4","in^4")</f>
        <v>m^4</v>
      </c>
      <c r="BI187" s="49"/>
      <c r="BJ187" s="49"/>
      <c r="BK187" s="49"/>
      <c r="BL187" s="49"/>
      <c r="BM187" s="49"/>
      <c r="BN187" s="58"/>
      <c r="BO187" s="58"/>
      <c r="BQ187" s="25"/>
      <c r="BS187" s="25"/>
      <c r="BT187" s="25"/>
      <c r="BU187" s="25"/>
      <c r="BV187" s="25"/>
      <c r="BW187" s="25"/>
      <c r="BX187" s="25"/>
      <c r="BY187" s="25"/>
      <c r="BZ187" s="25"/>
      <c r="CA187" s="25"/>
      <c r="CB187" s="25"/>
    </row>
    <row r="188" spans="11:80" ht="15.6" x14ac:dyDescent="0.3">
      <c r="K188" s="25" t="s">
        <v>785</v>
      </c>
      <c r="L188" s="25">
        <f>IF($A$25="mm",Q176/1000,Q176)</f>
        <v>0</v>
      </c>
      <c r="M188" s="19" t="str">
        <f>IF($A$25="mm","m","in")</f>
        <v>m</v>
      </c>
      <c r="N188" s="157" t="s">
        <v>786</v>
      </c>
      <c r="O188" s="95">
        <f>(L187-0.5*L189)</f>
        <v>0</v>
      </c>
      <c r="P188" s="158" t="str">
        <f>IF($A$25="mm","m","in")</f>
        <v>m</v>
      </c>
      <c r="Q188" s="157" t="s">
        <v>787</v>
      </c>
      <c r="R188" s="92">
        <f>IF(O189="","",R186+(O186*(O189-O188)^2))</f>
        <v>0</v>
      </c>
      <c r="S188" s="158" t="str">
        <f>IF($A$25="mm","m^4","in^4")</f>
        <v>m^4</v>
      </c>
      <c r="BI188" s="60"/>
      <c r="BJ188" s="49"/>
      <c r="BK188" s="49"/>
      <c r="BL188" s="49"/>
      <c r="BM188" s="49"/>
      <c r="BN188" s="58"/>
      <c r="BO188" s="58"/>
      <c r="BQ188" s="25"/>
      <c r="BS188" s="25"/>
      <c r="BT188" s="25"/>
      <c r="BU188" s="25"/>
      <c r="BV188" s="25"/>
      <c r="BW188" s="25"/>
      <c r="BX188" s="25"/>
      <c r="BY188" s="25"/>
      <c r="BZ188" s="25"/>
      <c r="CA188" s="25"/>
      <c r="CB188" s="25"/>
    </row>
    <row r="189" spans="11:80" ht="15.6" x14ac:dyDescent="0.3">
      <c r="K189" s="25" t="s">
        <v>788</v>
      </c>
      <c r="L189" s="25">
        <f>IF($A$25="mm",Q183/1000,Q183)</f>
        <v>0</v>
      </c>
      <c r="M189" s="19" t="str">
        <f>IF($A$25="mm","m","in")</f>
        <v>m</v>
      </c>
      <c r="N189" s="157" t="s">
        <v>789</v>
      </c>
      <c r="O189" s="95">
        <f>IF(OR(Q176="",Q182="",Q183=""),0,(O185*O187+O186*O188)/(O185+O186))</f>
        <v>0</v>
      </c>
      <c r="P189" s="158" t="str">
        <f>IF($A$25="mm","m","in")</f>
        <v>m</v>
      </c>
      <c r="Q189" s="157" t="s">
        <v>790</v>
      </c>
      <c r="R189" s="92">
        <f>IF(O189="",0,R187+R188)</f>
        <v>0</v>
      </c>
      <c r="S189" s="158" t="str">
        <f>IF($A$25="mm","m^4","in^4")</f>
        <v>m^4</v>
      </c>
      <c r="BI189" s="47"/>
      <c r="BJ189" s="49"/>
      <c r="BK189" s="49"/>
      <c r="BL189" s="49"/>
      <c r="BM189" s="49"/>
      <c r="BN189" s="58"/>
      <c r="BO189" s="58"/>
      <c r="BQ189" s="25"/>
      <c r="BS189" s="25"/>
      <c r="BT189" s="25"/>
      <c r="BU189" s="25"/>
      <c r="BV189" s="25"/>
      <c r="BW189" s="25"/>
      <c r="BX189" s="25"/>
      <c r="BY189" s="25"/>
      <c r="BZ189" s="25"/>
      <c r="CA189" s="25"/>
      <c r="CB189" s="25"/>
    </row>
    <row r="190" spans="11:80" x14ac:dyDescent="0.3">
      <c r="K190" s="25"/>
      <c r="L190" s="25"/>
      <c r="N190" s="97"/>
      <c r="O190" s="294" t="s">
        <v>791</v>
      </c>
      <c r="P190" s="294"/>
      <c r="Q190" s="295" t="str">
        <f>P177</f>
        <v>Steel</v>
      </c>
      <c r="R190" s="295"/>
      <c r="BI190" s="49"/>
      <c r="BJ190" s="49"/>
      <c r="BK190" s="49"/>
      <c r="BL190" s="49"/>
      <c r="BM190" s="49"/>
      <c r="BN190" s="58"/>
      <c r="BO190" s="58"/>
      <c r="BP190" s="75"/>
      <c r="BQ190" s="25"/>
      <c r="BS190" s="25"/>
      <c r="BT190" s="25"/>
      <c r="BU190" s="25"/>
      <c r="BV190" s="25"/>
      <c r="BW190" s="25"/>
      <c r="BX190" s="25"/>
      <c r="BY190" s="25"/>
      <c r="BZ190" s="25"/>
      <c r="CA190" s="25"/>
    </row>
    <row r="191" spans="11:80" ht="15.75" customHeight="1" x14ac:dyDescent="0.3">
      <c r="K191" s="47"/>
      <c r="L191" s="289" t="s">
        <v>792</v>
      </c>
      <c r="M191" s="289"/>
      <c r="N191" s="289"/>
      <c r="O191" s="289"/>
      <c r="P191" s="25">
        <f>IF($A$25="mm",0.9/1000,0.035)</f>
        <v>8.9999999999999998E-4</v>
      </c>
      <c r="Q191" s="25">
        <f>IF($A$25="mm",Q180/1000,Q180)</f>
        <v>0</v>
      </c>
      <c r="R191" s="19" t="str">
        <f>IF($A$25="mm","m","in")</f>
        <v>m</v>
      </c>
      <c r="S191" s="25" t="str">
        <f>IF(NOT(P177="Other"),"N/A","EQ")</f>
        <v>N/A</v>
      </c>
      <c r="BI191" s="60"/>
      <c r="BJ191" s="49"/>
      <c r="BK191" s="49"/>
      <c r="BL191" s="49"/>
      <c r="BM191" s="49"/>
      <c r="BN191" s="58"/>
      <c r="BO191" s="58"/>
      <c r="BP191" s="75"/>
      <c r="BQ191" s="25"/>
    </row>
    <row r="192" spans="11:80" x14ac:dyDescent="0.3">
      <c r="K192" s="49"/>
      <c r="L192" s="289" t="s">
        <v>793</v>
      </c>
      <c r="M192" s="289"/>
      <c r="N192" s="289"/>
      <c r="O192" s="289"/>
      <c r="P192" s="58">
        <f>Q176*P191/IF($A$25="mm",1000,1)</f>
        <v>0</v>
      </c>
      <c r="Q192" s="58">
        <f>O185+O186/IF($A$25="mm",1000,1)</f>
        <v>0</v>
      </c>
      <c r="R192" s="19" t="str">
        <f>IF($A$25="mm","m^2","in^2")</f>
        <v>m^2</v>
      </c>
      <c r="S192" s="25" t="str">
        <f>IF(NOT(P177="Other"),"N/A","EQ")</f>
        <v>N/A</v>
      </c>
      <c r="BI192" s="63"/>
      <c r="BJ192" s="63"/>
      <c r="BK192" s="60"/>
      <c r="BL192" s="60"/>
      <c r="BM192" s="60"/>
      <c r="BN192" s="92"/>
      <c r="BO192" s="67"/>
      <c r="BP192" s="68"/>
      <c r="BQ192" s="55"/>
    </row>
    <row r="193" spans="11:20" x14ac:dyDescent="0.3">
      <c r="K193" s="60"/>
      <c r="L193" s="289" t="s">
        <v>795</v>
      </c>
      <c r="M193" s="289"/>
      <c r="N193" s="289"/>
      <c r="O193" s="289"/>
      <c r="P193" s="58">
        <f>IF($A$25="mm",1/1000,1)*Q176*P191^3/12</f>
        <v>0</v>
      </c>
      <c r="Q193" s="58">
        <f>R189</f>
        <v>0</v>
      </c>
      <c r="R193" s="19" t="str">
        <f>IF($A$25="mm","m^4","in^4")</f>
        <v>m^4</v>
      </c>
      <c r="S193" s="25" t="str">
        <f>IF(NOT(P177="Other"),"N/A","EQ")</f>
        <v>N/A</v>
      </c>
    </row>
    <row r="194" spans="11:20" x14ac:dyDescent="0.3">
      <c r="K194" s="47" t="s">
        <v>534</v>
      </c>
      <c r="L194" s="289" t="s">
        <v>510</v>
      </c>
      <c r="M194" s="289"/>
      <c r="N194" s="289"/>
      <c r="O194" s="289"/>
      <c r="P194" s="58">
        <f>$G$3</f>
        <v>200000000000</v>
      </c>
      <c r="Q194" s="58" t="e">
        <f>INDEX($G$3:$G$19,MATCH(Q179,$E$3:$E$19,0))</f>
        <v>#N/A</v>
      </c>
      <c r="R194" s="19" t="str">
        <f>IF($A$25="mm","Pa","psi")</f>
        <v>Pa</v>
      </c>
      <c r="S194" s="25" t="str">
        <f>IF(NOT(P177="Other"),"N/A",IF(Q194=0,"BLANK","EQ"))</f>
        <v>N/A</v>
      </c>
    </row>
    <row r="195" spans="11:20" x14ac:dyDescent="0.3">
      <c r="K195" s="289" t="s">
        <v>705</v>
      </c>
      <c r="L195" s="289"/>
      <c r="M195" s="289"/>
      <c r="N195" s="289"/>
      <c r="O195" s="289"/>
      <c r="P195" s="58">
        <f>$I$3</f>
        <v>365000000</v>
      </c>
      <c r="Q195" s="58" t="e">
        <f>INDEX($I$3:$I$19,MATCH(Q179,$E$3:$E$19,0))</f>
        <v>#N/A</v>
      </c>
      <c r="R195" s="75" t="e">
        <f>IF(OR(Q195=0,Q195=""),0,Q195/P195)</f>
        <v>#N/A</v>
      </c>
      <c r="S195" s="25" t="str">
        <f>IF(NOT(P177="Other"),"N/A",IF(OR(Q195="",Q195=0),"BLANK",IF(Q195&gt;=1,"EQ",IF(Q195&gt;=0.95,"CHECK","REJECT"))))</f>
        <v>N/A</v>
      </c>
    </row>
    <row r="196" spans="11:20" x14ac:dyDescent="0.3">
      <c r="K196" s="60"/>
      <c r="L196" s="289" t="s">
        <v>708</v>
      </c>
      <c r="M196" s="289"/>
      <c r="N196" s="289"/>
      <c r="O196" s="289"/>
      <c r="P196" s="58">
        <f>$K$3</f>
        <v>210604999.99999997</v>
      </c>
      <c r="Q196" s="58" t="e">
        <f>INDEX($K$3:$K$19,MATCH(Q179,$E$3:$E$19,0))</f>
        <v>#N/A</v>
      </c>
      <c r="R196" s="75" t="e">
        <f>IF(OR(Q196=0,Q196=""),0,Q196/P196)</f>
        <v>#N/A</v>
      </c>
      <c r="S196" s="25" t="str">
        <f>IF(NOT(P177="Other"),"N/A",IF(OR(Q196="",Q196=0),"BLANK",IF(Q196&gt;=1,"EQ",IF(Q196&gt;=0.95,"CHECK","REJECT"))))</f>
        <v>N/A</v>
      </c>
    </row>
    <row r="197" spans="11:20" x14ac:dyDescent="0.3">
      <c r="K197" s="287" t="s">
        <v>513</v>
      </c>
      <c r="L197" s="287"/>
      <c r="M197" s="288" t="s">
        <v>797</v>
      </c>
      <c r="N197" s="288"/>
      <c r="O197" s="288"/>
      <c r="P197" s="92">
        <f>P194*P193</f>
        <v>0</v>
      </c>
      <c r="Q197" s="92" t="e">
        <f>IF(OR(NOT(P177="Other"),O189="",Q194=0),0,Q194*Q193)</f>
        <v>#N/A</v>
      </c>
      <c r="R197" s="159" t="e">
        <f>IF(OR(P197=0,Q197=""),0,Q197/P197)</f>
        <v>#N/A</v>
      </c>
      <c r="S197" s="55" t="str">
        <f>IF(NOT(P177="Other"),"N/A",IF(R197="","EQ",IF(R197&gt;=1,"EQ",IF(R197&gt;=0.95,"CHECK","REJECT"))))</f>
        <v>N/A</v>
      </c>
    </row>
    <row r="198" spans="11:20" x14ac:dyDescent="0.3">
      <c r="K198" s="72" t="s">
        <v>798</v>
      </c>
      <c r="L198" s="288" t="s">
        <v>799</v>
      </c>
      <c r="M198" s="288"/>
      <c r="N198" s="288"/>
      <c r="O198" s="288"/>
      <c r="P198" s="92">
        <f>P195*P192</f>
        <v>0</v>
      </c>
      <c r="Q198" s="92" t="e">
        <f>IF(OR(P173="Tube",O188="",Q194=0),0,Q195*Q192)</f>
        <v>#N/A</v>
      </c>
      <c r="R198" s="159" t="e">
        <f>IF(OR(P198=0,Q198=""),0,Q198/P198)</f>
        <v>#N/A</v>
      </c>
      <c r="S198" s="55" t="str">
        <f>IF(NOT(P$177="Other"),"N/A",IF(OR(Q192=0,Q195=0),"BLANK",IF(R198&gt;=1,"EQ",IF(R198&gt;=0.95,"CHECK","REJECT"))))</f>
        <v>N/A</v>
      </c>
    </row>
    <row r="199" spans="11:20" x14ac:dyDescent="0.3">
      <c r="K199" s="72" t="s">
        <v>519</v>
      </c>
      <c r="L199" s="288" t="s">
        <v>800</v>
      </c>
      <c r="M199" s="288"/>
      <c r="N199" s="288"/>
      <c r="O199" s="288"/>
      <c r="P199" s="92">
        <f>4*P195*P193/(P191/2)</f>
        <v>0</v>
      </c>
      <c r="Q199" s="92" t="e">
        <f>IF(OR(P173="Tube",O188="",Q194=0),0,4*Q195*Q193/(Q191/2))</f>
        <v>#N/A</v>
      </c>
      <c r="R199" s="159" t="e">
        <f>IF(OR(P199=0,Q199=""),0,Q199/P199)</f>
        <v>#N/A</v>
      </c>
      <c r="S199" s="55" t="str">
        <f>IF(NOT(P$177="Other"),"N/A",IF(OR(Q193=0,Q195=0),"BLANK",IF(R199&gt;=1,"EQ",IF(R199&gt;=0.95,"CHECK","REJECT"))))</f>
        <v>N/A</v>
      </c>
      <c r="T199" s="75"/>
    </row>
    <row r="200" spans="11:20" x14ac:dyDescent="0.3">
      <c r="K200" s="47" t="s">
        <v>522</v>
      </c>
      <c r="L200" s="289" t="s">
        <v>523</v>
      </c>
      <c r="M200" s="289"/>
      <c r="N200" s="289"/>
      <c r="O200" s="289"/>
      <c r="P200" s="92">
        <f>IF(P193=0,0,P199/(48*P194*P193))</f>
        <v>0</v>
      </c>
      <c r="Q200" s="92" t="e">
        <f>IF(OR(Q199="",Q194=0),0,P199/(48*Q194*Q193))</f>
        <v>#N/A</v>
      </c>
      <c r="R200" s="159" t="e">
        <f>IF(OR(P200=0,Q200=""),0,Q200/P200)</f>
        <v>#N/A</v>
      </c>
      <c r="S200" s="55" t="str">
        <f>IF(NOT(P$177="Other"),"N/A",IF(OR(Q199=0,Q194=0,Q193=0),"BLANK",IF(R200&gt;=1,"EQ",IF(R200&gt;=0.95,"CHECK","REJECT"))))</f>
        <v>N/A</v>
      </c>
      <c r="T200" s="75"/>
    </row>
    <row r="201" spans="11:20" x14ac:dyDescent="0.3">
      <c r="K201" s="47" t="s">
        <v>222</v>
      </c>
      <c r="L201" s="289" t="s">
        <v>524</v>
      </c>
      <c r="M201" s="289"/>
      <c r="N201" s="289"/>
      <c r="O201" s="289"/>
      <c r="P201" s="92">
        <f>IF(P193=0,0,0.5*P199^2/(48*P194*P193))</f>
        <v>0</v>
      </c>
      <c r="Q201" s="92" t="e">
        <f>IF(OR(Q199="",Q194=0),0,0.5*Q199^2/(48*(Q194*Q193)))</f>
        <v>#N/A</v>
      </c>
      <c r="R201" s="159" t="e">
        <f>IF(OR(P201=0,Q201=""),0,Q201/P201)</f>
        <v>#N/A</v>
      </c>
      <c r="S201" s="55" t="str">
        <f>IF(NOT(P$177="Other"),"N/A",IF(OR(Q199=0,Q194=0,Q193=0),"BLANK",IF(R201&gt;=1,"EQ",IF(R201&gt;=0.95,"CHECK","REJECT"))))</f>
        <v>N/A</v>
      </c>
    </row>
  </sheetData>
  <sheetProtection algorithmName="SHA-512" hashValue="w1TaYN+Eq85zxvManQSH4W1+LfTSTOVo5ErIMXI112EH46bsi8kZ+cVFnBYtWkZS1BJGksdGJ8twJfKtRi8bOw==" saltValue="vNTqGd4Haknxo5lQc2fBRg==" spinCount="100000" sheet="1" scenarios="1"/>
  <protectedRanges>
    <protectedRange sqref="AA119:AA120 AK119:AK120 AU119:AU120 BE119:BE120 BO119:BO120 BY130:BY131 CI130:CI131 CS130:CS131 DC130:DC131 DM130:DM131" name="Acc 1"/>
    <protectedRange sqref="BY63 BY64 BY68:BY74 BY81 BY82:BY84 BY88:BY89 BY95:BY96 BY99:BY100 BY106 BY110 BY111 BY112:BY117 BY122 BY125:BY127" name="Ch1"/>
    <protectedRange sqref="E5:L6" name="Material Properties_1"/>
    <protectedRange sqref="Q146 P147 Q148 Q151:Q153 Q175:Q176 P177 Q178 Q181:Q183" name="HV Cover and Interior"/>
    <protectedRange sqref="Q65:Q68 Q77:Q82 Q72:Q73" name="HV Acc Cont"/>
    <protectedRange sqref="Q87:Q88 P89 Q90:Q91 Q93:Q95 Q117 P118 Q122:Q124 Q119:Q120 Q149 Q179 AA95 AA66 AK66 AU66 BE66 BO66 BY64 CI64 CS64 DC64 DM64 DM106 DC106 CS106 CI106 BY106 BO95 BE95 AU95 AK95" name="HV Floor and Exterior"/>
    <protectedRange sqref="G65:G70 G73:G74 G79:G86 D89" name="HV Acc Segs"/>
    <protectedRange sqref="AU62:AU64 AU70:AU76 AU84:AU85 AU88:AU89 AU114:AU116 AU99 AU100 AU101:AU106 AU111 AU66 AO62:AO64" name="Acc 3"/>
    <protectedRange sqref="AK62:AK64 AK70:AK76 AK84:AK85 AK88:AK89 AK114:AK116 AK99 AK100 AK101:AK106 AK111 AK66 AE62:AE64 AK95" name="Acc 2"/>
    <protectedRange sqref="L22:L23 U22 U24:V25" name="AAA Mass"/>
    <protectedRange sqref="BO62:BO64 BO70:BO76 BO84:BO85 BO88:BO89 BE116 BO99 BO100 BO101:BO106 BO111 BO114:BO116 BO95 BO66 BI62:BI64" name="Acc 5"/>
    <protectedRange sqref="BE62:BE64 BE70:BE76 BE84:BE85 BE88:BE89 BE114:BE115 BE99 BE99 BE100 BE101:BE106 BE111 BE95 BE66 AY62:AY64 BE116" name="Acc 4"/>
    <protectedRange sqref="CI63 CI64 CI68:CI74 CI81 CI82:CI84 CI88:CI89 CI95:CI96 CI99:CI100 CI106 CI110 CI111 CI112:CI117 CI122 CI125:CI127" name="Ch 2"/>
    <protectedRange sqref="CS63 CS64 CS68:CS74 CS81 CS82:CS84 CS88:CS89 CS95:CS96 CS99:CS100 CS106 CS110 CS111 CS112:CS117 CS122 CS125:CS127 CS130:CS131" name="Ch 3"/>
    <protectedRange sqref="DC63 DC64 DC68:DC74 DC81 DC82 DC83 DC84 DC88:DC89 DC95:DC96 DC99:DC100 DC106 DC110 DC111 DC112:DC117 DC122 DC125:DC127" name="Ch 4"/>
    <protectedRange sqref="DM63 DM64 DM68:DM74 DM81 DM82:DM84 DM88:DM89 DM95:DM96 DM99:DM100 DM106 DM110 DM111 DM112:DM117 DM122 DM125:DM127" name="Ch 5"/>
    <protectedRange sqref="AO3:AW26" name="comments"/>
    <protectedRange sqref="U62:U64 AA62:AA64 AA66 AA70:AA76 AA84:AA85 AA88:AA89 AA95 AA99 AA100 AA101:AA106 AA111 AA114:AA116 AA119:AA120" name="Acc1"/>
  </protectedRanges>
  <mergeCells count="463">
    <mergeCell ref="AR2:AU2"/>
    <mergeCell ref="A3:C4"/>
    <mergeCell ref="E3:F3"/>
    <mergeCell ref="G3:H3"/>
    <mergeCell ref="I3:J3"/>
    <mergeCell ref="K3:L3"/>
    <mergeCell ref="E4:F4"/>
    <mergeCell ref="G4:H4"/>
    <mergeCell ref="I4:J4"/>
    <mergeCell ref="K4:L4"/>
    <mergeCell ref="A1:C2"/>
    <mergeCell ref="E1:L1"/>
    <mergeCell ref="AC1:AL2"/>
    <mergeCell ref="E2:F2"/>
    <mergeCell ref="G2:H2"/>
    <mergeCell ref="I2:J2"/>
    <mergeCell ref="K2:L2"/>
    <mergeCell ref="A5:C7"/>
    <mergeCell ref="E5:F5"/>
    <mergeCell ref="G5:H5"/>
    <mergeCell ref="I5:J5"/>
    <mergeCell ref="K5:L5"/>
    <mergeCell ref="E6:F6"/>
    <mergeCell ref="G6:H6"/>
    <mergeCell ref="I6:J6"/>
    <mergeCell ref="K6:L6"/>
    <mergeCell ref="E7:F7"/>
    <mergeCell ref="E9:F9"/>
    <mergeCell ref="G9:H9"/>
    <mergeCell ref="I9:J9"/>
    <mergeCell ref="K9:L9"/>
    <mergeCell ref="AY9:BK10"/>
    <mergeCell ref="BM9:BY10"/>
    <mergeCell ref="G7:H7"/>
    <mergeCell ref="I7:J7"/>
    <mergeCell ref="K7:L7"/>
    <mergeCell ref="E8:F8"/>
    <mergeCell ref="G8:H8"/>
    <mergeCell ref="I8:J8"/>
    <mergeCell ref="K8:L8"/>
    <mergeCell ref="BA11:BI12"/>
    <mergeCell ref="BO11:BW12"/>
    <mergeCell ref="A12:C12"/>
    <mergeCell ref="E12:F12"/>
    <mergeCell ref="G12:H12"/>
    <mergeCell ref="I12:J12"/>
    <mergeCell ref="K12:L12"/>
    <mergeCell ref="A10:C10"/>
    <mergeCell ref="E10:F10"/>
    <mergeCell ref="G10:H10"/>
    <mergeCell ref="I10:J10"/>
    <mergeCell ref="K10:L10"/>
    <mergeCell ref="A11:C11"/>
    <mergeCell ref="E11:F11"/>
    <mergeCell ref="G11:H11"/>
    <mergeCell ref="I11:J11"/>
    <mergeCell ref="K11:L11"/>
    <mergeCell ref="E13:F13"/>
    <mergeCell ref="G13:H13"/>
    <mergeCell ref="I13:J13"/>
    <mergeCell ref="K13:L13"/>
    <mergeCell ref="BA13:BI14"/>
    <mergeCell ref="BO13:BW14"/>
    <mergeCell ref="E14:F14"/>
    <mergeCell ref="G14:H14"/>
    <mergeCell ref="I14:J14"/>
    <mergeCell ref="K14:L14"/>
    <mergeCell ref="E15:F15"/>
    <mergeCell ref="G15:H15"/>
    <mergeCell ref="I15:J15"/>
    <mergeCell ref="K15:L15"/>
    <mergeCell ref="AY15:BK16"/>
    <mergeCell ref="BM15:BY16"/>
    <mergeCell ref="E16:F16"/>
    <mergeCell ref="G16:H16"/>
    <mergeCell ref="I16:J16"/>
    <mergeCell ref="K16:L16"/>
    <mergeCell ref="G19:H19"/>
    <mergeCell ref="I19:J19"/>
    <mergeCell ref="K19:L19"/>
    <mergeCell ref="F21:N21"/>
    <mergeCell ref="R21:AA21"/>
    <mergeCell ref="U22:V22"/>
    <mergeCell ref="A17:C24"/>
    <mergeCell ref="E17:F17"/>
    <mergeCell ref="G17:H17"/>
    <mergeCell ref="I17:J17"/>
    <mergeCell ref="K17:L17"/>
    <mergeCell ref="E18:F18"/>
    <mergeCell ref="G18:H18"/>
    <mergeCell ref="I18:J18"/>
    <mergeCell ref="K18:L18"/>
    <mergeCell ref="E19:F19"/>
    <mergeCell ref="U24:V24"/>
    <mergeCell ref="A25:C26"/>
    <mergeCell ref="U25:V25"/>
    <mergeCell ref="U33:W33"/>
    <mergeCell ref="BS33:BU33"/>
    <mergeCell ref="A39:I40"/>
    <mergeCell ref="K39:S40"/>
    <mergeCell ref="U39:AC40"/>
    <mergeCell ref="AE39:AM40"/>
    <mergeCell ref="AO39:AW40"/>
    <mergeCell ref="DG39:DO40"/>
    <mergeCell ref="AO41:AW42"/>
    <mergeCell ref="CM41:CU42"/>
    <mergeCell ref="L47:R48"/>
    <mergeCell ref="BJ47:BP48"/>
    <mergeCell ref="DH47:DN48"/>
    <mergeCell ref="AY39:BG40"/>
    <mergeCell ref="BI39:BQ40"/>
    <mergeCell ref="BS39:CA40"/>
    <mergeCell ref="CC39:CK40"/>
    <mergeCell ref="CM39:CU40"/>
    <mergeCell ref="CW39:DE40"/>
    <mergeCell ref="L49:R50"/>
    <mergeCell ref="BJ49:BP50"/>
    <mergeCell ref="DH49:DN50"/>
    <mergeCell ref="U53:AC53"/>
    <mergeCell ref="AE53:AM53"/>
    <mergeCell ref="AO53:AW53"/>
    <mergeCell ref="AY53:BG53"/>
    <mergeCell ref="BI53:BQ53"/>
    <mergeCell ref="BS53:CA53"/>
    <mergeCell ref="CC53:CK53"/>
    <mergeCell ref="A56:B57"/>
    <mergeCell ref="C56:I57"/>
    <mergeCell ref="K56:L57"/>
    <mergeCell ref="M56:S57"/>
    <mergeCell ref="U56:V57"/>
    <mergeCell ref="CM53:CU53"/>
    <mergeCell ref="CW53:DE53"/>
    <mergeCell ref="DG53:DO53"/>
    <mergeCell ref="A55:I55"/>
    <mergeCell ref="K55:S55"/>
    <mergeCell ref="U55:AC55"/>
    <mergeCell ref="AE55:AM55"/>
    <mergeCell ref="AO55:AW55"/>
    <mergeCell ref="AY55:BG55"/>
    <mergeCell ref="BI55:BQ55"/>
    <mergeCell ref="AG56:AM57"/>
    <mergeCell ref="AO56:AP57"/>
    <mergeCell ref="AQ56:AW57"/>
    <mergeCell ref="AY56:AZ57"/>
    <mergeCell ref="BS55:CA55"/>
    <mergeCell ref="CC55:CK55"/>
    <mergeCell ref="CM55:CU55"/>
    <mergeCell ref="CW55:DE55"/>
    <mergeCell ref="DG55:DO55"/>
    <mergeCell ref="DI56:DO57"/>
    <mergeCell ref="K59:S60"/>
    <mergeCell ref="U59:AC59"/>
    <mergeCell ref="AE59:AM59"/>
    <mergeCell ref="AO59:AW59"/>
    <mergeCell ref="AY59:BG59"/>
    <mergeCell ref="BI59:BQ59"/>
    <mergeCell ref="BS59:CA59"/>
    <mergeCell ref="CC59:CK59"/>
    <mergeCell ref="CM59:CU59"/>
    <mergeCell ref="CE56:CK57"/>
    <mergeCell ref="CM56:CN57"/>
    <mergeCell ref="CO56:CU57"/>
    <mergeCell ref="CW56:CX57"/>
    <mergeCell ref="CY56:DE57"/>
    <mergeCell ref="DG56:DH57"/>
    <mergeCell ref="BA56:BG57"/>
    <mergeCell ref="BI56:BJ57"/>
    <mergeCell ref="BK56:BQ57"/>
    <mergeCell ref="BS56:BT57"/>
    <mergeCell ref="BU56:CA57"/>
    <mergeCell ref="CC56:CD57"/>
    <mergeCell ref="W56:AC57"/>
    <mergeCell ref="AE56:AF57"/>
    <mergeCell ref="CW59:DE59"/>
    <mergeCell ref="DG59:DO59"/>
    <mergeCell ref="U60:AC60"/>
    <mergeCell ref="AE60:AM60"/>
    <mergeCell ref="AO60:AW60"/>
    <mergeCell ref="AY60:BG60"/>
    <mergeCell ref="BI60:BQ60"/>
    <mergeCell ref="BS60:CA60"/>
    <mergeCell ref="CC60:CK60"/>
    <mergeCell ref="CM60:CU60"/>
    <mergeCell ref="G65:H65"/>
    <mergeCell ref="BU65:BX65"/>
    <mergeCell ref="CE65:CH65"/>
    <mergeCell ref="CO65:CR65"/>
    <mergeCell ref="CY65:DB65"/>
    <mergeCell ref="DI65:DL65"/>
    <mergeCell ref="CW60:DE60"/>
    <mergeCell ref="DG60:DO60"/>
    <mergeCell ref="A64:I64"/>
    <mergeCell ref="K64:S64"/>
    <mergeCell ref="BY64:BZ64"/>
    <mergeCell ref="CI64:CJ64"/>
    <mergeCell ref="CS64:CT64"/>
    <mergeCell ref="DC64:DD64"/>
    <mergeCell ref="DM64:DN64"/>
    <mergeCell ref="CD66:CH66"/>
    <mergeCell ref="CN66:CR66"/>
    <mergeCell ref="CX66:DB66"/>
    <mergeCell ref="DH66:DL66"/>
    <mergeCell ref="W67:Z67"/>
    <mergeCell ref="AG67:AJ67"/>
    <mergeCell ref="AQ67:AT67"/>
    <mergeCell ref="BA67:BD67"/>
    <mergeCell ref="BK67:BN67"/>
    <mergeCell ref="BU67:BX67"/>
    <mergeCell ref="AA66:AB66"/>
    <mergeCell ref="AK66:AL66"/>
    <mergeCell ref="AU66:AV66"/>
    <mergeCell ref="BE66:BF66"/>
    <mergeCell ref="BO66:BP66"/>
    <mergeCell ref="BT66:BX66"/>
    <mergeCell ref="AG69:AJ69"/>
    <mergeCell ref="AQ69:AT69"/>
    <mergeCell ref="BA69:BD69"/>
    <mergeCell ref="BK69:BN69"/>
    <mergeCell ref="CE67:CH67"/>
    <mergeCell ref="CO67:CR67"/>
    <mergeCell ref="CY67:DB67"/>
    <mergeCell ref="DI67:DL67"/>
    <mergeCell ref="V68:Z68"/>
    <mergeCell ref="AF68:AJ68"/>
    <mergeCell ref="AP68:AT68"/>
    <mergeCell ref="AZ68:BD68"/>
    <mergeCell ref="BJ68:BN68"/>
    <mergeCell ref="K71:S71"/>
    <mergeCell ref="K74:S74"/>
    <mergeCell ref="K75:S75"/>
    <mergeCell ref="K76:S76"/>
    <mergeCell ref="Q77:R77"/>
    <mergeCell ref="A78:I78"/>
    <mergeCell ref="Q78:R78"/>
    <mergeCell ref="K69:R69"/>
    <mergeCell ref="W69:Z69"/>
    <mergeCell ref="DC81:DD81"/>
    <mergeCell ref="DM81:DN81"/>
    <mergeCell ref="U82:AC82"/>
    <mergeCell ref="AE82:AM82"/>
    <mergeCell ref="AO82:AW82"/>
    <mergeCell ref="AY82:BG82"/>
    <mergeCell ref="BI82:BQ82"/>
    <mergeCell ref="BS80:CA80"/>
    <mergeCell ref="CC80:CK80"/>
    <mergeCell ref="CM80:CU80"/>
    <mergeCell ref="CW80:DE80"/>
    <mergeCell ref="DG80:DO80"/>
    <mergeCell ref="U81:AC81"/>
    <mergeCell ref="AE81:AM81"/>
    <mergeCell ref="AO81:AW81"/>
    <mergeCell ref="AY81:BG81"/>
    <mergeCell ref="BI81:BQ81"/>
    <mergeCell ref="U83:AC83"/>
    <mergeCell ref="AE83:AM83"/>
    <mergeCell ref="AO83:AW83"/>
    <mergeCell ref="AY83:BG83"/>
    <mergeCell ref="BI83:BQ83"/>
    <mergeCell ref="K85:S85"/>
    <mergeCell ref="BY81:BZ81"/>
    <mergeCell ref="CI81:CJ81"/>
    <mergeCell ref="CS81:CT81"/>
    <mergeCell ref="K91:P91"/>
    <mergeCell ref="Q91:R91"/>
    <mergeCell ref="K92:P92"/>
    <mergeCell ref="BS92:CA92"/>
    <mergeCell ref="CC92:CK92"/>
    <mergeCell ref="CM92:CU92"/>
    <mergeCell ref="K86:S86"/>
    <mergeCell ref="K87:P87"/>
    <mergeCell ref="A88:I88"/>
    <mergeCell ref="K88:P88"/>
    <mergeCell ref="D89:H89"/>
    <mergeCell ref="L89:O89"/>
    <mergeCell ref="P89:Q89"/>
    <mergeCell ref="CW92:DE92"/>
    <mergeCell ref="DG92:DO92"/>
    <mergeCell ref="K93:P93"/>
    <mergeCell ref="U93:AC93"/>
    <mergeCell ref="AE93:AM93"/>
    <mergeCell ref="AO93:AW93"/>
    <mergeCell ref="AY93:BG93"/>
    <mergeCell ref="BI93:BQ93"/>
    <mergeCell ref="BS93:CA93"/>
    <mergeCell ref="CC93:CK93"/>
    <mergeCell ref="CM93:CU93"/>
    <mergeCell ref="CW93:DE93"/>
    <mergeCell ref="DG93:DO93"/>
    <mergeCell ref="CW94:DE94"/>
    <mergeCell ref="DG94:DO94"/>
    <mergeCell ref="K95:P95"/>
    <mergeCell ref="AA95:AB95"/>
    <mergeCell ref="AK95:AL95"/>
    <mergeCell ref="AU95:AV95"/>
    <mergeCell ref="BE95:BF95"/>
    <mergeCell ref="BO95:BP95"/>
    <mergeCell ref="BA96:BD96"/>
    <mergeCell ref="BK96:BN96"/>
    <mergeCell ref="K94:P94"/>
    <mergeCell ref="U94:AC94"/>
    <mergeCell ref="AE94:AM94"/>
    <mergeCell ref="AO94:AW94"/>
    <mergeCell ref="AY94:BG94"/>
    <mergeCell ref="BI94:BQ94"/>
    <mergeCell ref="BS94:CA94"/>
    <mergeCell ref="CC94:CK94"/>
    <mergeCell ref="CM94:CU94"/>
    <mergeCell ref="V97:Z97"/>
    <mergeCell ref="AF97:AJ97"/>
    <mergeCell ref="AP97:AT97"/>
    <mergeCell ref="AZ97:BD97"/>
    <mergeCell ref="BJ97:BN97"/>
    <mergeCell ref="K96:M96"/>
    <mergeCell ref="N96:P96"/>
    <mergeCell ref="Q96:S96"/>
    <mergeCell ref="W96:Z96"/>
    <mergeCell ref="AG96:AJ96"/>
    <mergeCell ref="AQ96:AT96"/>
    <mergeCell ref="BO100:BP100"/>
    <mergeCell ref="O102:P102"/>
    <mergeCell ref="Q102:R102"/>
    <mergeCell ref="L103:O103"/>
    <mergeCell ref="L104:O104"/>
    <mergeCell ref="BS104:CA104"/>
    <mergeCell ref="W98:Z98"/>
    <mergeCell ref="AG98:AJ98"/>
    <mergeCell ref="AQ98:AT98"/>
    <mergeCell ref="BA98:BD98"/>
    <mergeCell ref="BK98:BN98"/>
    <mergeCell ref="AA100:AB100"/>
    <mergeCell ref="AK100:AL100"/>
    <mergeCell ref="AU100:AV100"/>
    <mergeCell ref="BE100:BF100"/>
    <mergeCell ref="L106:O106"/>
    <mergeCell ref="BY106:BZ106"/>
    <mergeCell ref="CI106:CJ106"/>
    <mergeCell ref="CS106:CT106"/>
    <mergeCell ref="DC106:DD106"/>
    <mergeCell ref="DM106:DN106"/>
    <mergeCell ref="CC104:CK104"/>
    <mergeCell ref="CM104:CU104"/>
    <mergeCell ref="CW104:DE104"/>
    <mergeCell ref="DG104:DO104"/>
    <mergeCell ref="L105:O105"/>
    <mergeCell ref="BS105:CA105"/>
    <mergeCell ref="CC105:CK105"/>
    <mergeCell ref="CM105:CU105"/>
    <mergeCell ref="CW105:DE105"/>
    <mergeCell ref="DG105:DO105"/>
    <mergeCell ref="L108:O108"/>
    <mergeCell ref="BT108:BX108"/>
    <mergeCell ref="CD108:CH108"/>
    <mergeCell ref="CN108:CR108"/>
    <mergeCell ref="CX108:DB108"/>
    <mergeCell ref="DH108:DL108"/>
    <mergeCell ref="K107:O107"/>
    <mergeCell ref="BU107:BX107"/>
    <mergeCell ref="CE107:CH107"/>
    <mergeCell ref="CO107:CR107"/>
    <mergeCell ref="CY107:DB107"/>
    <mergeCell ref="DI107:DL107"/>
    <mergeCell ref="DI109:DL109"/>
    <mergeCell ref="L110:O110"/>
    <mergeCell ref="L111:O111"/>
    <mergeCell ref="BY111:BZ111"/>
    <mergeCell ref="CI111:CJ111"/>
    <mergeCell ref="CS111:CT111"/>
    <mergeCell ref="DC111:DD111"/>
    <mergeCell ref="K109:L109"/>
    <mergeCell ref="M109:O109"/>
    <mergeCell ref="BU109:BX109"/>
    <mergeCell ref="CE109:CH109"/>
    <mergeCell ref="CO109:CR109"/>
    <mergeCell ref="CY109:DB109"/>
    <mergeCell ref="K117:P117"/>
    <mergeCell ref="L118:O118"/>
    <mergeCell ref="P118:Q118"/>
    <mergeCell ref="K120:P120"/>
    <mergeCell ref="Q120:R120"/>
    <mergeCell ref="K121:P121"/>
    <mergeCell ref="DM111:DN111"/>
    <mergeCell ref="L112:O112"/>
    <mergeCell ref="L113:O113"/>
    <mergeCell ref="L114:O114"/>
    <mergeCell ref="K115:S115"/>
    <mergeCell ref="K116:S116"/>
    <mergeCell ref="O131:P131"/>
    <mergeCell ref="Q131:R131"/>
    <mergeCell ref="L132:O132"/>
    <mergeCell ref="L133:O133"/>
    <mergeCell ref="L134:O134"/>
    <mergeCell ref="L135:O135"/>
    <mergeCell ref="K122:P122"/>
    <mergeCell ref="K123:P123"/>
    <mergeCell ref="K124:P124"/>
    <mergeCell ref="K125:M125"/>
    <mergeCell ref="N125:P125"/>
    <mergeCell ref="Q125:S125"/>
    <mergeCell ref="L141:O141"/>
    <mergeCell ref="L142:O142"/>
    <mergeCell ref="K144:S144"/>
    <mergeCell ref="K145:S145"/>
    <mergeCell ref="K146:P146"/>
    <mergeCell ref="L147:O147"/>
    <mergeCell ref="P147:Q147"/>
    <mergeCell ref="K136:O136"/>
    <mergeCell ref="L137:O137"/>
    <mergeCell ref="K138:L138"/>
    <mergeCell ref="M138:O138"/>
    <mergeCell ref="L139:O139"/>
    <mergeCell ref="L140:O140"/>
    <mergeCell ref="Q154:S154"/>
    <mergeCell ref="O160:P160"/>
    <mergeCell ref="Q160:R160"/>
    <mergeCell ref="L161:O161"/>
    <mergeCell ref="K149:P149"/>
    <mergeCell ref="Q149:R149"/>
    <mergeCell ref="K150:P150"/>
    <mergeCell ref="K151:P151"/>
    <mergeCell ref="K152:P152"/>
    <mergeCell ref="K153:P153"/>
    <mergeCell ref="L162:O162"/>
    <mergeCell ref="L163:O163"/>
    <mergeCell ref="L164:O164"/>
    <mergeCell ref="K165:O165"/>
    <mergeCell ref="L166:O166"/>
    <mergeCell ref="K167:L167"/>
    <mergeCell ref="M167:O167"/>
    <mergeCell ref="K154:M154"/>
    <mergeCell ref="N154:P154"/>
    <mergeCell ref="K175:P175"/>
    <mergeCell ref="K176:P176"/>
    <mergeCell ref="L177:O177"/>
    <mergeCell ref="P177:Q177"/>
    <mergeCell ref="K179:P179"/>
    <mergeCell ref="Q179:R179"/>
    <mergeCell ref="L168:O168"/>
    <mergeCell ref="L169:O169"/>
    <mergeCell ref="L170:O170"/>
    <mergeCell ref="L171:O171"/>
    <mergeCell ref="K173:S173"/>
    <mergeCell ref="K174:S174"/>
    <mergeCell ref="Q184:S184"/>
    <mergeCell ref="O190:P190"/>
    <mergeCell ref="Q190:R190"/>
    <mergeCell ref="L191:O191"/>
    <mergeCell ref="L192:O192"/>
    <mergeCell ref="L193:O193"/>
    <mergeCell ref="K180:P180"/>
    <mergeCell ref="K181:P181"/>
    <mergeCell ref="K182:P182"/>
    <mergeCell ref="K183:P183"/>
    <mergeCell ref="K184:M184"/>
    <mergeCell ref="N184:P184"/>
    <mergeCell ref="L199:O199"/>
    <mergeCell ref="L200:O200"/>
    <mergeCell ref="L201:O201"/>
    <mergeCell ref="L194:O194"/>
    <mergeCell ref="K195:O195"/>
    <mergeCell ref="L196:O196"/>
    <mergeCell ref="K197:L197"/>
    <mergeCell ref="M197:O197"/>
    <mergeCell ref="L198:O198"/>
  </mergeCells>
  <conditionalFormatting sqref="D10:XFD15 A1:XFD9 A122:XFD129 A119:Y121 AD119:AI121 AN119:AS121 AX119:BC121 BH119:BM121 BR119:XFD121 A133:XFD1048576 A130:BW132 CB130:CG132 CL130:CQ132 CV130:DA132 DF130:DK132 DP130:XFD132 A16:XFD118">
    <cfRule type="beginsWith" dxfId="65" priority="61" operator="beginsWith" text="REJECT">
      <formula>LEFT(A1,LEN("REJECT"))="REJECT"</formula>
    </cfRule>
    <cfRule type="beginsWith" dxfId="64" priority="62" operator="beginsWith" text="CHECK">
      <formula>LEFT(A1,LEN("CHECK"))="CHECK"</formula>
    </cfRule>
    <cfRule type="beginsWith" dxfId="63" priority="63" operator="beginsWith" text="EQ">
      <formula>LEFT(A1,LEN("EQ"))="EQ"</formula>
    </cfRule>
    <cfRule type="beginsWith" dxfId="62" priority="64" operator="beginsWith" text="BLANK">
      <formula>LEFT(A1,LEN("BLANK"))="BLANK"</formula>
    </cfRule>
  </conditionalFormatting>
  <conditionalFormatting sqref="A10:C15">
    <cfRule type="beginsWith" dxfId="61" priority="57" operator="beginsWith" text="REJECT">
      <formula>LEFT(A10,LEN("REJECT"))="REJECT"</formula>
    </cfRule>
    <cfRule type="beginsWith" dxfId="60" priority="58" operator="beginsWith" text="EQ">
      <formula>LEFT(A10,LEN("EQ"))="EQ"</formula>
    </cfRule>
    <cfRule type="beginsWith" dxfId="59" priority="59" operator="beginsWith" text="BLANK">
      <formula>LEFT(A10,LEN("BLANK"))="BLANK"</formula>
    </cfRule>
    <cfRule type="beginsWith" dxfId="58" priority="60" operator="beginsWith" text="CHECK">
      <formula>LEFT(A10,LEN("CHECK"))="CHECK"</formula>
    </cfRule>
  </conditionalFormatting>
  <conditionalFormatting sqref="Z119:AC121">
    <cfRule type="beginsWith" dxfId="57" priority="53" operator="beginsWith" text="REJECT">
      <formula>LEFT(Z119,LEN("REJECT"))="REJECT"</formula>
    </cfRule>
    <cfRule type="beginsWith" dxfId="56" priority="54" operator="beginsWith" text="CHECK">
      <formula>LEFT(Z119,LEN("CHECK"))="CHECK"</formula>
    </cfRule>
    <cfRule type="beginsWith" dxfId="55" priority="55" operator="beginsWith" text="EQ">
      <formula>LEFT(Z119,LEN("EQ"))="EQ"</formula>
    </cfRule>
    <cfRule type="beginsWith" dxfId="54" priority="56" operator="beginsWith" text="BLANK">
      <formula>LEFT(Z119,LEN("BLANK"))="BLANK"</formula>
    </cfRule>
  </conditionalFormatting>
  <conditionalFormatting sqref="AJ119:AM121">
    <cfRule type="beginsWith" dxfId="53" priority="49" operator="beginsWith" text="REJECT">
      <formula>LEFT(AJ119,LEN("REJECT"))="REJECT"</formula>
    </cfRule>
    <cfRule type="beginsWith" dxfId="52" priority="50" operator="beginsWith" text="CHECK">
      <formula>LEFT(AJ119,LEN("CHECK"))="CHECK"</formula>
    </cfRule>
    <cfRule type="beginsWith" dxfId="51" priority="51" operator="beginsWith" text="EQ">
      <formula>LEFT(AJ119,LEN("EQ"))="EQ"</formula>
    </cfRule>
    <cfRule type="beginsWith" dxfId="50" priority="52" operator="beginsWith" text="BLANK">
      <formula>LEFT(AJ119,LEN("BLANK"))="BLANK"</formula>
    </cfRule>
  </conditionalFormatting>
  <conditionalFormatting sqref="AT119:AW121">
    <cfRule type="beginsWith" dxfId="49" priority="45" operator="beginsWith" text="REJECT">
      <formula>LEFT(AT119,LEN("REJECT"))="REJECT"</formula>
    </cfRule>
    <cfRule type="beginsWith" dxfId="48" priority="46" operator="beginsWith" text="CHECK">
      <formula>LEFT(AT119,LEN("CHECK"))="CHECK"</formula>
    </cfRule>
    <cfRule type="beginsWith" dxfId="47" priority="47" operator="beginsWith" text="EQ">
      <formula>LEFT(AT119,LEN("EQ"))="EQ"</formula>
    </cfRule>
    <cfRule type="beginsWith" dxfId="46" priority="48" operator="beginsWith" text="BLANK">
      <formula>LEFT(AT119,LEN("BLANK"))="BLANK"</formula>
    </cfRule>
  </conditionalFormatting>
  <conditionalFormatting sqref="BD119:BG121">
    <cfRule type="beginsWith" dxfId="45" priority="41" operator="beginsWith" text="REJECT">
      <formula>LEFT(BD119,LEN("REJECT"))="REJECT"</formula>
    </cfRule>
    <cfRule type="beginsWith" dxfId="44" priority="42" operator="beginsWith" text="CHECK">
      <formula>LEFT(BD119,LEN("CHECK"))="CHECK"</formula>
    </cfRule>
    <cfRule type="beginsWith" dxfId="43" priority="43" operator="beginsWith" text="EQ">
      <formula>LEFT(BD119,LEN("EQ"))="EQ"</formula>
    </cfRule>
    <cfRule type="beginsWith" dxfId="42" priority="44" operator="beginsWith" text="BLANK">
      <formula>LEFT(BD119,LEN("BLANK"))="BLANK"</formula>
    </cfRule>
  </conditionalFormatting>
  <conditionalFormatting sqref="BN119:BQ121">
    <cfRule type="beginsWith" dxfId="41" priority="37" operator="beginsWith" text="REJECT">
      <formula>LEFT(BN119,LEN("REJECT"))="REJECT"</formula>
    </cfRule>
    <cfRule type="beginsWith" dxfId="40" priority="38" operator="beginsWith" text="CHECK">
      <formula>LEFT(BN119,LEN("CHECK"))="CHECK"</formula>
    </cfRule>
    <cfRule type="beginsWith" dxfId="39" priority="39" operator="beginsWith" text="EQ">
      <formula>LEFT(BN119,LEN("EQ"))="EQ"</formula>
    </cfRule>
    <cfRule type="beginsWith" dxfId="38" priority="40" operator="beginsWith" text="BLANK">
      <formula>LEFT(BN119,LEN("BLANK"))="BLANK"</formula>
    </cfRule>
  </conditionalFormatting>
  <conditionalFormatting sqref="BX130:CA132">
    <cfRule type="beginsWith" dxfId="37" priority="33" operator="beginsWith" text="REJECT">
      <formula>LEFT(BX130,LEN("REJECT"))="REJECT"</formula>
    </cfRule>
    <cfRule type="beginsWith" dxfId="36" priority="34" operator="beginsWith" text="CHECK">
      <formula>LEFT(BX130,LEN("CHECK"))="CHECK"</formula>
    </cfRule>
    <cfRule type="beginsWith" dxfId="35" priority="35" operator="beginsWith" text="EQ">
      <formula>LEFT(BX130,LEN("EQ"))="EQ"</formula>
    </cfRule>
    <cfRule type="beginsWith" dxfId="34" priority="36" operator="beginsWith" text="BLANK">
      <formula>LEFT(BX130,LEN("BLANK"))="BLANK"</formula>
    </cfRule>
  </conditionalFormatting>
  <conditionalFormatting sqref="CH130:CK132">
    <cfRule type="beginsWith" dxfId="33" priority="13" operator="beginsWith" text="REJECT">
      <formula>LEFT(CH130,LEN("REJECT"))="REJECT"</formula>
    </cfRule>
    <cfRule type="beginsWith" dxfId="32" priority="14" operator="beginsWith" text="CHECK">
      <formula>LEFT(CH130,LEN("CHECK"))="CHECK"</formula>
    </cfRule>
    <cfRule type="beginsWith" dxfId="31" priority="15" operator="beginsWith" text="EQ">
      <formula>LEFT(CH130,LEN("EQ"))="EQ"</formula>
    </cfRule>
    <cfRule type="beginsWith" dxfId="30" priority="16" operator="beginsWith" text="BLANK">
      <formula>LEFT(CH130,LEN("BLANK"))="BLANK"</formula>
    </cfRule>
  </conditionalFormatting>
  <conditionalFormatting sqref="CR130:CU132">
    <cfRule type="beginsWith" dxfId="29" priority="9" operator="beginsWith" text="REJECT">
      <formula>LEFT(CR130,LEN("REJECT"))="REJECT"</formula>
    </cfRule>
    <cfRule type="beginsWith" dxfId="28" priority="10" operator="beginsWith" text="CHECK">
      <formula>LEFT(CR130,LEN("CHECK"))="CHECK"</formula>
    </cfRule>
    <cfRule type="beginsWith" dxfId="27" priority="11" operator="beginsWith" text="EQ">
      <formula>LEFT(CR130,LEN("EQ"))="EQ"</formula>
    </cfRule>
    <cfRule type="beginsWith" dxfId="26" priority="12" operator="beginsWith" text="BLANK">
      <formula>LEFT(CR130,LEN("BLANK"))="BLANK"</formula>
    </cfRule>
  </conditionalFormatting>
  <conditionalFormatting sqref="DB130:DE132">
    <cfRule type="beginsWith" dxfId="25" priority="5" operator="beginsWith" text="REJECT">
      <formula>LEFT(DB130,LEN("REJECT"))="REJECT"</formula>
    </cfRule>
    <cfRule type="beginsWith" dxfId="24" priority="6" operator="beginsWith" text="CHECK">
      <formula>LEFT(DB130,LEN("CHECK"))="CHECK"</formula>
    </cfRule>
    <cfRule type="beginsWith" dxfId="23" priority="7" operator="beginsWith" text="EQ">
      <formula>LEFT(DB130,LEN("EQ"))="EQ"</formula>
    </cfRule>
    <cfRule type="beginsWith" dxfId="22" priority="8" operator="beginsWith" text="BLANK">
      <formula>LEFT(DB130,LEN("BLANK"))="BLANK"</formula>
    </cfRule>
  </conditionalFormatting>
  <conditionalFormatting sqref="DL130:DO132">
    <cfRule type="beginsWith" dxfId="21" priority="1" operator="beginsWith" text="REJECT">
      <formula>LEFT(DL130,LEN("REJECT"))="REJECT"</formula>
    </cfRule>
    <cfRule type="beginsWith" dxfId="20" priority="2" operator="beginsWith" text="CHECK">
      <formula>LEFT(DL130,LEN("CHECK"))="CHECK"</formula>
    </cfRule>
    <cfRule type="beginsWith" dxfId="19" priority="3" operator="beginsWith" text="EQ">
      <formula>LEFT(DL130,LEN("EQ"))="EQ"</formula>
    </cfRule>
    <cfRule type="beginsWith" dxfId="18" priority="4" operator="beginsWith" text="BLANK">
      <formula>LEFT(DL130,LEN("BLANK"))="BLANK"</formula>
    </cfRule>
  </conditionalFormatting>
  <dataValidations disablePrompts="1" count="12">
    <dataValidation type="list" allowBlank="1" showInputMessage="1" showErrorMessage="1" sqref="BY82 CI82 CS82 DC82 DM82" xr:uid="{5F3D9A07-E8E7-4B85-9A6C-09AE3BB24E92}">
      <formula1>"Round, Square"</formula1>
    </dataValidation>
    <dataValidation type="list" allowBlank="1" showInputMessage="1" showErrorMessage="1" sqref="BY81:BZ81 CI81:CJ81 CS81:CT81 DC81:DD81 DM81:DN81" xr:uid="{B5661276-543A-49F2-9F06-3D2FE6116D01}">
      <formula1>"Tube, Composite"</formula1>
    </dataValidation>
    <dataValidation type="list" allowBlank="1" showInputMessage="1" showErrorMessage="1" sqref="Q91:R91 Q120:R120 Q149:R149 Q179:R179 AA95:AB95 AA66:AB66 AK66:AL66 AU66:AV66 BE66:BF66 BO66:BP66 BY64:BZ64 CI64:CJ64 CS64:CT64 DC64:DD64 DM64:DN64 DM106:DN106 DC106:DD106 CS106:CT106 CI106:CJ106 BY106:BZ106 BO95:BP95 BE95:BF95 AU95:AV95 AK95:AL95" xr:uid="{61A4BE0D-84DA-42F5-A74D-54E889E5D38C}">
      <formula1>$E$3:$E$19</formula1>
    </dataValidation>
    <dataValidation type="list" allowBlank="1" showInputMessage="1" showErrorMessage="1" sqref="P89:Q89 P118:Q118 P147:Q147 P177:Q177" xr:uid="{6947196E-62CB-44D4-ADD9-A7F01C15334F}">
      <formula1>"Steel, Aluminum, Other"</formula1>
    </dataValidation>
    <dataValidation type="list" allowBlank="1" showInputMessage="1" showErrorMessage="1" sqref="Q78:R78" xr:uid="{BCB102EB-9275-40F3-903C-FB19491851E2}">
      <formula1>"&gt;= 6mm (1/4in), 5mm (#12), 4mm (#10)"</formula1>
    </dataValidation>
    <dataValidation type="list" allowBlank="1" showInputMessage="1" showErrorMessage="1" sqref="G65:H65" xr:uid="{5306F857-099D-446A-8568-CF1216164321}">
      <formula1>"Cylindrical, Pouch, Prismatic"</formula1>
    </dataValidation>
    <dataValidation type="list" allowBlank="1" showInputMessage="1" showErrorMessage="1" sqref="AA74 AA104 BY72 BY115 AK74 AK104 AU74 AU104 BE74 BE104 BO74 BO104 CI72 CI115 CS72 CS115 DC72 DC115 DM72 DM115" xr:uid="{AA89020B-C219-4FEC-9D38-C16EBFB3F763}">
      <formula1>"No, Yes"</formula1>
    </dataValidation>
    <dataValidation type="list" allowBlank="1" showInputMessage="1" showErrorMessage="1" sqref="U24:V25" xr:uid="{C45A59AF-9E51-4DB9-8D81-21F57763DA85}">
      <formula1>"Front/Rear, Top/Bottom, Left/Right, None"</formula1>
    </dataValidation>
    <dataValidation type="list" allowBlank="1" showInputMessage="1" showErrorMessage="1" sqref="U22:V22" xr:uid="{5B064120-8C37-4002-B87E-7F093F3D3803}">
      <formula1>"Corner Attachment, Mass Based"</formula1>
    </dataValidation>
    <dataValidation type="list" allowBlank="1" showInputMessage="1" showErrorMessage="1" sqref="AY65 BI65 U65 AE65 AO65" xr:uid="{97630280-3BD6-4B82-8B32-7968F7376788}">
      <formula1>"Outside, Inside"</formula1>
    </dataValidation>
    <dataValidation type="list" allowBlank="1" showInputMessage="1" showErrorMessage="1" sqref="AA100:AB100 BY111:BZ111 AK100:AL100 AU100:AV100 BE100:BF100 BO100:BP100 CI111:CJ111 CS111:CT111 DC111:DD111 DM111:DN111 Q77:R77" xr:uid="{3E3DFC2D-058C-452A-9F78-725C84573CE4}">
      <formula1>"Bolted, Welded, Bonded"</formula1>
    </dataValidation>
    <dataValidation type="list" allowBlank="1" showInputMessage="1" showErrorMessage="1" sqref="U62:U64 AY62:AY64 AE62:AE64 AO62:AO64 BI62:BI64" xr:uid="{0462CAC1-8248-43AC-B1CE-D79215FCECA1}">
      <formula1>"Between, Outside"</formula1>
    </dataValidation>
  </dataValidations>
  <pageMargins left="0.7" right="0.7" top="0.75" bottom="0.75" header="0.3" footer="0.3"/>
  <pageSetup paperSize="24" scale="1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4810-6F2E-45B1-B555-A172DAD1EBB4}">
  <sheetPr>
    <pageSetUpPr fitToPage="1"/>
  </sheetPr>
  <dimension ref="A1:EG226"/>
  <sheetViews>
    <sheetView zoomScale="50" zoomScaleNormal="50" workbookViewId="0">
      <selection activeCell="H39" sqref="H39:K39"/>
    </sheetView>
  </sheetViews>
  <sheetFormatPr baseColWidth="10" defaultColWidth="9.109375" defaultRowHeight="14.4" x14ac:dyDescent="0.3"/>
  <cols>
    <col min="1" max="3" width="9.109375" style="19"/>
    <col min="4" max="9" width="9.109375" style="19" customWidth="1"/>
    <col min="10" max="11" width="9.33203125" style="19" bestFit="1" customWidth="1"/>
    <col min="12" max="13" width="9.109375" style="19"/>
    <col min="14" max="14" width="9.109375" style="47"/>
    <col min="15" max="15" width="9.109375" style="46"/>
    <col min="16" max="18" width="9.109375" style="19"/>
    <col min="19" max="21" width="9.109375" style="19" customWidth="1"/>
    <col min="22" max="33" width="9.109375" style="19"/>
    <col min="34" max="34" width="9.109375" style="38"/>
    <col min="35" max="36" width="9.109375" style="39"/>
    <col min="37" max="37" width="9.109375" style="40"/>
    <col min="38" max="64" width="9.109375" style="19"/>
    <col min="65" max="65" width="9.109375" style="19" customWidth="1"/>
    <col min="66" max="16384" width="9.109375" style="19"/>
  </cols>
  <sheetData>
    <row r="1" spans="1:137" ht="17.25" customHeight="1" x14ac:dyDescent="0.3">
      <c r="D1" s="20"/>
      <c r="E1" s="20"/>
      <c r="F1" s="20"/>
      <c r="G1" s="20"/>
      <c r="H1" s="20"/>
      <c r="I1" s="20"/>
      <c r="J1" s="20"/>
      <c r="K1" s="20"/>
      <c r="L1" s="20"/>
      <c r="M1" s="20"/>
      <c r="N1" s="21"/>
      <c r="O1" s="22"/>
      <c r="P1" s="23"/>
      <c r="Q1" s="23"/>
      <c r="R1" s="23"/>
      <c r="S1" s="23"/>
      <c r="T1" s="23"/>
      <c r="U1" s="23"/>
      <c r="V1" s="23"/>
      <c r="W1" s="20"/>
      <c r="X1" s="23"/>
      <c r="Y1" s="23"/>
      <c r="Z1" s="23"/>
      <c r="AA1" s="23"/>
      <c r="AB1" s="23"/>
      <c r="AC1" s="23"/>
      <c r="AD1" s="23"/>
      <c r="AE1" s="23"/>
      <c r="AF1" s="23"/>
      <c r="AG1" s="20"/>
      <c r="AH1" s="327" t="s">
        <v>218</v>
      </c>
      <c r="AI1" s="328"/>
      <c r="AJ1" s="328"/>
      <c r="AK1" s="329"/>
      <c r="AL1" s="20"/>
      <c r="AM1" s="23"/>
      <c r="AN1" s="23"/>
      <c r="AO1" s="23"/>
      <c r="AP1" s="23"/>
      <c r="AQ1" s="23"/>
      <c r="AR1" s="23"/>
      <c r="AS1" s="23"/>
      <c r="AT1" s="23"/>
      <c r="AU1" s="23"/>
      <c r="AV1" s="20"/>
      <c r="AW1" s="23"/>
      <c r="AX1" s="23"/>
      <c r="AY1" s="23"/>
      <c r="AZ1" s="23"/>
      <c r="BA1" s="23"/>
      <c r="BB1" s="23"/>
      <c r="BC1" s="23"/>
      <c r="BD1" s="23"/>
      <c r="BE1" s="23"/>
      <c r="BF1" s="20"/>
      <c r="BG1" s="23"/>
      <c r="BH1" s="23"/>
      <c r="BI1" s="23"/>
      <c r="BJ1" s="23"/>
      <c r="BK1" s="23"/>
      <c r="BL1" s="23"/>
      <c r="BM1" s="23"/>
      <c r="BN1" s="23"/>
      <c r="BO1" s="23"/>
      <c r="BP1" s="20"/>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K1" s="24"/>
      <c r="DL1" s="25"/>
      <c r="DM1" s="25"/>
      <c r="DN1" s="25"/>
      <c r="DO1" s="25"/>
      <c r="DP1" s="25"/>
      <c r="DQ1" s="25"/>
      <c r="DR1" s="25"/>
      <c r="DS1" s="25"/>
      <c r="DT1" s="25"/>
      <c r="DU1" s="25"/>
      <c r="DV1" s="25"/>
      <c r="DW1" s="25"/>
      <c r="DX1" s="25"/>
      <c r="DY1" s="25"/>
      <c r="DZ1" s="24"/>
      <c r="EA1" s="24"/>
      <c r="EB1" s="24"/>
      <c r="EC1" s="24"/>
      <c r="ED1" s="24"/>
      <c r="EE1" s="24"/>
      <c r="EF1" s="24"/>
      <c r="EG1" s="24"/>
    </row>
    <row r="2" spans="1:137" ht="15.75" customHeight="1" x14ac:dyDescent="0.3">
      <c r="D2" s="26"/>
      <c r="E2" s="26"/>
      <c r="F2" s="26"/>
      <c r="G2" s="26"/>
      <c r="H2" s="26"/>
      <c r="I2" s="26"/>
      <c r="J2" s="26"/>
      <c r="K2" s="26"/>
      <c r="L2" s="26"/>
      <c r="M2" s="20"/>
      <c r="N2" s="26"/>
      <c r="O2" s="26"/>
      <c r="P2" s="26"/>
      <c r="Q2" s="26"/>
      <c r="R2" s="26"/>
      <c r="S2" s="26"/>
      <c r="T2" s="26"/>
      <c r="U2" s="26"/>
      <c r="V2" s="26"/>
      <c r="W2" s="20"/>
      <c r="X2" s="26"/>
      <c r="Y2" s="26"/>
      <c r="Z2" s="26"/>
      <c r="AA2" s="26"/>
      <c r="AB2" s="26"/>
      <c r="AC2" s="26"/>
      <c r="AD2" s="26"/>
      <c r="AE2" s="26"/>
      <c r="AF2" s="26"/>
      <c r="AG2" s="20"/>
      <c r="AH2" s="330"/>
      <c r="AI2" s="331"/>
      <c r="AJ2" s="331"/>
      <c r="AK2" s="332"/>
      <c r="AL2" s="20"/>
      <c r="AM2" s="27"/>
      <c r="AN2" s="27"/>
      <c r="AO2" s="27"/>
      <c r="AP2" s="27"/>
      <c r="AQ2" s="27"/>
      <c r="AR2" s="27"/>
      <c r="AS2" s="27"/>
      <c r="AT2" s="27"/>
      <c r="AU2" s="27"/>
      <c r="AV2" s="20"/>
      <c r="AW2" s="27"/>
      <c r="AX2" s="27"/>
      <c r="AY2" s="27"/>
      <c r="AZ2" s="27"/>
      <c r="BA2" s="27"/>
      <c r="BB2" s="27"/>
      <c r="BC2" s="27"/>
      <c r="BD2" s="27"/>
      <c r="BE2" s="27"/>
      <c r="BF2" s="20"/>
      <c r="BG2" s="27"/>
      <c r="BH2" s="27"/>
      <c r="BI2" s="27"/>
      <c r="BJ2" s="27"/>
      <c r="BK2" s="27"/>
      <c r="BL2" s="27"/>
      <c r="BM2" s="27"/>
      <c r="BN2" s="27"/>
      <c r="BO2" s="27"/>
      <c r="BP2" s="20"/>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K2" s="25"/>
      <c r="DL2" s="25"/>
      <c r="DM2" s="25"/>
      <c r="DN2" s="25"/>
      <c r="DO2" s="25"/>
      <c r="DP2" s="25"/>
      <c r="DQ2" s="25"/>
      <c r="DR2" s="25"/>
      <c r="DS2" s="25"/>
      <c r="DT2" s="25"/>
      <c r="DU2" s="25"/>
      <c r="DV2" s="25"/>
      <c r="DW2" s="25"/>
      <c r="DX2" s="25"/>
      <c r="DY2" s="25"/>
      <c r="DZ2" s="24"/>
      <c r="EA2" s="24"/>
      <c r="EB2" s="24"/>
      <c r="EC2" s="24"/>
      <c r="ED2" s="24"/>
      <c r="EE2" s="24"/>
      <c r="EF2" s="24"/>
      <c r="EG2" s="24"/>
    </row>
    <row r="3" spans="1:137" ht="15.75" customHeight="1" x14ac:dyDescent="0.3">
      <c r="D3" s="26"/>
      <c r="E3" s="26"/>
      <c r="F3" s="26"/>
      <c r="G3" s="26"/>
      <c r="H3" s="26"/>
      <c r="I3" s="26"/>
      <c r="J3" s="26"/>
      <c r="K3" s="26"/>
      <c r="L3" s="26"/>
      <c r="M3" s="20"/>
      <c r="N3" s="26"/>
      <c r="O3" s="26"/>
      <c r="P3" s="26"/>
      <c r="Q3" s="26"/>
      <c r="R3" s="26"/>
      <c r="S3" s="26"/>
      <c r="T3" s="26"/>
      <c r="U3" s="26"/>
      <c r="V3" s="26"/>
      <c r="W3" s="20"/>
      <c r="X3" s="26"/>
      <c r="Y3" s="26"/>
      <c r="Z3" s="26"/>
      <c r="AA3" s="26"/>
      <c r="AB3" s="26"/>
      <c r="AC3" s="26"/>
      <c r="AD3" s="26"/>
      <c r="AE3" s="26"/>
      <c r="AF3" s="26"/>
      <c r="AG3" s="20"/>
      <c r="AH3" s="330"/>
      <c r="AI3" s="331"/>
      <c r="AJ3" s="331"/>
      <c r="AK3" s="332"/>
      <c r="AL3" s="20"/>
      <c r="AM3" s="27"/>
      <c r="AN3" s="27"/>
      <c r="AO3" s="27"/>
      <c r="AP3" s="27"/>
      <c r="AQ3" s="27"/>
      <c r="AR3" s="27"/>
      <c r="AS3" s="27"/>
      <c r="AT3" s="27"/>
      <c r="AU3" s="27"/>
      <c r="AV3" s="20"/>
      <c r="AW3" s="27"/>
      <c r="AX3" s="27"/>
      <c r="AY3" s="27"/>
      <c r="AZ3" s="27"/>
      <c r="BA3" s="27"/>
      <c r="BB3" s="27"/>
      <c r="BC3" s="27"/>
      <c r="BD3" s="27"/>
      <c r="BE3" s="27"/>
      <c r="BF3" s="20"/>
      <c r="BG3" s="27"/>
      <c r="BH3" s="27"/>
      <c r="BI3" s="27"/>
      <c r="BJ3" s="27"/>
      <c r="BK3" s="27"/>
      <c r="BL3" s="27"/>
      <c r="BM3" s="27"/>
      <c r="BN3" s="27"/>
      <c r="BO3" s="27"/>
      <c r="BP3" s="20"/>
    </row>
    <row r="4" spans="1:137" ht="15.75" customHeight="1" x14ac:dyDescent="0.3">
      <c r="D4" s="26"/>
      <c r="E4" s="26"/>
      <c r="F4" s="26"/>
      <c r="G4" s="26"/>
      <c r="H4" s="26"/>
      <c r="I4" s="26"/>
      <c r="J4" s="26"/>
      <c r="K4" s="26"/>
      <c r="L4" s="26"/>
      <c r="M4" s="20"/>
      <c r="N4" s="26"/>
      <c r="O4" s="26"/>
      <c r="P4" s="26"/>
      <c r="Q4" s="26"/>
      <c r="R4" s="26"/>
      <c r="S4" s="26"/>
      <c r="T4" s="26"/>
      <c r="U4" s="26"/>
      <c r="V4" s="26"/>
      <c r="W4" s="20"/>
      <c r="X4" s="26"/>
      <c r="Y4" s="26"/>
      <c r="Z4" s="26"/>
      <c r="AA4" s="26"/>
      <c r="AB4" s="26"/>
      <c r="AC4" s="26"/>
      <c r="AD4" s="26"/>
      <c r="AE4" s="26"/>
      <c r="AF4" s="26"/>
      <c r="AG4" s="20"/>
      <c r="AH4" s="330"/>
      <c r="AI4" s="331"/>
      <c r="AJ4" s="331"/>
      <c r="AK4" s="332"/>
      <c r="AL4" s="20"/>
      <c r="AM4" s="27"/>
      <c r="AN4" s="27"/>
      <c r="AO4" s="27"/>
      <c r="AP4" s="27"/>
      <c r="AQ4" s="27"/>
      <c r="AR4" s="27"/>
      <c r="AS4" s="27"/>
      <c r="AT4" s="27"/>
      <c r="AU4" s="27"/>
      <c r="AV4" s="20"/>
      <c r="AW4" s="27"/>
      <c r="AX4" s="27"/>
      <c r="AY4" s="27"/>
      <c r="AZ4" s="27"/>
      <c r="BA4" s="27"/>
      <c r="BB4" s="27"/>
      <c r="BC4" s="27"/>
      <c r="BD4" s="27"/>
      <c r="BE4" s="27"/>
      <c r="BF4" s="20"/>
      <c r="BG4" s="27"/>
      <c r="BH4" s="27"/>
      <c r="BI4" s="27"/>
      <c r="BJ4" s="27"/>
      <c r="BK4" s="27"/>
      <c r="BL4" s="27"/>
      <c r="BM4" s="27"/>
      <c r="BN4" s="27"/>
      <c r="BO4" s="27"/>
      <c r="BP4" s="20"/>
    </row>
    <row r="5" spans="1:137" ht="15.75" customHeight="1" x14ac:dyDescent="0.3">
      <c r="D5" s="26"/>
      <c r="E5" s="26"/>
      <c r="F5" s="26"/>
      <c r="G5" s="26"/>
      <c r="H5" s="26"/>
      <c r="I5" s="26"/>
      <c r="J5" s="26"/>
      <c r="K5" s="26"/>
      <c r="L5" s="26"/>
      <c r="M5" s="20"/>
      <c r="N5" s="26"/>
      <c r="O5" s="26"/>
      <c r="P5" s="26"/>
      <c r="Q5" s="26"/>
      <c r="R5" s="26"/>
      <c r="S5" s="26"/>
      <c r="T5" s="26"/>
      <c r="U5" s="26"/>
      <c r="V5" s="26"/>
      <c r="W5" s="20"/>
      <c r="X5" s="26"/>
      <c r="Y5" s="26"/>
      <c r="Z5" s="26"/>
      <c r="AA5" s="26"/>
      <c r="AB5" s="26"/>
      <c r="AC5" s="26"/>
      <c r="AD5" s="26"/>
      <c r="AE5" s="26"/>
      <c r="AF5" s="26"/>
      <c r="AG5" s="20"/>
      <c r="AH5" s="330"/>
      <c r="AI5" s="331"/>
      <c r="AJ5" s="331"/>
      <c r="AK5" s="332"/>
      <c r="AL5" s="20"/>
      <c r="AM5" s="27"/>
      <c r="AN5" s="27"/>
      <c r="AO5" s="27"/>
      <c r="AP5" s="27"/>
      <c r="AQ5" s="27"/>
      <c r="AR5" s="27"/>
      <c r="AS5" s="27"/>
      <c r="AT5" s="27"/>
      <c r="AU5" s="27"/>
      <c r="AV5" s="20"/>
      <c r="AW5" s="27"/>
      <c r="AX5" s="27"/>
      <c r="AY5" s="27"/>
      <c r="AZ5" s="27"/>
      <c r="BA5" s="27"/>
      <c r="BB5" s="27"/>
      <c r="BC5" s="27"/>
      <c r="BD5" s="27"/>
      <c r="BE5" s="27"/>
      <c r="BF5" s="20"/>
      <c r="BG5" s="27"/>
      <c r="BH5" s="27"/>
      <c r="BI5" s="27"/>
      <c r="BJ5" s="27"/>
      <c r="BK5" s="27"/>
      <c r="BL5" s="27"/>
      <c r="BM5" s="27"/>
      <c r="BN5" s="27"/>
      <c r="BO5" s="27"/>
      <c r="BP5" s="20"/>
    </row>
    <row r="6" spans="1:137" ht="15.75" customHeight="1" x14ac:dyDescent="0.3">
      <c r="D6" s="28"/>
      <c r="E6" s="26"/>
      <c r="F6" s="26"/>
      <c r="G6" s="26"/>
      <c r="H6" s="26"/>
      <c r="I6" s="26"/>
      <c r="J6" s="26"/>
      <c r="K6" s="26"/>
      <c r="L6" s="26"/>
      <c r="M6" s="20"/>
      <c r="N6" s="26"/>
      <c r="O6" s="26"/>
      <c r="P6" s="26"/>
      <c r="Q6" s="26"/>
      <c r="R6" s="26"/>
      <c r="S6" s="26"/>
      <c r="T6" s="26"/>
      <c r="U6" s="26"/>
      <c r="V6" s="26"/>
      <c r="W6" s="20"/>
      <c r="X6" s="26"/>
      <c r="Y6" s="26"/>
      <c r="Z6" s="26"/>
      <c r="AA6" s="26"/>
      <c r="AB6" s="26"/>
      <c r="AC6" s="26"/>
      <c r="AD6" s="26"/>
      <c r="AE6" s="26"/>
      <c r="AF6" s="26"/>
      <c r="AG6" s="20"/>
      <c r="AH6" s="330"/>
      <c r="AI6" s="331"/>
      <c r="AJ6" s="331"/>
      <c r="AK6" s="332"/>
      <c r="AL6" s="20"/>
      <c r="AM6" s="27"/>
      <c r="AN6" s="27"/>
      <c r="AO6" s="27"/>
      <c r="AP6" s="27"/>
      <c r="AQ6" s="27"/>
      <c r="AR6" s="27"/>
      <c r="AS6" s="27"/>
      <c r="AT6" s="27"/>
      <c r="AU6" s="27"/>
      <c r="AV6" s="20"/>
      <c r="AW6" s="27"/>
      <c r="AX6" s="27"/>
      <c r="AY6" s="27"/>
      <c r="AZ6" s="27"/>
      <c r="BA6" s="27"/>
      <c r="BB6" s="27"/>
      <c r="BC6" s="27"/>
      <c r="BD6" s="27"/>
      <c r="BE6" s="27"/>
      <c r="BF6" s="20"/>
      <c r="BG6" s="27"/>
      <c r="BH6" s="27"/>
      <c r="BI6" s="27"/>
      <c r="BJ6" s="27"/>
      <c r="BK6" s="27"/>
      <c r="BL6" s="27"/>
      <c r="BM6" s="27"/>
      <c r="BN6" s="27"/>
      <c r="BO6" s="27"/>
      <c r="BP6" s="20"/>
    </row>
    <row r="7" spans="1:137" ht="15.75" customHeight="1" x14ac:dyDescent="0.3">
      <c r="D7" s="290"/>
      <c r="E7" s="290"/>
      <c r="F7" s="290"/>
      <c r="G7" s="29"/>
      <c r="H7" s="26"/>
      <c r="I7" s="26"/>
      <c r="J7" s="26"/>
      <c r="K7" s="26"/>
      <c r="L7" s="26"/>
      <c r="M7" s="20"/>
      <c r="N7" s="26"/>
      <c r="O7" s="26"/>
      <c r="P7" s="26"/>
      <c r="Q7" s="26"/>
      <c r="R7" s="26"/>
      <c r="S7" s="26"/>
      <c r="T7" s="26"/>
      <c r="U7" s="26"/>
      <c r="V7" s="26"/>
      <c r="W7" s="20"/>
      <c r="X7" s="26"/>
      <c r="Y7" s="26"/>
      <c r="Z7" s="26"/>
      <c r="AA7" s="26"/>
      <c r="AB7" s="26"/>
      <c r="AC7" s="26"/>
      <c r="AD7" s="26"/>
      <c r="AE7" s="26"/>
      <c r="AF7" s="26"/>
      <c r="AG7" s="20"/>
      <c r="AH7" s="330"/>
      <c r="AI7" s="331"/>
      <c r="AJ7" s="331"/>
      <c r="AK7" s="332"/>
      <c r="AL7" s="20"/>
      <c r="AM7" s="27"/>
      <c r="AN7" s="27"/>
      <c r="AO7" s="27"/>
      <c r="AP7" s="27"/>
      <c r="AQ7" s="27"/>
      <c r="AR7" s="27"/>
      <c r="AS7" s="27"/>
      <c r="AT7" s="27"/>
      <c r="AU7" s="27"/>
      <c r="AV7" s="20"/>
      <c r="AW7" s="27"/>
      <c r="AX7" s="27"/>
      <c r="AY7" s="27"/>
      <c r="AZ7" s="27"/>
      <c r="BA7" s="27"/>
      <c r="BB7" s="27"/>
      <c r="BC7" s="27"/>
      <c r="BD7" s="27"/>
      <c r="BE7" s="27"/>
      <c r="BF7" s="20"/>
      <c r="BG7" s="27"/>
      <c r="BH7" s="27"/>
      <c r="BI7" s="27"/>
      <c r="BJ7" s="27"/>
      <c r="BK7" s="27"/>
      <c r="BL7" s="27"/>
      <c r="BM7" s="27"/>
      <c r="BN7" s="27"/>
      <c r="BO7" s="27"/>
      <c r="BP7" s="20"/>
    </row>
    <row r="8" spans="1:137" ht="15.75" customHeight="1" x14ac:dyDescent="0.3">
      <c r="D8" s="26"/>
      <c r="E8" s="26"/>
      <c r="F8" s="26"/>
      <c r="G8" s="26"/>
      <c r="H8" s="26"/>
      <c r="I8" s="26"/>
      <c r="J8" s="26"/>
      <c r="K8" s="26"/>
      <c r="L8" s="26"/>
      <c r="M8" s="20"/>
      <c r="N8" s="26"/>
      <c r="O8" s="26"/>
      <c r="P8" s="26"/>
      <c r="Q8" s="26"/>
      <c r="R8" s="26"/>
      <c r="S8" s="26"/>
      <c r="T8" s="26"/>
      <c r="U8" s="26"/>
      <c r="V8" s="26"/>
      <c r="W8" s="20"/>
      <c r="X8" s="26"/>
      <c r="Y8" s="26"/>
      <c r="Z8" s="26"/>
      <c r="AA8" s="26"/>
      <c r="AB8" s="26"/>
      <c r="AC8" s="26"/>
      <c r="AD8" s="26"/>
      <c r="AE8" s="26"/>
      <c r="AF8" s="26"/>
      <c r="AG8" s="20"/>
      <c r="AH8" s="30" t="s">
        <v>219</v>
      </c>
      <c r="AI8" s="31" t="s">
        <v>220</v>
      </c>
      <c r="AJ8" s="32" t="s">
        <v>221</v>
      </c>
      <c r="AK8" s="33" t="s">
        <v>222</v>
      </c>
      <c r="AL8" s="20"/>
      <c r="AM8" s="27"/>
      <c r="AN8" s="27"/>
      <c r="AO8" s="27"/>
      <c r="AP8" s="27"/>
      <c r="AQ8" s="27"/>
      <c r="AR8" s="27"/>
      <c r="AS8" s="27"/>
      <c r="AT8" s="27"/>
      <c r="AU8" s="27"/>
      <c r="AV8" s="20"/>
      <c r="AW8" s="27"/>
      <c r="AX8" s="27"/>
      <c r="AY8" s="27"/>
      <c r="AZ8" s="27"/>
      <c r="BA8" s="27"/>
      <c r="BB8" s="27"/>
      <c r="BC8" s="27"/>
      <c r="BD8" s="27"/>
      <c r="BE8" s="27"/>
      <c r="BF8" s="20"/>
      <c r="BG8" s="27"/>
      <c r="BH8" s="27"/>
      <c r="BI8" s="27"/>
      <c r="BJ8" s="27"/>
      <c r="BK8" s="27"/>
      <c r="BL8" s="27"/>
      <c r="BM8" s="27"/>
      <c r="BN8" s="27"/>
      <c r="BO8" s="27"/>
      <c r="BP8" s="20"/>
    </row>
    <row r="9" spans="1:137" ht="15.75" customHeight="1" x14ac:dyDescent="0.3">
      <c r="D9" s="26"/>
      <c r="E9" s="26"/>
      <c r="F9" s="26"/>
      <c r="G9" s="26"/>
      <c r="H9" s="26"/>
      <c r="I9" s="26"/>
      <c r="J9" s="26"/>
      <c r="K9" s="26"/>
      <c r="L9" s="26"/>
      <c r="M9" s="20"/>
      <c r="N9" s="26"/>
      <c r="O9" s="26"/>
      <c r="P9" s="26"/>
      <c r="Q9" s="26"/>
      <c r="R9" s="26"/>
      <c r="S9" s="26"/>
      <c r="T9" s="26"/>
      <c r="U9" s="26"/>
      <c r="V9" s="26"/>
      <c r="W9" s="20"/>
      <c r="X9" s="26"/>
      <c r="Y9" s="26"/>
      <c r="Z9" s="26"/>
      <c r="AA9" s="26"/>
      <c r="AB9" s="26"/>
      <c r="AC9" s="26"/>
      <c r="AD9" s="26"/>
      <c r="AE9" s="26"/>
      <c r="AF9" s="26"/>
      <c r="AG9" s="20"/>
      <c r="AH9" s="30" t="str">
        <f>IF($A$21="mm","mm","in")</f>
        <v>mm</v>
      </c>
      <c r="AI9" s="31" t="str">
        <f>IF($A$21="mm","N","lb")</f>
        <v>N</v>
      </c>
      <c r="AJ9" s="31" t="s">
        <v>223</v>
      </c>
      <c r="AK9" s="33" t="s">
        <v>224</v>
      </c>
      <c r="AL9" s="20"/>
      <c r="AM9" s="27"/>
      <c r="AN9" s="27"/>
      <c r="AO9" s="27"/>
      <c r="AP9" s="27"/>
      <c r="AQ9" s="27"/>
      <c r="AR9" s="27"/>
      <c r="AS9" s="27"/>
      <c r="AT9" s="27"/>
      <c r="AU9" s="27"/>
      <c r="AV9" s="20"/>
      <c r="AW9" s="27"/>
      <c r="AX9" s="27"/>
      <c r="AY9" s="27"/>
      <c r="AZ9" s="27"/>
      <c r="BA9" s="27"/>
      <c r="BB9" s="27"/>
      <c r="BC9" s="27"/>
      <c r="BD9" s="27"/>
      <c r="BE9" s="27"/>
      <c r="BF9" s="20"/>
      <c r="BG9" s="27"/>
      <c r="BH9" s="27"/>
      <c r="BI9" s="27"/>
      <c r="BJ9" s="27"/>
      <c r="BK9" s="27"/>
      <c r="BL9" s="27"/>
      <c r="BM9" s="27"/>
      <c r="BN9" s="27"/>
      <c r="BO9" s="27"/>
      <c r="BP9" s="20"/>
    </row>
    <row r="10" spans="1:137" ht="15.75" customHeight="1" x14ac:dyDescent="0.3">
      <c r="D10" s="26"/>
      <c r="E10" s="26"/>
      <c r="F10" s="26"/>
      <c r="G10" s="26"/>
      <c r="H10" s="26"/>
      <c r="I10" s="26"/>
      <c r="J10" s="26"/>
      <c r="K10" s="26"/>
      <c r="L10" s="26"/>
      <c r="M10" s="20"/>
      <c r="N10" s="26"/>
      <c r="O10" s="26"/>
      <c r="P10" s="26"/>
      <c r="Q10" s="26"/>
      <c r="R10" s="26"/>
      <c r="S10" s="26"/>
      <c r="T10" s="26"/>
      <c r="U10" s="26"/>
      <c r="V10" s="26"/>
      <c r="W10" s="20"/>
      <c r="X10" s="26"/>
      <c r="Y10" s="26"/>
      <c r="Z10" s="26"/>
      <c r="AA10" s="26"/>
      <c r="AB10" s="26"/>
      <c r="AC10" s="26"/>
      <c r="AD10" s="26"/>
      <c r="AE10" s="26"/>
      <c r="AF10" s="26"/>
      <c r="AG10" s="20"/>
      <c r="AH10" s="30" t="s">
        <v>225</v>
      </c>
      <c r="AI10" s="31" t="s">
        <v>225</v>
      </c>
      <c r="AJ10" s="31" t="s">
        <v>220</v>
      </c>
      <c r="AK10" s="33" t="s">
        <v>225</v>
      </c>
      <c r="AL10" s="20"/>
      <c r="AM10" s="27"/>
      <c r="AN10" s="27"/>
      <c r="AO10" s="27"/>
      <c r="AP10" s="27"/>
      <c r="AQ10" s="27"/>
      <c r="AR10" s="27"/>
      <c r="AS10" s="27"/>
      <c r="AT10" s="27"/>
      <c r="AU10" s="27"/>
      <c r="AV10" s="20"/>
      <c r="AW10" s="27"/>
      <c r="AX10" s="27"/>
      <c r="AY10" s="27"/>
      <c r="AZ10" s="27"/>
      <c r="BA10" s="27"/>
      <c r="BB10" s="27"/>
      <c r="BC10" s="27"/>
      <c r="BD10" s="27"/>
      <c r="BE10" s="27"/>
      <c r="BF10" s="20"/>
      <c r="BG10" s="27"/>
      <c r="BH10" s="27"/>
      <c r="BI10" s="27"/>
      <c r="BJ10" s="27"/>
      <c r="BK10" s="27"/>
      <c r="BL10" s="27"/>
      <c r="BM10" s="27"/>
      <c r="BN10" s="27"/>
      <c r="BO10" s="27"/>
      <c r="BP10" s="20"/>
    </row>
    <row r="11" spans="1:137" ht="15.75" customHeight="1" x14ac:dyDescent="0.3">
      <c r="D11" s="26"/>
      <c r="E11" s="26"/>
      <c r="F11" s="26"/>
      <c r="G11" s="26"/>
      <c r="H11" s="26"/>
      <c r="I11" s="26"/>
      <c r="J11" s="26"/>
      <c r="K11" s="26"/>
      <c r="L11" s="26"/>
      <c r="M11" s="20"/>
      <c r="N11" s="26"/>
      <c r="O11" s="26"/>
      <c r="P11" s="26"/>
      <c r="Q11" s="26"/>
      <c r="R11" s="26"/>
      <c r="S11" s="26"/>
      <c r="T11" s="26"/>
      <c r="U11" s="26"/>
      <c r="V11" s="26"/>
      <c r="W11" s="20"/>
      <c r="X11" s="26"/>
      <c r="Y11" s="26"/>
      <c r="Z11" s="26"/>
      <c r="AA11" s="26"/>
      <c r="AB11" s="26"/>
      <c r="AC11" s="26"/>
      <c r="AD11" s="26"/>
      <c r="AE11" s="26"/>
      <c r="AF11" s="26"/>
      <c r="AG11" s="20"/>
      <c r="AH11" s="30">
        <f>MAX(AH12:AH1048576)</f>
        <v>0</v>
      </c>
      <c r="AI11" s="31">
        <f>MAX(AI12:AI1048576)</f>
        <v>0</v>
      </c>
      <c r="AJ11" s="31" t="s">
        <v>226</v>
      </c>
      <c r="AK11" s="33">
        <f>MAX(AK12:AK1048576)</f>
        <v>0</v>
      </c>
      <c r="AL11" s="20"/>
      <c r="AM11" s="27"/>
      <c r="AN11" s="27"/>
      <c r="AO11" s="27"/>
      <c r="AP11" s="27"/>
      <c r="AQ11" s="27"/>
      <c r="AR11" s="27"/>
      <c r="AS11" s="27"/>
      <c r="AT11" s="27"/>
      <c r="AU11" s="27"/>
      <c r="AV11" s="20"/>
      <c r="AW11" s="27"/>
      <c r="AX11" s="27"/>
      <c r="AY11" s="27"/>
      <c r="AZ11" s="27"/>
      <c r="BA11" s="27"/>
      <c r="BB11" s="27"/>
      <c r="BC11" s="27"/>
      <c r="BD11" s="27"/>
      <c r="BE11" s="27"/>
      <c r="BF11" s="20"/>
      <c r="BG11" s="27"/>
      <c r="BH11" s="27"/>
      <c r="BI11" s="27"/>
      <c r="BJ11" s="27"/>
      <c r="BK11" s="27"/>
      <c r="BL11" s="27"/>
      <c r="BM11" s="27"/>
      <c r="BN11" s="27"/>
      <c r="BO11" s="27"/>
      <c r="BP11" s="20"/>
    </row>
    <row r="12" spans="1:137" ht="15.75" customHeight="1" x14ac:dyDescent="0.3">
      <c r="D12" s="29"/>
      <c r="E12" s="26"/>
      <c r="F12" s="26"/>
      <c r="G12" s="26"/>
      <c r="H12" s="26"/>
      <c r="I12" s="26"/>
      <c r="J12" s="26"/>
      <c r="K12" s="26"/>
      <c r="L12" s="26"/>
      <c r="M12" s="20"/>
      <c r="N12" s="26"/>
      <c r="O12" s="26"/>
      <c r="P12" s="26"/>
      <c r="Q12" s="26"/>
      <c r="R12" s="26"/>
      <c r="S12" s="26"/>
      <c r="T12" s="26"/>
      <c r="U12" s="26"/>
      <c r="V12" s="26"/>
      <c r="W12" s="20"/>
      <c r="X12" s="26"/>
      <c r="Y12" s="26"/>
      <c r="Z12" s="26"/>
      <c r="AA12" s="26"/>
      <c r="AB12" s="26"/>
      <c r="AC12" s="26"/>
      <c r="AD12" s="26"/>
      <c r="AE12" s="26"/>
      <c r="AF12" s="26"/>
      <c r="AG12" s="20"/>
      <c r="AH12" s="34"/>
      <c r="AI12" s="35"/>
      <c r="AJ12" s="35"/>
      <c r="AK12" s="36"/>
      <c r="AL12" s="20"/>
      <c r="AM12" s="27"/>
      <c r="AN12" s="27"/>
      <c r="AO12" s="27"/>
      <c r="AP12" s="27"/>
      <c r="AQ12" s="27"/>
      <c r="AR12" s="27"/>
      <c r="AS12" s="27"/>
      <c r="AT12" s="27"/>
      <c r="AU12" s="27"/>
      <c r="AV12" s="20"/>
      <c r="AW12" s="27"/>
      <c r="AX12" s="27"/>
      <c r="AY12" s="27"/>
      <c r="AZ12" s="27"/>
      <c r="BA12" s="27"/>
      <c r="BB12" s="27"/>
      <c r="BC12" s="27"/>
      <c r="BD12" s="27"/>
      <c r="BE12" s="27"/>
      <c r="BF12" s="20"/>
      <c r="BG12" s="27"/>
      <c r="BH12" s="27"/>
      <c r="BI12" s="27"/>
      <c r="BJ12" s="27"/>
      <c r="BK12" s="27"/>
      <c r="BL12" s="27"/>
      <c r="BM12" s="27"/>
      <c r="BN12" s="27"/>
      <c r="BO12" s="27"/>
      <c r="BP12" s="20"/>
    </row>
    <row r="13" spans="1:137" ht="15.75" customHeight="1" x14ac:dyDescent="0.3">
      <c r="D13" s="333" t="s">
        <v>227</v>
      </c>
      <c r="E13" s="333"/>
      <c r="F13" s="333"/>
      <c r="G13" s="333"/>
      <c r="H13" s="333"/>
      <c r="I13" s="333"/>
      <c r="J13" s="333"/>
      <c r="K13" s="333"/>
      <c r="L13" s="333"/>
      <c r="M13" s="20"/>
      <c r="N13" s="333" t="s">
        <v>228</v>
      </c>
      <c r="O13" s="333"/>
      <c r="P13" s="333"/>
      <c r="Q13" s="333"/>
      <c r="R13" s="333"/>
      <c r="S13" s="333"/>
      <c r="T13" s="333"/>
      <c r="U13" s="333"/>
      <c r="V13" s="333"/>
      <c r="W13" s="20"/>
      <c r="X13" s="239" t="s">
        <v>229</v>
      </c>
      <c r="Y13" s="239"/>
      <c r="Z13" s="239"/>
      <c r="AA13" s="239"/>
      <c r="AB13" s="239"/>
      <c r="AC13" s="239"/>
      <c r="AD13" s="239"/>
      <c r="AE13" s="239"/>
      <c r="AF13" s="239"/>
      <c r="AG13" s="20"/>
      <c r="AH13" s="34"/>
      <c r="AI13" s="35"/>
      <c r="AJ13" s="35"/>
      <c r="AK13" s="36"/>
      <c r="AL13" s="20"/>
      <c r="AM13" s="239" t="s">
        <v>230</v>
      </c>
      <c r="AN13" s="239"/>
      <c r="AO13" s="239"/>
      <c r="AP13" s="239"/>
      <c r="AQ13" s="239"/>
      <c r="AR13" s="239"/>
      <c r="AS13" s="239"/>
      <c r="AT13" s="239"/>
      <c r="AU13" s="239"/>
      <c r="AV13" s="20"/>
      <c r="AW13" s="239" t="s">
        <v>231</v>
      </c>
      <c r="AX13" s="239"/>
      <c r="AY13" s="239"/>
      <c r="AZ13" s="239"/>
      <c r="BA13" s="239"/>
      <c r="BB13" s="239"/>
      <c r="BC13" s="239"/>
      <c r="BD13" s="239"/>
      <c r="BE13" s="239"/>
      <c r="BF13" s="20"/>
      <c r="BG13" s="239" t="s">
        <v>232</v>
      </c>
      <c r="BH13" s="239"/>
      <c r="BI13" s="239"/>
      <c r="BJ13" s="239"/>
      <c r="BK13" s="239"/>
      <c r="BL13" s="239"/>
      <c r="BM13" s="239"/>
      <c r="BN13" s="239"/>
      <c r="BO13" s="239"/>
      <c r="BP13" s="20"/>
    </row>
    <row r="14" spans="1:137" ht="15.75" customHeight="1" x14ac:dyDescent="0.3">
      <c r="A14" s="320">
        <f>'F.3.1-4 Tube Chassis'!$M$1</f>
        <v>2020</v>
      </c>
      <c r="B14" s="320"/>
      <c r="C14" s="320"/>
      <c r="D14" s="333"/>
      <c r="E14" s="333"/>
      <c r="F14" s="333"/>
      <c r="G14" s="333"/>
      <c r="H14" s="333"/>
      <c r="I14" s="333"/>
      <c r="J14" s="333"/>
      <c r="K14" s="333"/>
      <c r="L14" s="333"/>
      <c r="M14" s="20"/>
      <c r="N14" s="333"/>
      <c r="O14" s="333"/>
      <c r="P14" s="333"/>
      <c r="Q14" s="333"/>
      <c r="R14" s="333"/>
      <c r="S14" s="333"/>
      <c r="T14" s="333"/>
      <c r="U14" s="333"/>
      <c r="V14" s="333"/>
      <c r="W14" s="20"/>
      <c r="X14" s="239"/>
      <c r="Y14" s="239"/>
      <c r="Z14" s="239"/>
      <c r="AA14" s="239"/>
      <c r="AB14" s="239"/>
      <c r="AC14" s="239"/>
      <c r="AD14" s="239"/>
      <c r="AE14" s="239"/>
      <c r="AF14" s="239"/>
      <c r="AG14" s="20"/>
      <c r="AH14" s="34"/>
      <c r="AI14" s="35"/>
      <c r="AJ14" s="35"/>
      <c r="AK14" s="36"/>
      <c r="AL14" s="20"/>
      <c r="AM14" s="239"/>
      <c r="AN14" s="239"/>
      <c r="AO14" s="239"/>
      <c r="AP14" s="239"/>
      <c r="AQ14" s="239"/>
      <c r="AR14" s="239"/>
      <c r="AS14" s="239"/>
      <c r="AT14" s="239"/>
      <c r="AU14" s="239"/>
      <c r="AV14" s="20"/>
      <c r="AW14" s="239"/>
      <c r="AX14" s="239"/>
      <c r="AY14" s="239"/>
      <c r="AZ14" s="239"/>
      <c r="BA14" s="239"/>
      <c r="BB14" s="239"/>
      <c r="BC14" s="239"/>
      <c r="BD14" s="239"/>
      <c r="BE14" s="239"/>
      <c r="BF14" s="20"/>
      <c r="BG14" s="239"/>
      <c r="BH14" s="239"/>
      <c r="BI14" s="239"/>
      <c r="BJ14" s="239"/>
      <c r="BK14" s="239"/>
      <c r="BL14" s="239"/>
      <c r="BM14" s="239"/>
      <c r="BN14" s="239"/>
      <c r="BO14" s="239"/>
      <c r="BP14" s="20"/>
    </row>
    <row r="15" spans="1:137" ht="15.75" customHeight="1" x14ac:dyDescent="0.3">
      <c r="A15" s="321">
        <f>'F.3.1-4 Tube Chassis'!$C$1</f>
        <v>0</v>
      </c>
      <c r="B15" s="321"/>
      <c r="C15" s="321"/>
      <c r="D15" s="333"/>
      <c r="E15" s="333"/>
      <c r="F15" s="333"/>
      <c r="G15" s="333"/>
      <c r="H15" s="333"/>
      <c r="I15" s="333"/>
      <c r="J15" s="333"/>
      <c r="K15" s="333"/>
      <c r="L15" s="333"/>
      <c r="M15" s="20"/>
      <c r="N15" s="333"/>
      <c r="O15" s="333"/>
      <c r="P15" s="333"/>
      <c r="Q15" s="333"/>
      <c r="R15" s="333"/>
      <c r="S15" s="333"/>
      <c r="T15" s="333"/>
      <c r="U15" s="333"/>
      <c r="V15" s="333"/>
      <c r="W15" s="20"/>
      <c r="X15" s="239"/>
      <c r="Y15" s="239"/>
      <c r="Z15" s="239"/>
      <c r="AA15" s="239"/>
      <c r="AB15" s="239"/>
      <c r="AC15" s="239"/>
      <c r="AD15" s="239"/>
      <c r="AE15" s="239"/>
      <c r="AF15" s="239"/>
      <c r="AG15" s="20"/>
      <c r="AH15" s="34"/>
      <c r="AI15" s="35"/>
      <c r="AJ15" s="35"/>
      <c r="AK15" s="36"/>
      <c r="AL15" s="20"/>
      <c r="AM15" s="26"/>
      <c r="AN15" s="26"/>
      <c r="AO15" s="26"/>
      <c r="AP15" s="26"/>
      <c r="AQ15" s="26"/>
      <c r="AR15" s="26"/>
      <c r="AS15" s="26"/>
      <c r="AT15" s="26"/>
      <c r="AU15" s="26"/>
      <c r="AV15" s="20"/>
      <c r="AW15" s="27"/>
      <c r="AX15" s="27"/>
      <c r="AY15" s="27"/>
      <c r="AZ15" s="27"/>
      <c r="BA15" s="27"/>
      <c r="BB15" s="27"/>
      <c r="BC15" s="27"/>
      <c r="BD15" s="27"/>
      <c r="BE15" s="27"/>
      <c r="BF15" s="20"/>
      <c r="BG15" s="27"/>
      <c r="BH15" s="27"/>
      <c r="BI15" s="27"/>
      <c r="BJ15" s="27"/>
      <c r="BK15" s="27"/>
      <c r="BL15" s="27"/>
      <c r="BM15" s="27"/>
      <c r="BN15" s="27"/>
      <c r="BO15" s="27"/>
      <c r="BP15" s="20"/>
    </row>
    <row r="16" spans="1:137" ht="15.75" customHeight="1" x14ac:dyDescent="0.3">
      <c r="A16" s="310">
        <f>'F.3.1-4 Tube Chassis'!$C$2</f>
        <v>0</v>
      </c>
      <c r="B16" s="310"/>
      <c r="C16" s="310"/>
      <c r="D16" s="333"/>
      <c r="E16" s="333"/>
      <c r="F16" s="333"/>
      <c r="G16" s="333"/>
      <c r="H16" s="333"/>
      <c r="I16" s="333"/>
      <c r="J16" s="333"/>
      <c r="K16" s="333"/>
      <c r="L16" s="333"/>
      <c r="M16" s="20"/>
      <c r="N16" s="333"/>
      <c r="O16" s="333"/>
      <c r="P16" s="333"/>
      <c r="Q16" s="333"/>
      <c r="R16" s="333"/>
      <c r="S16" s="333"/>
      <c r="T16" s="333"/>
      <c r="U16" s="333"/>
      <c r="V16" s="333"/>
      <c r="W16" s="20"/>
      <c r="X16" s="239"/>
      <c r="Y16" s="239"/>
      <c r="Z16" s="239"/>
      <c r="AA16" s="239"/>
      <c r="AB16" s="239"/>
      <c r="AC16" s="239"/>
      <c r="AD16" s="239"/>
      <c r="AE16" s="239"/>
      <c r="AF16" s="239"/>
      <c r="AG16" s="20"/>
      <c r="AH16" s="34"/>
      <c r="AI16" s="35"/>
      <c r="AJ16" s="35"/>
      <c r="AK16" s="36"/>
      <c r="AL16" s="20"/>
      <c r="AM16" s="26"/>
      <c r="AN16" s="26"/>
      <c r="AO16" s="26"/>
      <c r="AP16" s="26"/>
      <c r="AQ16" s="26"/>
      <c r="AR16" s="26"/>
      <c r="AS16" s="26"/>
      <c r="AT16" s="26"/>
      <c r="AU16" s="26"/>
      <c r="AV16" s="20"/>
      <c r="AW16" s="27"/>
      <c r="AX16" s="27"/>
      <c r="AY16" s="27"/>
      <c r="AZ16" s="27"/>
      <c r="BA16" s="27"/>
      <c r="BB16" s="27"/>
      <c r="BC16" s="27"/>
      <c r="BD16" s="27"/>
      <c r="BE16" s="27"/>
      <c r="BF16" s="20"/>
      <c r="BG16" s="27"/>
      <c r="BH16" s="27"/>
      <c r="BI16" s="27"/>
      <c r="BJ16" s="27"/>
      <c r="BK16" s="27"/>
      <c r="BL16" s="27"/>
      <c r="BM16" s="27"/>
      <c r="BN16" s="27"/>
      <c r="BO16" s="27"/>
      <c r="BP16" s="20"/>
    </row>
    <row r="17" spans="1:75" ht="15.75" customHeight="1" x14ac:dyDescent="0.3">
      <c r="A17" s="37" t="str">
        <f>IF('F.3.1-4 Tube Chassis'!$D$4,'F.3.1-4 Tube Chassis'!$D$3,"")</f>
        <v/>
      </c>
      <c r="B17" s="37" t="str">
        <f>IF('F.3.1-4 Tube Chassis'!$F$4,'F.3.1-4 Tube Chassis'!$F$3,"")</f>
        <v/>
      </c>
      <c r="C17" s="37" t="str">
        <f>IF('F.3.1-4 Tube Chassis'!$H$4,'F.3.1-4 Tube Chassis'!$H$3,"")</f>
        <v/>
      </c>
      <c r="D17" s="333"/>
      <c r="E17" s="333"/>
      <c r="F17" s="333"/>
      <c r="G17" s="333"/>
      <c r="H17" s="333"/>
      <c r="I17" s="333"/>
      <c r="J17" s="333"/>
      <c r="K17" s="333"/>
      <c r="L17" s="333"/>
      <c r="M17" s="20"/>
      <c r="N17" s="333"/>
      <c r="O17" s="333"/>
      <c r="P17" s="333"/>
      <c r="Q17" s="333"/>
      <c r="R17" s="333"/>
      <c r="S17" s="333"/>
      <c r="T17" s="333"/>
      <c r="U17" s="333"/>
      <c r="V17" s="333"/>
      <c r="W17" s="20"/>
      <c r="X17" s="26"/>
      <c r="Y17" s="26"/>
      <c r="Z17" s="26"/>
      <c r="AA17" s="26"/>
      <c r="AB17" s="26"/>
      <c r="AC17" s="26"/>
      <c r="AD17" s="26"/>
      <c r="AE17" s="26"/>
      <c r="AF17" s="26"/>
      <c r="AG17" s="20"/>
      <c r="AL17" s="20"/>
      <c r="AM17" s="27"/>
      <c r="AN17" s="27"/>
      <c r="AO17" s="27"/>
      <c r="AP17" s="27"/>
      <c r="AQ17" s="27"/>
      <c r="AR17" s="27"/>
      <c r="AS17" s="27"/>
      <c r="AT17" s="27"/>
      <c r="AU17" s="27"/>
      <c r="AV17" s="20"/>
      <c r="AW17" s="27"/>
      <c r="AX17" s="27"/>
      <c r="AY17" s="27"/>
      <c r="AZ17" s="27"/>
      <c r="BA17" s="27"/>
      <c r="BB17" s="27"/>
      <c r="BC17" s="27"/>
      <c r="BD17" s="27"/>
      <c r="BE17" s="27"/>
      <c r="BF17" s="20"/>
      <c r="BG17" s="27"/>
      <c r="BH17" s="27"/>
      <c r="BI17" s="27"/>
      <c r="BJ17" s="27"/>
      <c r="BK17" s="27"/>
      <c r="BL17" s="27"/>
      <c r="BM17" s="27"/>
      <c r="BN17" s="27"/>
      <c r="BO17" s="27"/>
      <c r="BP17" s="20"/>
    </row>
    <row r="18" spans="1:75" ht="15.75" customHeight="1" x14ac:dyDescent="0.3">
      <c r="A18" s="37" t="str">
        <f>IF('F.3.1-4 Tube Chassis'!$D$4,'F.3.1-4 Tube Chassis'!$D$4,"")</f>
        <v/>
      </c>
      <c r="B18" s="37" t="str">
        <f>IF('F.3.1-4 Tube Chassis'!$F$4,'F.3.1-4 Tube Chassis'!$F$4,"")</f>
        <v/>
      </c>
      <c r="C18" s="37" t="str">
        <f>IF('F.3.1-4 Tube Chassis'!$H$4,'F.3.1-4 Tube Chassis'!$H$4,"")</f>
        <v/>
      </c>
      <c r="D18" s="333"/>
      <c r="E18" s="333"/>
      <c r="F18" s="333"/>
      <c r="G18" s="333"/>
      <c r="H18" s="333"/>
      <c r="I18" s="333"/>
      <c r="J18" s="333"/>
      <c r="K18" s="333"/>
      <c r="L18" s="333"/>
      <c r="M18" s="20"/>
      <c r="N18" s="333"/>
      <c r="O18" s="333"/>
      <c r="P18" s="333"/>
      <c r="Q18" s="333"/>
      <c r="R18" s="333"/>
      <c r="S18" s="333"/>
      <c r="T18" s="333"/>
      <c r="U18" s="333"/>
      <c r="V18" s="333"/>
      <c r="W18" s="20"/>
      <c r="X18" s="26"/>
      <c r="Y18" s="26"/>
      <c r="Z18" s="26"/>
      <c r="AA18" s="26"/>
      <c r="AB18" s="26"/>
      <c r="AC18" s="26"/>
      <c r="AD18" s="26"/>
      <c r="AE18" s="26"/>
      <c r="AF18" s="26"/>
      <c r="AG18" s="20"/>
      <c r="AL18" s="20"/>
      <c r="AM18" s="27"/>
      <c r="AN18" s="27"/>
      <c r="AO18" s="27"/>
      <c r="AP18" s="27"/>
      <c r="AQ18" s="27"/>
      <c r="AR18" s="27"/>
      <c r="AS18" s="27"/>
      <c r="AT18" s="27"/>
      <c r="AU18" s="27"/>
      <c r="AV18" s="20"/>
      <c r="AW18" s="27"/>
      <c r="AX18" s="27"/>
      <c r="AY18" s="27"/>
      <c r="AZ18" s="27"/>
      <c r="BA18" s="27"/>
      <c r="BB18" s="27"/>
      <c r="BC18" s="27"/>
      <c r="BD18" s="27"/>
      <c r="BE18" s="27"/>
      <c r="BF18" s="20"/>
      <c r="BG18" s="27"/>
      <c r="BH18" s="27"/>
      <c r="BI18" s="27"/>
      <c r="BJ18" s="27"/>
      <c r="BK18" s="27"/>
      <c r="BL18" s="27"/>
      <c r="BM18" s="27"/>
      <c r="BN18" s="27"/>
      <c r="BO18" s="27"/>
      <c r="BP18" s="20"/>
    </row>
    <row r="19" spans="1:75" ht="15.75" customHeight="1" x14ac:dyDescent="0.3">
      <c r="A19" s="37" t="str">
        <f>IF('F.3.1-4 Tube Chassis'!$E$8="All Steel Tube","Steel","Comp.")</f>
        <v>Comp.</v>
      </c>
      <c r="B19" s="37" t="str">
        <f>IF('F.3.1-4 Tube Chassis'!$G$8="IC - Internal Combustion","IC","EV")</f>
        <v>EV</v>
      </c>
      <c r="C19" s="37" t="str">
        <f>IF('F.3.1-4 Tube Chassis'!$G$8="IC - Internal Combustion","",
IF('F.3.1-4 Tube Chassis'!$G$8="EV - Other Equivalence","Comp Acc","Sheet Acc"))</f>
        <v>Sheet Acc</v>
      </c>
      <c r="D19" s="333"/>
      <c r="E19" s="333"/>
      <c r="F19" s="333"/>
      <c r="G19" s="333"/>
      <c r="H19" s="333"/>
      <c r="I19" s="333"/>
      <c r="J19" s="333"/>
      <c r="K19" s="333"/>
      <c r="L19" s="333"/>
      <c r="M19" s="20"/>
      <c r="N19" s="26"/>
      <c r="O19" s="26"/>
      <c r="P19" s="26"/>
      <c r="Q19" s="26"/>
      <c r="R19" s="26"/>
      <c r="S19" s="26"/>
      <c r="T19" s="26"/>
      <c r="U19" s="26"/>
      <c r="V19" s="26"/>
      <c r="W19" s="20"/>
      <c r="X19" s="26"/>
      <c r="Y19" s="26"/>
      <c r="Z19" s="26"/>
      <c r="AA19" s="26"/>
      <c r="AB19" s="26"/>
      <c r="AC19" s="26"/>
      <c r="AD19" s="26"/>
      <c r="AE19" s="26"/>
      <c r="AF19" s="26"/>
      <c r="AG19" s="20"/>
      <c r="AL19" s="20"/>
      <c r="AM19" s="27"/>
      <c r="AN19" s="27"/>
      <c r="AO19" s="27"/>
      <c r="AP19" s="27"/>
      <c r="AQ19" s="27"/>
      <c r="AR19" s="27"/>
      <c r="AS19" s="27"/>
      <c r="AT19" s="27"/>
      <c r="AU19" s="27"/>
      <c r="AV19" s="20"/>
      <c r="AW19" s="27"/>
      <c r="AX19" s="27"/>
      <c r="AY19" s="27"/>
      <c r="AZ19" s="27"/>
      <c r="BA19" s="27"/>
      <c r="BB19" s="27"/>
      <c r="BC19" s="27"/>
      <c r="BD19" s="27"/>
      <c r="BE19" s="27"/>
      <c r="BF19" s="20"/>
      <c r="BG19" s="27"/>
      <c r="BH19" s="27"/>
      <c r="BI19" s="27"/>
      <c r="BJ19" s="27"/>
      <c r="BK19" s="27"/>
      <c r="BL19" s="27"/>
      <c r="BM19" s="27"/>
      <c r="BN19" s="27"/>
      <c r="BO19" s="27"/>
      <c r="BP19" s="20"/>
    </row>
    <row r="20" spans="1:75" ht="15.75" customHeight="1" x14ac:dyDescent="0.3">
      <c r="D20" s="333"/>
      <c r="E20" s="333"/>
      <c r="F20" s="333"/>
      <c r="G20" s="333"/>
      <c r="H20" s="333"/>
      <c r="I20" s="333"/>
      <c r="J20" s="333"/>
      <c r="K20" s="333"/>
      <c r="L20" s="333"/>
      <c r="M20" s="20"/>
      <c r="N20" s="26"/>
      <c r="O20" s="26"/>
      <c r="P20" s="26"/>
      <c r="Q20" s="26"/>
      <c r="R20" s="26"/>
      <c r="S20" s="26"/>
      <c r="T20" s="26"/>
      <c r="U20" s="26"/>
      <c r="V20" s="26"/>
      <c r="W20" s="20"/>
      <c r="X20" s="26"/>
      <c r="Y20" s="26"/>
      <c r="Z20" s="26"/>
      <c r="AA20" s="26"/>
      <c r="AB20" s="26"/>
      <c r="AC20" s="26"/>
      <c r="AD20" s="26"/>
      <c r="AE20" s="26"/>
      <c r="AF20" s="26"/>
      <c r="AG20" s="20"/>
      <c r="AL20" s="20"/>
      <c r="AM20" s="27"/>
      <c r="AN20" s="27"/>
      <c r="AO20" s="27"/>
      <c r="AP20" s="27"/>
      <c r="AQ20" s="27"/>
      <c r="AR20" s="27"/>
      <c r="AS20" s="27"/>
      <c r="AT20" s="27"/>
      <c r="AU20" s="27"/>
      <c r="AV20" s="20"/>
      <c r="AW20" s="27"/>
      <c r="AX20" s="27"/>
      <c r="AY20" s="27"/>
      <c r="AZ20" s="27"/>
      <c r="BA20" s="27"/>
      <c r="BB20" s="27"/>
      <c r="BC20" s="27"/>
      <c r="BD20" s="27"/>
      <c r="BE20" s="27"/>
      <c r="BF20" s="20"/>
      <c r="BG20" s="27"/>
      <c r="BH20" s="27"/>
      <c r="BI20" s="27"/>
      <c r="BJ20" s="27"/>
      <c r="BK20" s="27"/>
      <c r="BL20" s="27"/>
      <c r="BM20" s="27"/>
      <c r="BN20" s="27"/>
      <c r="BO20" s="27"/>
      <c r="BP20" s="20"/>
    </row>
    <row r="21" spans="1:75" ht="15.75" customHeight="1" x14ac:dyDescent="0.3">
      <c r="A21" s="283" t="str">
        <f>'F.3.1-4 Tube Chassis'!$D$25</f>
        <v>mm</v>
      </c>
      <c r="B21" s="283"/>
      <c r="C21" s="283"/>
      <c r="D21" s="26"/>
      <c r="E21" s="26"/>
      <c r="F21" s="26"/>
      <c r="G21" s="26"/>
      <c r="H21" s="26"/>
      <c r="I21" s="26"/>
      <c r="J21" s="26"/>
      <c r="K21" s="26"/>
      <c r="L21" s="26"/>
      <c r="M21" s="20"/>
      <c r="N21" s="26"/>
      <c r="O21" s="26"/>
      <c r="P21" s="26"/>
      <c r="Q21" s="26"/>
      <c r="R21" s="26"/>
      <c r="S21" s="26"/>
      <c r="T21" s="26"/>
      <c r="U21" s="26"/>
      <c r="V21" s="26"/>
      <c r="W21" s="20"/>
      <c r="X21" s="26"/>
      <c r="Y21" s="26"/>
      <c r="Z21" s="26"/>
      <c r="AA21" s="26"/>
      <c r="AB21" s="26"/>
      <c r="AC21" s="26"/>
      <c r="AD21" s="26"/>
      <c r="AE21" s="26"/>
      <c r="AF21" s="26"/>
      <c r="AG21" s="20"/>
      <c r="AL21" s="20"/>
      <c r="AM21" s="27"/>
      <c r="AN21" s="27"/>
      <c r="AO21" s="27"/>
      <c r="AP21" s="27"/>
      <c r="AQ21" s="27"/>
      <c r="AR21" s="27"/>
      <c r="AS21" s="27"/>
      <c r="AT21" s="27"/>
      <c r="AU21" s="27"/>
      <c r="AV21" s="20"/>
      <c r="AW21" s="27"/>
      <c r="AX21" s="315"/>
      <c r="AY21" s="315"/>
      <c r="AZ21" s="315"/>
      <c r="BA21" s="315"/>
      <c r="BB21" s="315"/>
      <c r="BC21" s="315"/>
      <c r="BD21" s="315"/>
      <c r="BE21" s="27"/>
      <c r="BF21" s="20"/>
      <c r="BG21" s="27"/>
      <c r="BH21" s="315"/>
      <c r="BI21" s="315"/>
      <c r="BJ21" s="315"/>
      <c r="BK21" s="315"/>
      <c r="BL21" s="315"/>
      <c r="BM21" s="315"/>
      <c r="BN21" s="315"/>
      <c r="BO21" s="27"/>
      <c r="BP21" s="20"/>
    </row>
    <row r="22" spans="1:75" ht="15.75" customHeight="1" x14ac:dyDescent="0.3">
      <c r="A22" s="283"/>
      <c r="B22" s="283"/>
      <c r="C22" s="283"/>
      <c r="D22" s="27"/>
      <c r="E22" s="27"/>
      <c r="F22" s="27"/>
      <c r="G22" s="27"/>
      <c r="H22" s="27"/>
      <c r="I22" s="27"/>
      <c r="J22" s="27"/>
      <c r="K22" s="27"/>
      <c r="L22" s="27"/>
      <c r="M22" s="23"/>
      <c r="N22" s="27"/>
      <c r="O22" s="27"/>
      <c r="P22" s="27"/>
      <c r="Q22" s="27"/>
      <c r="R22" s="27"/>
      <c r="S22" s="27"/>
      <c r="T22" s="27"/>
      <c r="U22" s="27"/>
      <c r="V22" s="27"/>
      <c r="W22" s="23"/>
      <c r="X22" s="27"/>
      <c r="Y22" s="27"/>
      <c r="Z22" s="27"/>
      <c r="AA22" s="27"/>
      <c r="AB22" s="27"/>
      <c r="AC22" s="27"/>
      <c r="AD22" s="27"/>
      <c r="AE22" s="27"/>
      <c r="AF22" s="27"/>
      <c r="AG22" s="23"/>
      <c r="AL22" s="23"/>
      <c r="AM22" s="27"/>
      <c r="AN22" s="27"/>
      <c r="AO22" s="27"/>
      <c r="AP22" s="27"/>
      <c r="AQ22" s="27"/>
      <c r="AR22" s="27"/>
      <c r="AS22" s="27"/>
      <c r="AT22" s="27"/>
      <c r="AU22" s="27"/>
      <c r="AV22" s="23"/>
      <c r="AW22" s="27"/>
      <c r="AX22" s="315"/>
      <c r="AY22" s="315"/>
      <c r="AZ22" s="315"/>
      <c r="BA22" s="315"/>
      <c r="BB22" s="315"/>
      <c r="BC22" s="315"/>
      <c r="BD22" s="315"/>
      <c r="BE22" s="27"/>
      <c r="BF22" s="23"/>
      <c r="BG22" s="27"/>
      <c r="BH22" s="315"/>
      <c r="BI22" s="315"/>
      <c r="BJ22" s="315"/>
      <c r="BK22" s="315"/>
      <c r="BL22" s="315"/>
      <c r="BM22" s="315"/>
      <c r="BN22" s="315"/>
      <c r="BO22" s="27"/>
      <c r="BP22" s="23"/>
    </row>
    <row r="23" spans="1:75" ht="15.75" customHeight="1" x14ac:dyDescent="0.3">
      <c r="A23" s="268" t="str">
        <f>IF(COUNTIF(D30:BH31,"BLANK"),"BLANK",
IF(COUNTIF(D30:BH31,"REJECT"),"REJECT",
IF(COUNTIF(D30:BH31,"CHECK"),"CHECK","EQ")))</f>
        <v>BLANK</v>
      </c>
      <c r="B23" s="268"/>
      <c r="C23" s="268"/>
      <c r="D23" s="27"/>
      <c r="E23" s="27"/>
      <c r="F23" s="27"/>
      <c r="G23" s="27"/>
      <c r="H23" s="27"/>
      <c r="I23" s="27"/>
      <c r="J23" s="27"/>
      <c r="K23" s="27"/>
      <c r="L23" s="27"/>
      <c r="M23" s="23"/>
      <c r="N23" s="27"/>
      <c r="O23" s="27"/>
      <c r="P23" s="27"/>
      <c r="Q23" s="27"/>
      <c r="R23" s="27"/>
      <c r="S23" s="27"/>
      <c r="T23" s="27"/>
      <c r="U23" s="27"/>
      <c r="V23" s="27"/>
      <c r="W23" s="23"/>
      <c r="X23" s="27"/>
      <c r="Y23" s="27"/>
      <c r="Z23" s="27"/>
      <c r="AA23" s="27"/>
      <c r="AB23" s="27"/>
      <c r="AC23" s="27"/>
      <c r="AD23" s="27"/>
      <c r="AE23" s="27"/>
      <c r="AF23" s="27"/>
      <c r="AG23" s="23"/>
      <c r="AL23" s="23"/>
      <c r="AM23" s="27"/>
      <c r="AN23" s="27"/>
      <c r="AO23" s="27"/>
      <c r="AP23" s="27"/>
      <c r="AQ23" s="27"/>
      <c r="AR23" s="27"/>
      <c r="AS23" s="27"/>
      <c r="AT23" s="27"/>
      <c r="AU23" s="27"/>
      <c r="AV23" s="23"/>
      <c r="AW23" s="27"/>
      <c r="AX23" s="315"/>
      <c r="AY23" s="315"/>
      <c r="AZ23" s="315"/>
      <c r="BA23" s="315"/>
      <c r="BB23" s="315"/>
      <c r="BC23" s="315"/>
      <c r="BD23" s="315"/>
      <c r="BE23" s="27"/>
      <c r="BF23" s="23"/>
      <c r="BG23" s="27"/>
      <c r="BH23" s="315"/>
      <c r="BI23" s="315"/>
      <c r="BJ23" s="315"/>
      <c r="BK23" s="315"/>
      <c r="BL23" s="315"/>
      <c r="BM23" s="315"/>
      <c r="BN23" s="315"/>
      <c r="BO23" s="27"/>
      <c r="BP23" s="23"/>
      <c r="BW23" s="41"/>
    </row>
    <row r="24" spans="1:75" ht="15.75" customHeight="1" x14ac:dyDescent="0.3">
      <c r="A24" s="268"/>
      <c r="B24" s="268"/>
      <c r="C24" s="268"/>
      <c r="D24" s="27"/>
      <c r="E24" s="27"/>
      <c r="F24" s="27"/>
      <c r="G24" s="27"/>
      <c r="H24" s="27"/>
      <c r="I24" s="27"/>
      <c r="J24" s="27"/>
      <c r="K24" s="27"/>
      <c r="L24" s="27"/>
      <c r="M24" s="42"/>
      <c r="N24" s="27"/>
      <c r="O24" s="27"/>
      <c r="P24" s="27"/>
      <c r="Q24" s="27"/>
      <c r="R24" s="27"/>
      <c r="S24" s="27"/>
      <c r="T24" s="27"/>
      <c r="U24" s="27"/>
      <c r="V24" s="27"/>
      <c r="W24" s="42"/>
      <c r="X24" s="27"/>
      <c r="Y24" s="27"/>
      <c r="Z24" s="27"/>
      <c r="AA24" s="27"/>
      <c r="AB24" s="27"/>
      <c r="AC24" s="27"/>
      <c r="AD24" s="27"/>
      <c r="AE24" s="27"/>
      <c r="AF24" s="27"/>
      <c r="AG24" s="42"/>
      <c r="AL24" s="42"/>
      <c r="AM24" s="27"/>
      <c r="AN24" s="27"/>
      <c r="AO24" s="27"/>
      <c r="AP24" s="27"/>
      <c r="AQ24" s="27"/>
      <c r="AR24" s="27"/>
      <c r="AS24" s="27"/>
      <c r="AT24" s="27"/>
      <c r="AU24" s="27"/>
      <c r="AV24" s="42"/>
      <c r="AW24" s="27"/>
      <c r="AX24" s="315"/>
      <c r="AY24" s="315"/>
      <c r="AZ24" s="315"/>
      <c r="BA24" s="315"/>
      <c r="BB24" s="315"/>
      <c r="BC24" s="315"/>
      <c r="BD24" s="315"/>
      <c r="BE24" s="27"/>
      <c r="BF24" s="42"/>
      <c r="BG24" s="27"/>
      <c r="BH24" s="315"/>
      <c r="BI24" s="315"/>
      <c r="BJ24" s="315"/>
      <c r="BK24" s="315"/>
      <c r="BL24" s="315"/>
      <c r="BM24" s="315"/>
      <c r="BN24" s="315"/>
      <c r="BO24" s="27"/>
      <c r="BP24" s="42"/>
      <c r="BW24" s="41"/>
    </row>
    <row r="25" spans="1:75" ht="15.75" customHeight="1" x14ac:dyDescent="0.3">
      <c r="A25" s="268"/>
      <c r="B25" s="268"/>
      <c r="C25" s="268"/>
      <c r="D25" s="27"/>
      <c r="E25" s="27"/>
      <c r="F25" s="27"/>
      <c r="G25" s="27"/>
      <c r="H25" s="27"/>
      <c r="I25" s="27"/>
      <c r="J25" s="27"/>
      <c r="K25" s="27"/>
      <c r="L25" s="27"/>
      <c r="M25" s="42"/>
      <c r="N25" s="27"/>
      <c r="O25" s="27"/>
      <c r="P25" s="27"/>
      <c r="Q25" s="27"/>
      <c r="R25" s="27"/>
      <c r="S25" s="27"/>
      <c r="T25" s="27"/>
      <c r="U25" s="27"/>
      <c r="V25" s="27"/>
      <c r="W25" s="42"/>
      <c r="X25" s="27"/>
      <c r="Y25" s="27"/>
      <c r="Z25" s="27"/>
      <c r="AA25" s="27"/>
      <c r="AB25" s="27"/>
      <c r="AC25" s="27"/>
      <c r="AD25" s="27"/>
      <c r="AE25" s="27"/>
      <c r="AF25" s="27"/>
      <c r="AG25" s="42"/>
      <c r="AL25" s="42"/>
      <c r="AM25" s="27"/>
      <c r="AN25" s="27"/>
      <c r="AO25" s="27"/>
      <c r="AP25" s="27"/>
      <c r="AQ25" s="27"/>
      <c r="AR25" s="27"/>
      <c r="AS25" s="27"/>
      <c r="AT25" s="27"/>
      <c r="AU25" s="27"/>
      <c r="AV25" s="42"/>
      <c r="AW25" s="27"/>
      <c r="AX25" s="27"/>
      <c r="AY25" s="27"/>
      <c r="AZ25" s="27"/>
      <c r="BA25" s="27"/>
      <c r="BB25" s="27"/>
      <c r="BC25" s="27"/>
      <c r="BD25" s="27"/>
      <c r="BE25" s="27"/>
      <c r="BF25" s="42"/>
      <c r="BG25" s="27"/>
      <c r="BH25" s="27"/>
      <c r="BI25" s="27"/>
      <c r="BJ25" s="27"/>
      <c r="BK25" s="27"/>
      <c r="BL25" s="27"/>
      <c r="BM25" s="27"/>
      <c r="BN25" s="27"/>
      <c r="BO25" s="27"/>
      <c r="BP25" s="42"/>
      <c r="BW25" s="41"/>
    </row>
    <row r="26" spans="1:75" ht="15.75" customHeight="1" x14ac:dyDescent="0.3">
      <c r="A26" s="268"/>
      <c r="B26" s="268"/>
      <c r="C26" s="268"/>
      <c r="D26" s="27"/>
      <c r="E26" s="27"/>
      <c r="F26" s="27"/>
      <c r="G26" s="27"/>
      <c r="H26" s="27"/>
      <c r="I26" s="27"/>
      <c r="J26" s="27"/>
      <c r="K26" s="27"/>
      <c r="L26" s="27"/>
      <c r="M26" s="42"/>
      <c r="N26" s="27"/>
      <c r="O26" s="27"/>
      <c r="P26" s="27"/>
      <c r="Q26" s="27"/>
      <c r="R26" s="27"/>
      <c r="S26" s="27"/>
      <c r="T26" s="27"/>
      <c r="U26" s="27"/>
      <c r="V26" s="27"/>
      <c r="W26" s="42"/>
      <c r="X26" s="27"/>
      <c r="Y26" s="27"/>
      <c r="Z26" s="27"/>
      <c r="AA26" s="27"/>
      <c r="AB26" s="27"/>
      <c r="AC26" s="27"/>
      <c r="AD26" s="27"/>
      <c r="AE26" s="27"/>
      <c r="AF26" s="27"/>
      <c r="AG26" s="42"/>
      <c r="AL26" s="42"/>
      <c r="AM26" s="27"/>
      <c r="AN26" s="27"/>
      <c r="AO26" s="27"/>
      <c r="AP26" s="27"/>
      <c r="AQ26" s="27"/>
      <c r="AR26" s="27"/>
      <c r="AS26" s="27"/>
      <c r="AT26" s="27"/>
      <c r="AU26" s="27"/>
      <c r="AV26" s="42"/>
      <c r="AW26" s="27"/>
      <c r="AX26" s="27"/>
      <c r="AY26" s="27"/>
      <c r="AZ26" s="27"/>
      <c r="BA26" s="27"/>
      <c r="BB26" s="27"/>
      <c r="BC26" s="27"/>
      <c r="BD26" s="27"/>
      <c r="BE26" s="27"/>
      <c r="BF26" s="42"/>
      <c r="BG26" s="27"/>
      <c r="BH26" s="27"/>
      <c r="BI26" s="27"/>
      <c r="BJ26" s="27"/>
      <c r="BK26" s="27"/>
      <c r="BL26" s="27"/>
      <c r="BM26" s="27"/>
      <c r="BN26" s="27"/>
      <c r="BO26" s="27"/>
      <c r="BP26" s="42"/>
      <c r="BW26" s="41"/>
    </row>
    <row r="27" spans="1:75" ht="15" customHeight="1" x14ac:dyDescent="0.3">
      <c r="A27" s="268"/>
      <c r="B27" s="268"/>
      <c r="C27" s="268"/>
      <c r="D27" s="27"/>
      <c r="E27" s="27"/>
      <c r="F27" s="27"/>
      <c r="G27" s="27"/>
      <c r="H27" s="27"/>
      <c r="I27" s="27"/>
      <c r="J27" s="27"/>
      <c r="K27" s="27"/>
      <c r="L27" s="27"/>
      <c r="M27" s="23"/>
      <c r="N27" s="27"/>
      <c r="O27" s="27"/>
      <c r="P27" s="27"/>
      <c r="Q27" s="27"/>
      <c r="R27" s="27"/>
      <c r="S27" s="27"/>
      <c r="T27" s="27"/>
      <c r="U27" s="27"/>
      <c r="V27" s="27"/>
      <c r="W27" s="23"/>
      <c r="X27" s="27"/>
      <c r="Y27" s="27"/>
      <c r="Z27" s="27"/>
      <c r="AA27" s="27"/>
      <c r="AB27" s="27"/>
      <c r="AC27" s="27"/>
      <c r="AD27" s="27"/>
      <c r="AE27" s="27"/>
      <c r="AF27" s="27"/>
      <c r="AG27" s="23"/>
      <c r="AL27" s="23"/>
      <c r="AM27" s="27"/>
      <c r="AN27" s="27"/>
      <c r="AO27" s="27"/>
      <c r="AP27" s="27"/>
      <c r="AQ27" s="27"/>
      <c r="AR27" s="27"/>
      <c r="AS27" s="27"/>
      <c r="AT27" s="27"/>
      <c r="AU27" s="27"/>
      <c r="AV27" s="23"/>
      <c r="AW27" s="27"/>
      <c r="AX27" s="27"/>
      <c r="AY27" s="27"/>
      <c r="AZ27" s="27"/>
      <c r="BA27" s="27"/>
      <c r="BB27" s="27"/>
      <c r="BC27" s="27"/>
      <c r="BD27" s="27"/>
      <c r="BE27" s="27"/>
      <c r="BF27" s="23"/>
      <c r="BG27" s="27"/>
      <c r="BH27" s="27"/>
      <c r="BI27" s="27"/>
      <c r="BJ27" s="27"/>
      <c r="BK27" s="27"/>
      <c r="BL27" s="27"/>
      <c r="BM27" s="27"/>
      <c r="BN27" s="27"/>
      <c r="BO27" s="27"/>
      <c r="BP27" s="23"/>
      <c r="BT27" s="41"/>
      <c r="BU27" s="41"/>
      <c r="BV27" s="41"/>
      <c r="BW27" s="41"/>
    </row>
    <row r="28" spans="1:75" ht="15" customHeight="1" x14ac:dyDescent="0.3">
      <c r="A28" s="268"/>
      <c r="B28" s="268"/>
      <c r="C28" s="268"/>
      <c r="D28" s="43"/>
      <c r="E28" s="43"/>
      <c r="F28" s="43"/>
      <c r="G28" s="43"/>
      <c r="H28" s="43"/>
      <c r="I28" s="43"/>
      <c r="J28" s="43"/>
      <c r="K28" s="43"/>
      <c r="L28" s="43"/>
      <c r="M28" s="23"/>
      <c r="N28" s="43"/>
      <c r="O28" s="43"/>
      <c r="P28" s="43"/>
      <c r="Q28" s="43"/>
      <c r="R28" s="43"/>
      <c r="S28" s="43"/>
      <c r="T28" s="43"/>
      <c r="U28" s="43"/>
      <c r="V28" s="43"/>
      <c r="W28" s="23"/>
      <c r="X28" s="43"/>
      <c r="Y28" s="43"/>
      <c r="Z28" s="43"/>
      <c r="AA28" s="43"/>
      <c r="AB28" s="43"/>
      <c r="AC28" s="43"/>
      <c r="AD28" s="43"/>
      <c r="AE28" s="43"/>
      <c r="AF28" s="43"/>
      <c r="AG28" s="23"/>
      <c r="AL28" s="23"/>
      <c r="AM28" s="43"/>
      <c r="AN28" s="43"/>
      <c r="AO28" s="43"/>
      <c r="AP28" s="43"/>
      <c r="AQ28" s="43"/>
      <c r="AR28" s="43"/>
      <c r="AS28" s="43"/>
      <c r="AT28" s="43"/>
      <c r="AU28" s="43"/>
      <c r="AV28" s="23"/>
      <c r="AW28" s="43"/>
      <c r="AX28" s="43"/>
      <c r="AY28" s="43"/>
      <c r="AZ28" s="43"/>
      <c r="BA28" s="43"/>
      <c r="BB28" s="43"/>
      <c r="BC28" s="43"/>
      <c r="BD28" s="43"/>
      <c r="BE28" s="43"/>
      <c r="BF28" s="23"/>
      <c r="BG28" s="43"/>
      <c r="BH28" s="43"/>
      <c r="BI28" s="43"/>
      <c r="BJ28" s="43"/>
      <c r="BK28" s="43"/>
      <c r="BL28" s="43"/>
      <c r="BM28" s="43"/>
      <c r="BN28" s="43"/>
      <c r="BO28" s="43"/>
      <c r="BP28" s="23"/>
      <c r="BT28" s="41"/>
      <c r="BU28" s="41"/>
      <c r="BV28" s="41"/>
      <c r="BW28" s="41"/>
    </row>
    <row r="29" spans="1:75" ht="15" customHeight="1" x14ac:dyDescent="0.3">
      <c r="A29" s="268"/>
      <c r="B29" s="268"/>
      <c r="C29" s="268"/>
      <c r="D29" s="282" t="s">
        <v>233</v>
      </c>
      <c r="E29" s="282"/>
      <c r="F29" s="282"/>
      <c r="G29" s="282"/>
      <c r="H29" s="282"/>
      <c r="I29" s="282"/>
      <c r="J29" s="282"/>
      <c r="K29" s="282"/>
      <c r="L29" s="282"/>
      <c r="M29" s="23"/>
      <c r="N29" s="282" t="s">
        <v>233</v>
      </c>
      <c r="O29" s="282"/>
      <c r="P29" s="282"/>
      <c r="Q29" s="282"/>
      <c r="R29" s="282"/>
      <c r="S29" s="282"/>
      <c r="T29" s="282"/>
      <c r="U29" s="282"/>
      <c r="V29" s="282"/>
      <c r="W29" s="23"/>
      <c r="X29" s="282" t="s">
        <v>233</v>
      </c>
      <c r="Y29" s="282"/>
      <c r="Z29" s="282"/>
      <c r="AA29" s="282"/>
      <c r="AB29" s="282"/>
      <c r="AC29" s="282"/>
      <c r="AD29" s="282"/>
      <c r="AE29" s="282"/>
      <c r="AF29" s="282"/>
      <c r="AG29" s="23"/>
      <c r="AL29" s="23"/>
      <c r="AM29" s="282" t="s">
        <v>233</v>
      </c>
      <c r="AN29" s="282"/>
      <c r="AO29" s="282"/>
      <c r="AP29" s="282"/>
      <c r="AQ29" s="282"/>
      <c r="AR29" s="282"/>
      <c r="AS29" s="282"/>
      <c r="AT29" s="282"/>
      <c r="AU29" s="282"/>
      <c r="AV29" s="23"/>
      <c r="AW29" s="282" t="s">
        <v>233</v>
      </c>
      <c r="AX29" s="282"/>
      <c r="AY29" s="282"/>
      <c r="AZ29" s="282"/>
      <c r="BA29" s="282"/>
      <c r="BB29" s="282"/>
      <c r="BC29" s="282"/>
      <c r="BD29" s="282"/>
      <c r="BE29" s="282"/>
      <c r="BF29" s="23"/>
      <c r="BG29" s="282" t="s">
        <v>233</v>
      </c>
      <c r="BH29" s="282"/>
      <c r="BI29" s="282"/>
      <c r="BJ29" s="282"/>
      <c r="BK29" s="282"/>
      <c r="BL29" s="282"/>
      <c r="BM29" s="282"/>
      <c r="BN29" s="282"/>
      <c r="BO29" s="282"/>
      <c r="BP29" s="23"/>
      <c r="BT29" s="41"/>
      <c r="BU29" s="41"/>
      <c r="BV29" s="41"/>
      <c r="BW29" s="41"/>
    </row>
    <row r="30" spans="1:75" ht="15" customHeight="1" x14ac:dyDescent="0.3">
      <c r="A30" s="268"/>
      <c r="B30" s="268"/>
      <c r="C30" s="268"/>
      <c r="D30" s="283" t="str">
        <f>IF(COUNTIF(D38:L44,"BLANK"),"BLANK",IF(COUNTIF(D38:L44,"REJECT"),"REJECT",IF(COUNTIF(D38:L44,"CHECK"),"CHECK","EQ")))</f>
        <v>BLANK</v>
      </c>
      <c r="E30" s="283"/>
      <c r="F30" s="283" t="s">
        <v>162</v>
      </c>
      <c r="G30" s="283"/>
      <c r="H30" s="283"/>
      <c r="I30" s="283"/>
      <c r="J30" s="283"/>
      <c r="K30" s="283"/>
      <c r="L30" s="283"/>
      <c r="N30" s="283" t="str">
        <f>IF(COUNTIF(N33:V36,"BLANK"),"BLANK",IF(COUNTIF(N33:V36,"REJECT"),"REJECT",IF(COUNTIF(N33:V36,"CHECK"),"CHECK","EQ")))</f>
        <v>EQ</v>
      </c>
      <c r="O30" s="283"/>
      <c r="P30" s="283" t="s">
        <v>234</v>
      </c>
      <c r="Q30" s="283"/>
      <c r="R30" s="283"/>
      <c r="S30" s="283"/>
      <c r="T30" s="283"/>
      <c r="U30" s="283"/>
      <c r="V30" s="283"/>
      <c r="X30" s="283" t="str">
        <f>IF(COUNTIF(X37:AF42,"BLANK"),"BLANK",IF(COUNTIF(X37:AF42,"REJECT"),"REJECT",IF(COUNTIF(X37:AF42,"CHECK"),"CHECK","EQ")))</f>
        <v>EQ</v>
      </c>
      <c r="Y30" s="283"/>
      <c r="Z30" s="283" t="s">
        <v>235</v>
      </c>
      <c r="AA30" s="283"/>
      <c r="AB30" s="283"/>
      <c r="AC30" s="283"/>
      <c r="AD30" s="283"/>
      <c r="AE30" s="283"/>
      <c r="AF30" s="283"/>
      <c r="AM30" s="283" t="str">
        <f>IF(COUNTIF(AM38:AU39,"BLANK"),"BLANK",IF(COUNTIF(AM38:AU39,"REJECT"),"REJECT",IF(COUNTIF(AM38:AU39,"CHECK"),"CHECK","EQ")))</f>
        <v>EQ</v>
      </c>
      <c r="AN30" s="283"/>
      <c r="AO30" s="283" t="s">
        <v>236</v>
      </c>
      <c r="AP30" s="283"/>
      <c r="AQ30" s="283"/>
      <c r="AR30" s="283"/>
      <c r="AS30" s="283"/>
      <c r="AT30" s="283"/>
      <c r="AU30" s="283"/>
      <c r="AW30" s="283" t="str">
        <f>IF(COUNTIF(AW37:BE41,"BLANK"),"BLANK",IF(COUNTIF(AW37:BE41,"REJECT"),"REJECT",IF(COUNTIF(AW37:BE41,"CHECK"),"CHECK","EQ")))</f>
        <v>BLANK</v>
      </c>
      <c r="AX30" s="283"/>
      <c r="AY30" s="283" t="s">
        <v>237</v>
      </c>
      <c r="AZ30" s="283"/>
      <c r="BA30" s="283"/>
      <c r="BB30" s="283"/>
      <c r="BC30" s="283"/>
      <c r="BD30" s="283"/>
      <c r="BE30" s="283"/>
      <c r="BF30" s="44"/>
      <c r="BG30" s="283" t="str">
        <f>IF(COUNTIF(BG44:BO55,"BLANK"),"BLANK",IF(COUNTIF(BG44:BO55,"REJECT"),"REJECT",IF(COUNTIF(BG44:BO55,"CHECK"),"CHECK","EQ")))</f>
        <v>BLANK</v>
      </c>
      <c r="BH30" s="283"/>
      <c r="BI30" s="283" t="s">
        <v>238</v>
      </c>
      <c r="BJ30" s="283"/>
      <c r="BK30" s="283"/>
      <c r="BL30" s="283"/>
      <c r="BM30" s="283"/>
      <c r="BN30" s="283"/>
      <c r="BO30" s="283"/>
      <c r="BP30" s="44"/>
      <c r="BT30" s="41"/>
      <c r="BU30" s="41"/>
      <c r="BV30" s="41"/>
      <c r="BW30" s="41"/>
    </row>
    <row r="31" spans="1:75" ht="15" customHeight="1" x14ac:dyDescent="0.3">
      <c r="D31" s="283"/>
      <c r="E31" s="283"/>
      <c r="F31" s="283"/>
      <c r="G31" s="283"/>
      <c r="H31" s="283"/>
      <c r="I31" s="283"/>
      <c r="J31" s="283"/>
      <c r="K31" s="283"/>
      <c r="L31" s="283"/>
      <c r="N31" s="283"/>
      <c r="O31" s="283"/>
      <c r="P31" s="283"/>
      <c r="Q31" s="283"/>
      <c r="R31" s="283"/>
      <c r="S31" s="283"/>
      <c r="T31" s="283"/>
      <c r="U31" s="283"/>
      <c r="V31" s="283"/>
      <c r="X31" s="283"/>
      <c r="Y31" s="283"/>
      <c r="Z31" s="283"/>
      <c r="AA31" s="283"/>
      <c r="AB31" s="283"/>
      <c r="AC31" s="283"/>
      <c r="AD31" s="283"/>
      <c r="AE31" s="283"/>
      <c r="AF31" s="283"/>
      <c r="AM31" s="283"/>
      <c r="AN31" s="283"/>
      <c r="AO31" s="283"/>
      <c r="AP31" s="283"/>
      <c r="AQ31" s="283"/>
      <c r="AR31" s="283"/>
      <c r="AS31" s="283"/>
      <c r="AT31" s="283"/>
      <c r="AU31" s="283"/>
      <c r="AW31" s="283"/>
      <c r="AX31" s="283"/>
      <c r="AY31" s="283"/>
      <c r="AZ31" s="283"/>
      <c r="BA31" s="283"/>
      <c r="BB31" s="283"/>
      <c r="BC31" s="283"/>
      <c r="BD31" s="283"/>
      <c r="BE31" s="283"/>
      <c r="BF31" s="44"/>
      <c r="BG31" s="283"/>
      <c r="BH31" s="283"/>
      <c r="BI31" s="283"/>
      <c r="BJ31" s="283"/>
      <c r="BK31" s="283"/>
      <c r="BL31" s="283"/>
      <c r="BM31" s="283"/>
      <c r="BN31" s="283"/>
      <c r="BO31" s="283"/>
      <c r="BP31" s="44"/>
      <c r="BT31" s="41"/>
      <c r="BU31" s="41"/>
      <c r="BV31" s="41"/>
      <c r="BW31" s="41"/>
    </row>
    <row r="32" spans="1:75" ht="15" customHeight="1" x14ac:dyDescent="0.3">
      <c r="D32" s="45"/>
      <c r="E32" s="45"/>
      <c r="F32" s="45"/>
      <c r="G32" s="45"/>
      <c r="H32" s="45"/>
      <c r="I32" s="45"/>
      <c r="J32" s="45"/>
      <c r="K32" s="45"/>
      <c r="L32" s="45"/>
      <c r="N32" s="45"/>
      <c r="O32" s="45"/>
      <c r="P32" s="45"/>
      <c r="Q32" s="45"/>
      <c r="R32" s="45"/>
      <c r="S32" s="45"/>
      <c r="T32" s="45"/>
      <c r="U32" s="45"/>
      <c r="V32" s="45"/>
      <c r="X32" s="45"/>
      <c r="Y32" s="45"/>
      <c r="Z32" s="45"/>
      <c r="AA32" s="45"/>
      <c r="AB32" s="45"/>
      <c r="AC32" s="45"/>
      <c r="AD32" s="45"/>
      <c r="AE32" s="45"/>
      <c r="AF32" s="45"/>
      <c r="AM32" s="45"/>
      <c r="AN32" s="45"/>
      <c r="AO32" s="45"/>
      <c r="AP32" s="45"/>
      <c r="AQ32" s="45"/>
      <c r="AR32" s="45"/>
      <c r="AS32" s="45"/>
      <c r="AT32" s="45"/>
      <c r="AU32" s="45"/>
      <c r="AW32" s="25"/>
      <c r="AX32" s="25"/>
      <c r="AY32" s="25"/>
      <c r="AZ32" s="25"/>
      <c r="BA32" s="25"/>
      <c r="BB32" s="25"/>
      <c r="BC32" s="25"/>
      <c r="BD32" s="25"/>
      <c r="BE32" s="25"/>
      <c r="BG32" s="45"/>
      <c r="BH32" s="45"/>
      <c r="BI32" s="45"/>
      <c r="BJ32" s="45"/>
      <c r="BK32" s="45"/>
      <c r="BL32" s="45"/>
      <c r="BM32" s="45"/>
      <c r="BN32" s="45"/>
      <c r="BO32" s="45"/>
      <c r="BT32" s="41"/>
      <c r="BU32" s="41"/>
      <c r="BV32" s="41"/>
      <c r="BW32" s="41"/>
    </row>
    <row r="33" spans="4:75" ht="15" customHeight="1" x14ac:dyDescent="0.3">
      <c r="D33" s="19" t="s">
        <v>239</v>
      </c>
      <c r="E33" s="45"/>
      <c r="F33" s="45"/>
      <c r="G33" s="45"/>
      <c r="H33" s="45"/>
      <c r="I33" s="45"/>
      <c r="J33" s="45"/>
      <c r="K33" s="45"/>
      <c r="L33" s="45"/>
      <c r="N33" s="272" t="str">
        <f>IF(COUNTIF(V34:V36,"BLANK"),"BLANK",IF(OR(SUMPRODUCT(--ISERROR(V34:V36))&gt;0,COUNTIF(V34:V36,"REJECT")),"REJECT",IF(COUNTIF(V34:V36,"CHECK"),"CHECK","EQ")))</f>
        <v>EQ</v>
      </c>
      <c r="O33" s="272"/>
      <c r="P33" s="272"/>
      <c r="Q33" s="272"/>
      <c r="R33" s="272"/>
      <c r="S33" s="272"/>
      <c r="T33" s="272"/>
      <c r="U33" s="272"/>
      <c r="V33" s="272"/>
      <c r="X33" s="19" t="s">
        <v>240</v>
      </c>
      <c r="Y33" s="45"/>
      <c r="Z33" s="45"/>
      <c r="AA33" s="45"/>
      <c r="AB33" s="45"/>
      <c r="AC33" s="45"/>
      <c r="AD33" s="45"/>
      <c r="AE33" s="45"/>
      <c r="AF33" s="45"/>
      <c r="AM33" s="19" t="s">
        <v>240</v>
      </c>
      <c r="AW33" s="46" t="s">
        <v>241</v>
      </c>
      <c r="AX33" s="25"/>
      <c r="AY33" s="25"/>
      <c r="AZ33" s="25"/>
      <c r="BA33" s="25"/>
      <c r="BB33" s="25"/>
      <c r="BC33" s="25"/>
      <c r="BD33" s="25"/>
      <c r="BE33" s="25"/>
      <c r="BG33" s="46" t="s">
        <v>242</v>
      </c>
      <c r="BH33" s="45"/>
      <c r="BI33" s="45"/>
      <c r="BJ33" s="45"/>
      <c r="BK33" s="45"/>
      <c r="BL33" s="45"/>
      <c r="BM33" s="45"/>
      <c r="BN33" s="45"/>
      <c r="BO33" s="45"/>
      <c r="BT33" s="41"/>
      <c r="BU33" s="41"/>
      <c r="BV33" s="41"/>
      <c r="BW33" s="41"/>
    </row>
    <row r="34" spans="4:75" ht="15" customHeight="1" x14ac:dyDescent="0.3">
      <c r="D34" s="45"/>
      <c r="E34" s="45"/>
      <c r="F34" s="45"/>
      <c r="G34" s="45"/>
      <c r="H34" s="45"/>
      <c r="I34" s="45"/>
      <c r="J34" s="45"/>
      <c r="K34" s="45"/>
      <c r="L34" s="45"/>
      <c r="O34" s="48"/>
      <c r="P34" s="48"/>
      <c r="Q34" s="48"/>
      <c r="R34" s="48"/>
      <c r="S34" s="49" t="s">
        <v>243</v>
      </c>
      <c r="T34" s="50"/>
      <c r="U34" s="19" t="str">
        <f>IF($A$21="mm","mm","in")</f>
        <v>mm</v>
      </c>
      <c r="V34" s="25" t="str">
        <f>IF($I$36="Wing and Attachment Calculations.","N/A",IF(T34="","BLANK",IF(OR(AND(T34&lt;125,$A$21="mm"),AND(T34&lt;4.92,$A$21="inch")),"REJECT","EQ")))</f>
        <v>N/A</v>
      </c>
      <c r="X34" s="19" t="s">
        <v>244</v>
      </c>
      <c r="Y34" s="45"/>
      <c r="Z34" s="45"/>
      <c r="AA34" s="45"/>
      <c r="AB34" s="45"/>
      <c r="AC34" s="45"/>
      <c r="AD34" s="45"/>
      <c r="AE34" s="45"/>
      <c r="AF34" s="45"/>
      <c r="AM34" s="19" t="s">
        <v>245</v>
      </c>
      <c r="AV34" s="41"/>
      <c r="AW34" s="19" t="s">
        <v>246</v>
      </c>
      <c r="AX34" s="25"/>
      <c r="AY34" s="25"/>
      <c r="AZ34" s="25"/>
      <c r="BA34" s="25"/>
      <c r="BB34" s="25"/>
      <c r="BC34" s="25"/>
      <c r="BD34" s="25"/>
      <c r="BE34" s="25"/>
      <c r="BG34" s="19" t="s">
        <v>247</v>
      </c>
      <c r="BH34" s="45"/>
      <c r="BI34" s="45"/>
      <c r="BJ34" s="45"/>
      <c r="BK34" s="45"/>
      <c r="BL34" s="45"/>
      <c r="BM34" s="45"/>
      <c r="BN34" s="45"/>
      <c r="BO34" s="45"/>
      <c r="BT34" s="41"/>
      <c r="BU34" s="41"/>
      <c r="BV34" s="41"/>
      <c r="BW34" s="41"/>
    </row>
    <row r="35" spans="4:75" ht="15" customHeight="1" x14ac:dyDescent="0.3">
      <c r="D35" s="296" t="s">
        <v>162</v>
      </c>
      <c r="E35" s="296"/>
      <c r="F35" s="296" t="s">
        <v>248</v>
      </c>
      <c r="G35" s="296"/>
      <c r="H35" s="296"/>
      <c r="I35" s="296" t="s">
        <v>249</v>
      </c>
      <c r="J35" s="296"/>
      <c r="K35" s="296"/>
      <c r="L35" s="296"/>
      <c r="O35" s="49"/>
      <c r="P35" s="49"/>
      <c r="Q35" s="49"/>
      <c r="R35" s="49"/>
      <c r="S35" s="49" t="s">
        <v>250</v>
      </c>
      <c r="T35" s="50"/>
      <c r="U35" s="19" t="str">
        <f>IF($A$21="mm","mm","in")</f>
        <v>mm</v>
      </c>
      <c r="V35" s="25" t="str">
        <f>IF($I$36="Wing and Attachment Calculations.","N/A",IF(T35="","BLANK","EQ"))</f>
        <v>N/A</v>
      </c>
      <c r="X35" s="46" t="s">
        <v>251</v>
      </c>
      <c r="Y35" s="45"/>
      <c r="Z35" s="45"/>
      <c r="AA35" s="45"/>
      <c r="AB35" s="45"/>
      <c r="AC35" s="45"/>
      <c r="AD35" s="45"/>
      <c r="AE35" s="45"/>
      <c r="AF35" s="45"/>
      <c r="AM35" s="19" t="s">
        <v>252</v>
      </c>
      <c r="AV35" s="41"/>
      <c r="AW35" s="19" t="s">
        <v>253</v>
      </c>
      <c r="AX35" s="25"/>
      <c r="AY35" s="25"/>
      <c r="AZ35" s="25"/>
      <c r="BA35" s="25"/>
      <c r="BB35" s="25"/>
      <c r="BC35" s="25"/>
      <c r="BD35" s="25"/>
      <c r="BE35" s="25"/>
      <c r="BH35" s="25"/>
      <c r="BI35" s="25"/>
      <c r="BJ35" s="25"/>
      <c r="BK35" s="25"/>
      <c r="BL35" s="25"/>
      <c r="BM35" s="25"/>
      <c r="BN35" s="25"/>
      <c r="BO35" s="25"/>
      <c r="BQ35" s="41"/>
      <c r="BR35" s="41"/>
      <c r="BS35" s="41"/>
      <c r="BT35" s="41"/>
      <c r="BU35" s="41"/>
      <c r="BV35" s="41"/>
      <c r="BW35" s="41"/>
    </row>
    <row r="36" spans="4:75" ht="15" customHeight="1" x14ac:dyDescent="0.3">
      <c r="D36" s="272" t="str">
        <f>'F.3.1-4 Tube Chassis'!G101</f>
        <v>Standard</v>
      </c>
      <c r="E36" s="272"/>
      <c r="F36" s="272" t="str">
        <f>IF('F.3.1-4 Tube Chassis'!A106="Diagonal or test required.",'F.3.1-4 Tube Chassis'!G109,"Diagonal not mandatory.")</f>
        <v>Tube</v>
      </c>
      <c r="G36" s="272"/>
      <c r="H36" s="272"/>
      <c r="I36" s="272" t="str">
        <f>IF(OR(D36="Custom",F36="IA/AI Test"),"Testing Required.","Wing and Attachment Calculations.")</f>
        <v>Wing and Attachment Calculations.</v>
      </c>
      <c r="J36" s="272"/>
      <c r="K36" s="272"/>
      <c r="L36" s="272"/>
      <c r="N36" s="47" t="s">
        <v>254</v>
      </c>
      <c r="O36" s="49"/>
      <c r="P36" s="49"/>
      <c r="Q36" s="49"/>
      <c r="R36" s="49"/>
      <c r="S36" s="49" t="s">
        <v>255</v>
      </c>
      <c r="T36" s="50"/>
      <c r="U36" s="19" t="str">
        <f>IF($A$21="mm","mm","in")</f>
        <v>mm</v>
      </c>
      <c r="V36" s="25" t="str">
        <f>IF($I$36="Wing and Attachment Calculations.","N/A",IF(T36="","BLANK",IF(OR(AND($A$21="mm",T36&gt;25.4),AND($A$21="Inch",T36&gt;1)),"REJECT","EQ")))</f>
        <v>N/A</v>
      </c>
      <c r="X36" s="286"/>
      <c r="Y36" s="286"/>
      <c r="Z36" s="286"/>
      <c r="AA36" s="286"/>
      <c r="AB36" s="286"/>
      <c r="AC36" s="286"/>
      <c r="AD36" s="286"/>
      <c r="AE36" s="286"/>
      <c r="AF36" s="286"/>
      <c r="AM36" s="19" t="s">
        <v>256</v>
      </c>
      <c r="AV36" s="52"/>
      <c r="AW36" s="25"/>
      <c r="AX36" s="25"/>
      <c r="AY36" s="25"/>
      <c r="AZ36" s="25"/>
      <c r="BA36" s="25"/>
      <c r="BB36" s="25"/>
      <c r="BC36" s="25"/>
      <c r="BD36" s="25"/>
      <c r="BE36" s="25"/>
      <c r="BG36" s="46" t="s">
        <v>257</v>
      </c>
      <c r="BH36" s="25"/>
      <c r="BI36" s="25"/>
      <c r="BJ36" s="25"/>
      <c r="BK36" s="25"/>
      <c r="BL36" s="25"/>
      <c r="BM36" s="25"/>
      <c r="BN36" s="25"/>
      <c r="BO36" s="25"/>
      <c r="BQ36" s="53"/>
      <c r="BR36" s="53"/>
      <c r="BS36" s="53"/>
      <c r="BT36" s="53"/>
      <c r="BU36" s="53"/>
      <c r="BV36" s="53"/>
      <c r="BW36" s="53"/>
    </row>
    <row r="37" spans="4:75" ht="15" customHeight="1" thickBot="1" x14ac:dyDescent="0.35">
      <c r="D37" s="45"/>
      <c r="E37" s="45"/>
      <c r="F37" s="45"/>
      <c r="G37" s="45"/>
      <c r="H37" s="45"/>
      <c r="I37" s="45"/>
      <c r="J37" s="45"/>
      <c r="K37" s="45"/>
      <c r="L37" s="45"/>
      <c r="O37" s="49"/>
      <c r="P37" s="49"/>
      <c r="Q37" s="49"/>
      <c r="R37" s="49"/>
      <c r="S37" s="25"/>
      <c r="T37" s="25"/>
      <c r="V37" s="25"/>
      <c r="X37" s="272" t="str">
        <f>IF(COUNTIF(AF38:AF42,"BLANK"),"BLANK",IF(OR(SUMPRODUCT(--ISERROR(AF38:AF42))&gt;0,COUNTIF(AF38:AF42,"REJECT")),"REJECT",IF(COUNTIF(AF38:AF42,"CHECK"),"CHECK","EQ")))</f>
        <v>EQ</v>
      </c>
      <c r="Y37" s="272"/>
      <c r="Z37" s="272"/>
      <c r="AA37" s="272"/>
      <c r="AB37" s="272"/>
      <c r="AC37" s="272"/>
      <c r="AD37" s="272"/>
      <c r="AE37" s="272"/>
      <c r="AF37" s="272"/>
      <c r="AN37" s="41"/>
      <c r="AO37" s="41"/>
      <c r="AP37" s="41"/>
      <c r="AQ37" s="41"/>
      <c r="AR37" s="41"/>
      <c r="AS37" s="41"/>
      <c r="AT37" s="41"/>
      <c r="AU37" s="41"/>
      <c r="AV37" s="52"/>
      <c r="AW37" s="272" t="str">
        <f>IF(COUNTIF(BE38:BE43,"BLANK"),"BLANK",IF(OR(SUMPRODUCT(--ISERROR(BE38:BE43))&gt;0,COUNTIF(BE38:BE43,"REJECT")),"REJECT",IF(COUNTIF(BE38:BE43,"CHECK"),"CHECK","EQ")))</f>
        <v>BLANK</v>
      </c>
      <c r="AX37" s="272"/>
      <c r="AY37" s="272"/>
      <c r="AZ37" s="272"/>
      <c r="BA37" s="272"/>
      <c r="BB37" s="272"/>
      <c r="BC37" s="272"/>
      <c r="BD37" s="272"/>
      <c r="BE37" s="272"/>
      <c r="BG37" s="19" t="s">
        <v>258</v>
      </c>
      <c r="BH37" s="25"/>
      <c r="BI37" s="25"/>
      <c r="BJ37" s="25"/>
      <c r="BK37" s="25"/>
      <c r="BL37" s="25"/>
      <c r="BM37" s="25"/>
      <c r="BN37" s="25"/>
      <c r="BO37" s="25"/>
      <c r="BQ37" s="54"/>
      <c r="BR37" s="54"/>
      <c r="BS37" s="54"/>
      <c r="BT37" s="54"/>
      <c r="BU37" s="54"/>
      <c r="BV37" s="54"/>
      <c r="BW37" s="54"/>
    </row>
    <row r="38" spans="4:75" ht="15" customHeight="1" thickBot="1" x14ac:dyDescent="0.35">
      <c r="D38" s="272" t="str">
        <f>IF(COUNTIF(L39:L44,"BLANK"),"BLANK",IF(OR(SUMPRODUCT(--ISERROR(L39:L44))&gt;0,COUNTIF(L39:L44,"REJECT")),"REJECT",IF(COUNTIF(L39:L44,"CHECK"),"CHECK","EQ")))</f>
        <v>BLANK</v>
      </c>
      <c r="E38" s="272"/>
      <c r="F38" s="272"/>
      <c r="G38" s="272"/>
      <c r="H38" s="272"/>
      <c r="I38" s="272"/>
      <c r="J38" s="272"/>
      <c r="K38" s="272"/>
      <c r="L38" s="272"/>
      <c r="N38" s="19"/>
      <c r="O38" s="49"/>
      <c r="P38" s="49"/>
      <c r="Q38" s="49"/>
      <c r="R38" s="49"/>
      <c r="S38" s="25"/>
      <c r="T38" s="25"/>
      <c r="V38" s="25"/>
      <c r="X38" s="288" t="s">
        <v>259</v>
      </c>
      <c r="Y38" s="306"/>
      <c r="Z38" s="334" t="s">
        <v>260</v>
      </c>
      <c r="AA38" s="334"/>
      <c r="AB38" s="334"/>
      <c r="AC38" s="334"/>
      <c r="AD38" s="334"/>
      <c r="AE38" s="334"/>
      <c r="AF38" s="55" t="str">
        <f>IF($I$36="Wing and Attachment Calculations.","N/A",IF(OR(LEFT(Z38,8)="Example:",Z38=""),"BLANK","EQ"))</f>
        <v>N/A</v>
      </c>
      <c r="AM38" s="272" t="str">
        <f>IF(COUNTIF(AU39,"BLANK"),"BLANK",IF(OR(SUMPRODUCT(--ISERROR(AU39))&gt;0,COUNTIF(AU39,"REJECT")),"REJECT",IF(COUNTIF(AU39,"CHECK"),"CHECK","EQ")))</f>
        <v>EQ</v>
      </c>
      <c r="AN38" s="272"/>
      <c r="AO38" s="272"/>
      <c r="AP38" s="272"/>
      <c r="AQ38" s="272"/>
      <c r="AR38" s="272"/>
      <c r="AS38" s="272"/>
      <c r="AT38" s="272"/>
      <c r="AU38" s="272"/>
      <c r="AV38" s="52"/>
      <c r="AW38" s="25"/>
      <c r="AX38" s="292" t="s">
        <v>261</v>
      </c>
      <c r="AY38" s="292"/>
      <c r="AZ38" s="335"/>
      <c r="BA38" s="336"/>
      <c r="BB38" s="337"/>
      <c r="BC38" s="337"/>
      <c r="BD38" s="338"/>
      <c r="BE38" s="25" t="str">
        <f>IF(BA38="","BLANK",IF(NOT(BA38="Front Wing Calculation Required"),"N/A","EQ"))</f>
        <v>BLANK</v>
      </c>
      <c r="BG38" s="19" t="s">
        <v>262</v>
      </c>
      <c r="BH38" s="25"/>
      <c r="BI38" s="25"/>
      <c r="BJ38" s="25"/>
      <c r="BK38" s="25"/>
      <c r="BL38" s="25"/>
      <c r="BM38" s="25"/>
      <c r="BN38" s="25"/>
      <c r="BO38" s="25"/>
      <c r="BQ38" s="54"/>
      <c r="BR38" s="54"/>
      <c r="BS38" s="54"/>
      <c r="BT38" s="54"/>
      <c r="BU38" s="54"/>
      <c r="BV38" s="54"/>
      <c r="BW38" s="54"/>
    </row>
    <row r="39" spans="4:75" ht="15" customHeight="1" x14ac:dyDescent="0.3">
      <c r="F39" s="49"/>
      <c r="G39" s="49" t="s">
        <v>263</v>
      </c>
      <c r="H39" s="339"/>
      <c r="I39" s="340"/>
      <c r="J39" s="340"/>
      <c r="K39" s="341"/>
      <c r="L39" s="25" t="str">
        <f>IF(H39="","BLANK","EQ")</f>
        <v>BLANK</v>
      </c>
      <c r="O39" s="49"/>
      <c r="P39" s="49"/>
      <c r="Q39" s="49"/>
      <c r="R39" s="49"/>
      <c r="S39" s="25"/>
      <c r="T39" s="25"/>
      <c r="V39" s="25"/>
      <c r="W39" s="52"/>
      <c r="X39" s="47" t="s">
        <v>264</v>
      </c>
      <c r="Y39" s="49"/>
      <c r="Z39" s="25"/>
      <c r="AA39" s="25"/>
      <c r="AB39" s="25"/>
      <c r="AC39" s="49" t="s">
        <v>265</v>
      </c>
      <c r="AD39" s="56"/>
      <c r="AE39" s="19" t="str">
        <f>IF($A$21="mm","N","lbs")</f>
        <v>N</v>
      </c>
      <c r="AF39" s="25" t="str">
        <f>IF($I$36="Wing and Attachment Calculations.","N/A",IF(AD39="","BLANK","EQ"))</f>
        <v>N/A</v>
      </c>
      <c r="AM39" s="47" t="s">
        <v>266</v>
      </c>
      <c r="AN39" s="49"/>
      <c r="AO39" s="49"/>
      <c r="AP39" s="49"/>
      <c r="AQ39" s="49"/>
      <c r="AR39" s="49" t="s">
        <v>267</v>
      </c>
      <c r="AS39" s="56"/>
      <c r="AT39" s="41" t="s">
        <v>224</v>
      </c>
      <c r="AU39" s="25" t="str">
        <f>IF($I$36="Wing and Attachment Calculations.","N/A",IF(AS39="","BLANK",IF(AS39&lt;7350,"REJECT","EQ")))</f>
        <v>N/A</v>
      </c>
      <c r="AV39" s="52"/>
      <c r="AX39" s="49"/>
      <c r="AY39" s="49"/>
      <c r="AZ39" s="49"/>
      <c r="BA39" s="49"/>
      <c r="BB39" s="49" t="str">
        <f>IF(OR(BA38="No Front Wing",BA38="Front Wing Physically Tested"),"","Wing detachment force:")</f>
        <v>Wing detachment force:</v>
      </c>
      <c r="BC39" s="57"/>
      <c r="BD39" s="19" t="str">
        <f>IF($A$21="mm","N","lbs")</f>
        <v>N</v>
      </c>
      <c r="BE39" s="25" t="str">
        <f>IF(NOT(BA38="Front Wing Calculation Required"),"N/A",IF(BC39="","BLANK","EQ"))</f>
        <v>N/A</v>
      </c>
      <c r="BH39" s="45"/>
      <c r="BI39" s="45"/>
      <c r="BJ39" s="45"/>
      <c r="BK39" s="45"/>
      <c r="BL39" s="45"/>
      <c r="BM39" s="45"/>
      <c r="BN39" s="45"/>
      <c r="BO39" s="45"/>
      <c r="BQ39" s="41"/>
      <c r="BR39" s="41"/>
      <c r="BS39" s="41"/>
      <c r="BT39" s="41"/>
      <c r="BU39" s="41"/>
      <c r="BV39" s="41"/>
      <c r="BW39" s="41"/>
    </row>
    <row r="40" spans="4:75" ht="15" customHeight="1" x14ac:dyDescent="0.3">
      <c r="F40" s="49"/>
      <c r="G40" s="49" t="s">
        <v>268</v>
      </c>
      <c r="H40" s="274"/>
      <c r="I40" s="311"/>
      <c r="J40" s="311"/>
      <c r="K40" s="275"/>
      <c r="L40" s="25" t="str">
        <f>IF(D36="Standard","N/A",IF(H40="","BLANK","EQ"))</f>
        <v>N/A</v>
      </c>
      <c r="O40" s="49"/>
      <c r="P40" s="49"/>
      <c r="Q40" s="49"/>
      <c r="R40" s="49"/>
      <c r="S40" s="25"/>
      <c r="T40" s="25"/>
      <c r="V40" s="25"/>
      <c r="W40" s="52"/>
      <c r="X40" s="47"/>
      <c r="Y40" s="49"/>
      <c r="Z40" s="49"/>
      <c r="AA40" s="49"/>
      <c r="AB40" s="49"/>
      <c r="AC40" s="49" t="s">
        <v>269</v>
      </c>
      <c r="AD40" s="56"/>
      <c r="AE40" s="41" t="s">
        <v>270</v>
      </c>
      <c r="AF40" s="25" t="str">
        <f>IF($I$36="Wing and Attachment Calculations.","N/A",IF(AD40="","BLANK",IF(AD40&gt;40,"REJECT","EQ")))</f>
        <v>N/A</v>
      </c>
      <c r="AM40" s="46"/>
      <c r="AN40" s="49"/>
      <c r="AO40" s="49"/>
      <c r="AP40" s="25"/>
      <c r="AQ40" s="25"/>
      <c r="AR40" s="49"/>
      <c r="AS40" s="25"/>
      <c r="AU40" s="25"/>
      <c r="AV40" s="52"/>
      <c r="AW40" s="47"/>
      <c r="AX40" s="49"/>
      <c r="AY40" s="49"/>
      <c r="AZ40" s="49"/>
      <c r="BA40" s="49"/>
      <c r="BB40" s="49" t="s">
        <v>271</v>
      </c>
      <c r="BC40" s="25">
        <f>IF($D$36="Standard",IF($A$21="mm",95000,95000*2.20462/9.81),AD39)</f>
        <v>95000</v>
      </c>
      <c r="BD40" s="19" t="str">
        <f>IF($A$21="mm","N","lbs")</f>
        <v>N</v>
      </c>
      <c r="BE40" s="25" t="s">
        <v>89</v>
      </c>
      <c r="BG40" s="46" t="s">
        <v>272</v>
      </c>
      <c r="BH40" s="45"/>
      <c r="BI40" s="45"/>
      <c r="BJ40" s="45"/>
      <c r="BK40" s="45"/>
      <c r="BL40" s="45"/>
      <c r="BM40" s="45"/>
      <c r="BN40" s="45"/>
      <c r="BO40" s="45"/>
    </row>
    <row r="41" spans="4:75" ht="15" customHeight="1" x14ac:dyDescent="0.3">
      <c r="D41" s="47" t="s">
        <v>273</v>
      </c>
      <c r="E41" s="49"/>
      <c r="F41" s="49"/>
      <c r="G41" s="49"/>
      <c r="H41" s="49"/>
      <c r="I41" s="49" t="str">
        <f>IF($A$21="mm","Min LATERAL width over 200mm length &gt;= 200mm:","Min LATERAL width over 7.874in length &gt;=  7.874in:")</f>
        <v>Min LATERAL width over 200mm length &gt;= 200mm:</v>
      </c>
      <c r="J41" s="50"/>
      <c r="K41" s="19" t="str">
        <f>IF($A$21="mm","mm","in")</f>
        <v>mm</v>
      </c>
      <c r="L41" s="25" t="str">
        <f>IF(D36="Standard","N/A",IF(J41="","BLANK",IF(OR(AND($A$21="mm",J41&lt;200),AND($A$21="Inch",J41&lt;7.874)),"REJECT","EQ")))</f>
        <v>N/A</v>
      </c>
      <c r="O41" s="49"/>
      <c r="P41" s="49"/>
      <c r="Q41" s="49"/>
      <c r="R41" s="49"/>
      <c r="S41" s="25"/>
      <c r="T41" s="25"/>
      <c r="V41" s="25"/>
      <c r="X41" s="47"/>
      <c r="Y41" s="49"/>
      <c r="Z41" s="49"/>
      <c r="AA41" s="49"/>
      <c r="AB41" s="49"/>
      <c r="AC41" s="49" t="s">
        <v>274</v>
      </c>
      <c r="AD41" s="56"/>
      <c r="AE41" s="19" t="str">
        <f>IF($A$21="mm","N","lbs")</f>
        <v>N</v>
      </c>
      <c r="AF41" s="25" t="str">
        <f>IF($I$36="Wing and Attachment Calculations.","N/A",IF(AD41="","BLANK","EQ"))</f>
        <v>N/A</v>
      </c>
      <c r="AM41" s="46"/>
      <c r="AN41" s="49"/>
      <c r="AO41" s="49"/>
      <c r="AP41" s="25"/>
      <c r="AQ41" s="25"/>
      <c r="AR41" s="49"/>
      <c r="AS41" s="25"/>
      <c r="AU41" s="25"/>
      <c r="AW41" s="47"/>
      <c r="AX41" s="49"/>
      <c r="AY41" s="49"/>
      <c r="AZ41" s="49"/>
      <c r="BA41" s="49"/>
      <c r="BB41" s="49" t="str">
        <f>IF($A$21="mm","Peak deceleration force &lt;= 120000N","Peak deceleration force &lt;= 26968lbs")</f>
        <v>Peak deceleration force &lt;= 120000N</v>
      </c>
      <c r="BC41" s="25">
        <f>BC39+BC40</f>
        <v>95000</v>
      </c>
      <c r="BD41" s="19" t="str">
        <f>IF($A$21="mm","N","lbs")</f>
        <v>N</v>
      </c>
      <c r="BE41" s="25" t="str">
        <f>IF(OR(AND($A$21="mm",BC41&gt;120000),AND($A$21="Inch",BC41&gt;120000*2.20462/9.81)),"REJECT","EQ")</f>
        <v>EQ</v>
      </c>
      <c r="BG41" s="19" t="s">
        <v>275</v>
      </c>
      <c r="BH41" s="25"/>
      <c r="BI41" s="25"/>
      <c r="BJ41" s="25"/>
      <c r="BK41" s="25"/>
      <c r="BL41" s="25"/>
      <c r="BM41" s="25"/>
      <c r="BN41" s="25"/>
      <c r="BO41" s="25"/>
    </row>
    <row r="42" spans="4:75" ht="15" customHeight="1" thickBot="1" x14ac:dyDescent="0.35">
      <c r="D42" s="47" t="s">
        <v>273</v>
      </c>
      <c r="E42" s="49"/>
      <c r="F42" s="49"/>
      <c r="G42" s="49"/>
      <c r="H42" s="49"/>
      <c r="I42" s="49" t="str">
        <f>IF($A$21="mm","Min VERTICAL height over 200mm length &gt;= 100mm:","Min VERTICAL height over 7.874in length &gt;=  3.937in:")</f>
        <v>Min VERTICAL height over 200mm length &gt;= 100mm:</v>
      </c>
      <c r="J42" s="50"/>
      <c r="K42" s="19" t="str">
        <f>IF($A$21="mm","mm","in")</f>
        <v>mm</v>
      </c>
      <c r="L42" s="25" t="str">
        <f>IF(D36="Standard","N/A",IF(J42="","BLANK",IF(OR(AND($A$21="mm",J42&lt;100),AND($A$21="Inch",J42&lt;3.937)),"REJECT","EQ")))</f>
        <v>N/A</v>
      </c>
      <c r="N42" s="49"/>
      <c r="O42" s="49"/>
      <c r="P42" s="49"/>
      <c r="Q42" s="49"/>
      <c r="R42" s="49"/>
      <c r="S42" s="58"/>
      <c r="T42" s="58"/>
      <c r="V42" s="25"/>
      <c r="X42" s="47"/>
      <c r="Y42" s="49"/>
      <c r="Z42" s="49"/>
      <c r="AA42" s="49"/>
      <c r="AB42" s="49"/>
      <c r="AC42" s="49" t="s">
        <v>276</v>
      </c>
      <c r="AD42" s="50"/>
      <c r="AE42" s="19" t="s">
        <v>270</v>
      </c>
      <c r="AF42" s="25" t="str">
        <f>IF($I$36="Wing and Attachment Calculations.","N/A",IF(AD42="","BLANK",IF(AD42&gt;20,"REJECT","EQ")))</f>
        <v>N/A</v>
      </c>
      <c r="AM42" s="46"/>
      <c r="AN42" s="49"/>
      <c r="AO42" s="49"/>
      <c r="AP42" s="25"/>
      <c r="AQ42" s="25"/>
      <c r="AR42" s="49"/>
      <c r="AS42" s="25"/>
      <c r="AU42" s="25"/>
      <c r="AW42" s="47"/>
      <c r="AX42" s="47"/>
      <c r="AY42" s="47"/>
      <c r="AZ42" s="47"/>
      <c r="BA42" s="47"/>
      <c r="BB42" s="49" t="s">
        <v>277</v>
      </c>
      <c r="BC42" s="25">
        <f>IF($A$21="mm",BC41/(9.81*300),BC41*(9.81/2.2046)/(9.81*300))</f>
        <v>32.279986408426772</v>
      </c>
      <c r="BD42" s="19" t="s">
        <v>270</v>
      </c>
      <c r="BE42" s="25" t="str">
        <f>IF($D$36="Standard",IF(BC42&gt;120000/(9.81*300),"CHECK","EQ"),IF(BC42&lt;AD40,"CHECK","EQ"))</f>
        <v>EQ</v>
      </c>
      <c r="BG42" s="19" t="s">
        <v>278</v>
      </c>
      <c r="BH42" s="25"/>
      <c r="BI42" s="25"/>
      <c r="BJ42" s="25"/>
      <c r="BK42" s="25"/>
      <c r="BL42" s="25"/>
      <c r="BM42" s="25"/>
      <c r="BN42" s="25"/>
      <c r="BO42" s="25"/>
    </row>
    <row r="43" spans="4:75" ht="15" customHeight="1" thickBot="1" x14ac:dyDescent="0.35">
      <c r="D43" s="59"/>
      <c r="F43" s="48"/>
      <c r="G43" s="49" t="s">
        <v>279</v>
      </c>
      <c r="H43" s="342"/>
      <c r="I43" s="343"/>
      <c r="J43" s="343"/>
      <c r="K43" s="344"/>
      <c r="L43" s="25" t="str">
        <f>IF(NOT(I36="Testing Required."),"N/A",IF(H43="","BLANK","EQ"))</f>
        <v>N/A</v>
      </c>
      <c r="N43" s="60"/>
      <c r="O43" s="49"/>
      <c r="P43" s="49"/>
      <c r="Q43" s="49"/>
      <c r="R43" s="49"/>
      <c r="S43" s="58"/>
      <c r="T43" s="58"/>
      <c r="V43" s="25"/>
      <c r="Y43" s="49"/>
      <c r="Z43" s="49"/>
      <c r="AA43" s="49"/>
      <c r="AB43" s="49"/>
      <c r="AC43" s="25"/>
      <c r="AD43" s="25"/>
      <c r="AF43" s="25"/>
      <c r="AM43" s="46"/>
      <c r="AN43" s="49"/>
      <c r="AO43" s="49"/>
      <c r="AP43" s="25"/>
      <c r="AQ43" s="25"/>
      <c r="AR43" s="49"/>
      <c r="AS43" s="25"/>
      <c r="AU43" s="25"/>
      <c r="AW43" s="47"/>
      <c r="AX43" s="47"/>
      <c r="AY43" s="47"/>
      <c r="AZ43" s="47"/>
      <c r="BA43" s="47"/>
      <c r="BB43" s="49" t="s">
        <v>280</v>
      </c>
      <c r="BC43" s="25">
        <f>IF($D$36="Custom",IF(OR(AD41="",T34=""),"",AD41*IF($A$21="mm",1,9.81/2.20462)*T34*IF($A$21="mm",1/10^3,0.0254)),7350)</f>
        <v>7350</v>
      </c>
      <c r="BD43" s="19" t="s">
        <v>224</v>
      </c>
      <c r="BE43" s="25" t="str">
        <f>IF(BC43&lt;7350,"REJECT",IF(BC43&lt;AS39,"CHECK","EQ"))</f>
        <v>EQ</v>
      </c>
    </row>
    <row r="44" spans="4:75" ht="15" customHeight="1" x14ac:dyDescent="0.3">
      <c r="E44" s="48"/>
      <c r="F44" s="48"/>
      <c r="G44" s="49" t="s">
        <v>281</v>
      </c>
      <c r="H44" s="339"/>
      <c r="I44" s="340"/>
      <c r="J44" s="340"/>
      <c r="K44" s="341"/>
      <c r="L44" s="25" t="str">
        <f>IF(NOT(I36="Testing Required."),"N/A",IF(H44="","BLANK","EQ"))</f>
        <v>N/A</v>
      </c>
      <c r="O44" s="49"/>
      <c r="P44" s="49"/>
      <c r="Q44" s="49"/>
      <c r="R44" s="49"/>
      <c r="S44" s="58"/>
      <c r="T44" s="58"/>
      <c r="V44" s="25"/>
      <c r="X44" s="47"/>
      <c r="Y44" s="49"/>
      <c r="Z44" s="49"/>
      <c r="AA44" s="49"/>
      <c r="AB44" s="49"/>
      <c r="AC44" s="25"/>
      <c r="AD44" s="25"/>
      <c r="AF44" s="25"/>
      <c r="AM44" s="46"/>
      <c r="AN44" s="49"/>
      <c r="AO44" s="49"/>
      <c r="AP44" s="25"/>
      <c r="AQ44" s="25"/>
      <c r="AR44" s="49"/>
      <c r="AS44" s="25"/>
      <c r="AU44" s="25"/>
      <c r="AW44" s="296" t="str">
        <f>IF(OR(BC42&lt;AD40,BE43="REJECT",BE43="CHECK"),"CHECK Calculation error in forces and acceleration.","EQ")</f>
        <v>EQ</v>
      </c>
      <c r="AX44" s="296"/>
      <c r="AY44" s="296"/>
      <c r="AZ44" s="296"/>
      <c r="BA44" s="296"/>
      <c r="BB44" s="296"/>
      <c r="BC44" s="296"/>
      <c r="BD44" s="296"/>
      <c r="BE44" s="296"/>
      <c r="BG44" s="272" t="str">
        <f>IF(COUNTIF(BO45:BO55,"BLANK"),"BLANK",IF(OR(SUMPRODUCT(--ISERROR(BO45:BO55))&gt;0,COUNTIF(BO45:BO55,"REJECT")),"REJECT",IF(COUNTIF(BO45:BO55,"CHECK"),"CHECK","EQ")))</f>
        <v>BLANK</v>
      </c>
      <c r="BH44" s="272"/>
      <c r="BI44" s="272"/>
      <c r="BJ44" s="272"/>
      <c r="BK44" s="272"/>
      <c r="BL44" s="272"/>
      <c r="BM44" s="272"/>
      <c r="BN44" s="272"/>
      <c r="BO44" s="272"/>
    </row>
    <row r="45" spans="4:75" ht="15" customHeight="1" x14ac:dyDescent="0.3">
      <c r="D45" s="45"/>
      <c r="E45" s="45"/>
      <c r="F45" s="45"/>
      <c r="G45" s="45"/>
      <c r="H45" s="45"/>
      <c r="I45" s="45"/>
      <c r="J45" s="45"/>
      <c r="K45" s="45"/>
      <c r="L45" s="45"/>
      <c r="N45" s="60"/>
      <c r="O45" s="61"/>
      <c r="P45" s="61"/>
      <c r="Q45" s="61"/>
      <c r="R45" s="61"/>
      <c r="S45" s="58"/>
      <c r="T45" s="58"/>
      <c r="V45" s="25"/>
      <c r="X45" s="47"/>
      <c r="Y45" s="49"/>
      <c r="Z45" s="49"/>
      <c r="AA45" s="49"/>
      <c r="AB45" s="49"/>
      <c r="AC45" s="25"/>
      <c r="AD45" s="25"/>
      <c r="AF45" s="25"/>
      <c r="AH45" s="62"/>
      <c r="AM45" s="46"/>
      <c r="AN45" s="49"/>
      <c r="AO45" s="49"/>
      <c r="AP45" s="25"/>
      <c r="AQ45" s="25"/>
      <c r="AR45" s="49"/>
      <c r="AS45" s="25"/>
      <c r="AU45" s="25"/>
      <c r="AW45" s="296" t="str">
        <f>IF(BC42&lt;AD40,"CHECK Peak Force &lt;&lt; Peak Deceleration","EQ")</f>
        <v>EQ</v>
      </c>
      <c r="AX45" s="296"/>
      <c r="AY45" s="296"/>
      <c r="AZ45" s="296"/>
      <c r="BA45" s="296"/>
      <c r="BB45" s="296" t="str">
        <f>IF(OR(BE43="REJECT",BE43="CHECK"),"CHECK Average Force &lt;&lt; Energy Required","EQ")</f>
        <v>EQ</v>
      </c>
      <c r="BC45" s="296"/>
      <c r="BD45" s="296"/>
      <c r="BE45" s="296"/>
      <c r="BG45" s="47"/>
      <c r="BH45" s="63"/>
      <c r="BI45" s="60"/>
      <c r="BJ45" s="60"/>
      <c r="BK45" s="60"/>
      <c r="BL45" s="64" t="s">
        <v>282</v>
      </c>
      <c r="BM45" s="310">
        <f>H39</f>
        <v>0</v>
      </c>
      <c r="BN45" s="310"/>
      <c r="BO45" s="55" t="s">
        <v>89</v>
      </c>
    </row>
    <row r="46" spans="4:75" ht="15" customHeight="1" thickBot="1" x14ac:dyDescent="0.35">
      <c r="D46" s="65" t="s">
        <v>819</v>
      </c>
      <c r="E46" s="66" t="s">
        <v>292</v>
      </c>
      <c r="F46" s="45"/>
      <c r="G46" s="45"/>
      <c r="H46" s="45"/>
      <c r="I46" s="45"/>
      <c r="J46" s="45"/>
      <c r="K46" s="45"/>
      <c r="L46" s="45"/>
      <c r="N46" s="63"/>
      <c r="O46" s="63"/>
      <c r="P46" s="60"/>
      <c r="Q46" s="60"/>
      <c r="R46" s="60"/>
      <c r="S46" s="67"/>
      <c r="T46" s="67"/>
      <c r="U46" s="68"/>
      <c r="V46" s="55"/>
      <c r="X46" s="47"/>
      <c r="Y46" s="49"/>
      <c r="Z46" s="49"/>
      <c r="AA46" s="49"/>
      <c r="AB46" s="49"/>
      <c r="AC46" s="25"/>
      <c r="AD46" s="25"/>
      <c r="AF46" s="25"/>
      <c r="AH46" s="69"/>
      <c r="AI46" s="70"/>
      <c r="AJ46" s="70"/>
      <c r="AK46" s="71"/>
      <c r="AM46" s="46"/>
      <c r="AN46" s="49"/>
      <c r="AO46" s="49"/>
      <c r="AP46" s="25"/>
      <c r="AQ46" s="25"/>
      <c r="AR46" s="49"/>
      <c r="AS46" s="25"/>
      <c r="AU46" s="25"/>
      <c r="AW46" s="296" t="str">
        <f>IF(OR(BE43="REJECT",BE43="CHECK"),"CHECK: Make sure to use stepwise integration: force*(disp_2-disp_1)+previous","EQ")</f>
        <v>EQ</v>
      </c>
      <c r="AX46" s="296"/>
      <c r="AY46" s="296"/>
      <c r="AZ46" s="296"/>
      <c r="BA46" s="296"/>
      <c r="BB46" s="296"/>
      <c r="BC46" s="296"/>
      <c r="BD46" s="296"/>
      <c r="BE46" s="296"/>
      <c r="BH46" s="48"/>
      <c r="BI46" s="48"/>
      <c r="BL46" s="49" t="s">
        <v>283</v>
      </c>
      <c r="BM46" s="272" t="str">
        <f>'F.3.1-4 Tube Chassis'!G60</f>
        <v>Steel</v>
      </c>
      <c r="BN46" s="272"/>
      <c r="BO46" s="25" t="s">
        <v>89</v>
      </c>
      <c r="BP46" s="41"/>
    </row>
    <row r="47" spans="4:75" ht="15" customHeight="1" thickBot="1" x14ac:dyDescent="0.35">
      <c r="N47" s="72"/>
      <c r="O47" s="60"/>
      <c r="P47" s="60"/>
      <c r="Q47" s="60"/>
      <c r="R47" s="60"/>
      <c r="S47" s="67"/>
      <c r="T47" s="67"/>
      <c r="U47" s="68"/>
      <c r="V47" s="55"/>
      <c r="X47" s="49"/>
      <c r="Y47" s="49"/>
      <c r="Z47" s="49"/>
      <c r="AA47" s="49"/>
      <c r="AB47" s="49"/>
      <c r="AC47" s="58"/>
      <c r="AD47" s="58"/>
      <c r="AF47" s="25"/>
      <c r="AH47" s="69"/>
      <c r="AI47" s="70"/>
      <c r="AJ47" s="70"/>
      <c r="AK47" s="71"/>
      <c r="AM47" s="46"/>
      <c r="AN47" s="49"/>
      <c r="AO47" s="49"/>
      <c r="AP47" s="25"/>
      <c r="AQ47" s="25"/>
      <c r="AR47" s="49"/>
      <c r="AS47" s="25"/>
      <c r="AU47" s="25"/>
      <c r="AW47" s="296" t="str">
        <f>IF(OR(BE43="REJECT",BE43="CHECK"),"CHECK INCORRECT: FInal_force*final_displacement ","EQ")</f>
        <v>EQ</v>
      </c>
      <c r="AX47" s="296"/>
      <c r="AY47" s="296"/>
      <c r="AZ47" s="296"/>
      <c r="BA47" s="296"/>
      <c r="BB47" s="296"/>
      <c r="BC47" s="296"/>
      <c r="BD47" s="296"/>
      <c r="BE47" s="296"/>
      <c r="BG47" s="47" t="s">
        <v>285</v>
      </c>
      <c r="BH47" s="48"/>
      <c r="BI47" s="48"/>
      <c r="BK47" s="25"/>
      <c r="BL47" s="49" t="s">
        <v>286</v>
      </c>
      <c r="BM47" s="243"/>
      <c r="BN47" s="244"/>
      <c r="BO47" s="25" t="str">
        <f>IF(BM47="","BLANK","EQ")</f>
        <v>BLANK</v>
      </c>
    </row>
    <row r="48" spans="4:75" ht="15" customHeight="1" x14ac:dyDescent="0.3">
      <c r="D48" s="65" t="s">
        <v>820</v>
      </c>
      <c r="E48" s="66" t="s">
        <v>284</v>
      </c>
      <c r="M48" s="52"/>
      <c r="N48" s="72"/>
      <c r="O48" s="60"/>
      <c r="P48" s="60"/>
      <c r="Q48" s="60"/>
      <c r="R48" s="60"/>
      <c r="S48" s="67"/>
      <c r="T48" s="67"/>
      <c r="U48" s="68"/>
      <c r="V48" s="55"/>
      <c r="X48" s="60"/>
      <c r="Y48" s="49"/>
      <c r="Z48" s="49"/>
      <c r="AA48" s="49"/>
      <c r="AB48" s="49"/>
      <c r="AC48" s="58"/>
      <c r="AD48" s="58"/>
      <c r="AF48" s="25"/>
      <c r="AM48" s="46"/>
      <c r="AN48" s="49"/>
      <c r="AO48" s="49"/>
      <c r="AP48" s="25"/>
      <c r="AQ48" s="25"/>
      <c r="AR48" s="49"/>
      <c r="AS48" s="25"/>
      <c r="AU48" s="25"/>
      <c r="AW48" s="47"/>
      <c r="AX48" s="49"/>
      <c r="AY48" s="49"/>
      <c r="AZ48" s="49"/>
      <c r="BA48" s="49"/>
      <c r="BB48" s="64"/>
      <c r="BC48" s="25"/>
      <c r="BE48" s="25"/>
      <c r="BG48" s="47" t="s">
        <v>288</v>
      </c>
      <c r="BI48" s="48"/>
      <c r="BJ48" s="49"/>
      <c r="BK48" s="48"/>
      <c r="BL48" s="49" t="s">
        <v>289</v>
      </c>
      <c r="BM48" s="345"/>
      <c r="BN48" s="346"/>
      <c r="BO48" s="25" t="str">
        <f>IF(BM48="","BLANK",IF(AND(OR(D36="Standard",BM47="Bonded"),BM48="No"),"REJECT","EQ"))</f>
        <v>BLANK</v>
      </c>
    </row>
    <row r="49" spans="4:75" ht="15" customHeight="1" x14ac:dyDescent="0.3">
      <c r="O49" s="49"/>
      <c r="P49" s="49"/>
      <c r="Q49" s="49"/>
      <c r="R49" s="49"/>
      <c r="S49" s="67"/>
      <c r="T49" s="67"/>
      <c r="U49" s="68"/>
      <c r="V49" s="55"/>
      <c r="X49" s="47"/>
      <c r="Y49" s="49"/>
      <c r="Z49" s="49"/>
      <c r="AA49" s="49"/>
      <c r="AB49" s="49"/>
      <c r="AC49" s="58"/>
      <c r="AD49" s="58"/>
      <c r="AF49" s="25"/>
      <c r="AM49" s="46"/>
      <c r="AN49" s="49"/>
      <c r="AO49" s="49"/>
      <c r="AP49" s="25"/>
      <c r="AQ49" s="25"/>
      <c r="AR49" s="49"/>
      <c r="AS49" s="25"/>
      <c r="AU49" s="25"/>
      <c r="AW49" s="47"/>
      <c r="AX49" s="63"/>
      <c r="AY49" s="60"/>
      <c r="AZ49" s="60"/>
      <c r="BA49" s="60"/>
      <c r="BB49" s="64"/>
      <c r="BC49" s="55"/>
      <c r="BE49" s="55"/>
      <c r="BH49" s="48"/>
      <c r="BI49" s="48"/>
      <c r="BJ49" s="49" t="s">
        <v>291</v>
      </c>
      <c r="BK49" s="276"/>
      <c r="BL49" s="276"/>
      <c r="BM49" s="276"/>
      <c r="BN49" s="276"/>
      <c r="BO49" s="25" t="str">
        <f>IF(AND(OR(D36="Standard",BM48="YES"),BK49=""),"BLANK","EQ")</f>
        <v>BLANK</v>
      </c>
    </row>
    <row r="50" spans="4:75" ht="15" customHeight="1" x14ac:dyDescent="0.3">
      <c r="D50" s="65" t="s">
        <v>821</v>
      </c>
      <c r="E50" s="66" t="s">
        <v>287</v>
      </c>
      <c r="O50" s="49"/>
      <c r="P50" s="49"/>
      <c r="Q50" s="49"/>
      <c r="R50" s="49"/>
      <c r="S50" s="67"/>
      <c r="T50" s="67"/>
      <c r="U50" s="68"/>
      <c r="V50" s="55"/>
      <c r="X50" s="60"/>
      <c r="Y50" s="61"/>
      <c r="Z50" s="61"/>
      <c r="AA50" s="61"/>
      <c r="AB50" s="61"/>
      <c r="AC50" s="58"/>
      <c r="AD50" s="58"/>
      <c r="AF50" s="25"/>
      <c r="AM50" s="46"/>
      <c r="AN50" s="49"/>
      <c r="AO50" s="49"/>
      <c r="AP50" s="25"/>
      <c r="AQ50" s="25"/>
      <c r="AR50" s="49"/>
      <c r="AS50" s="25"/>
      <c r="AU50" s="25"/>
      <c r="AW50" s="49"/>
      <c r="AX50" s="60"/>
      <c r="AY50" s="60"/>
      <c r="AZ50" s="60"/>
      <c r="BA50" s="60"/>
      <c r="BB50" s="64"/>
      <c r="BC50" s="55"/>
      <c r="BE50" s="55"/>
      <c r="BG50" s="47" t="s">
        <v>293</v>
      </c>
      <c r="BH50" s="25"/>
      <c r="BI50" s="25"/>
      <c r="BJ50" s="25"/>
      <c r="BK50" s="25"/>
      <c r="BL50" s="49" t="s">
        <v>294</v>
      </c>
      <c r="BM50" s="25">
        <v>4</v>
      </c>
      <c r="BN50" s="25"/>
      <c r="BO50" s="25" t="s">
        <v>89</v>
      </c>
      <c r="BQ50" s="41"/>
      <c r="BR50" s="41"/>
      <c r="BS50" s="41"/>
      <c r="BT50" s="41"/>
      <c r="BU50" s="41"/>
      <c r="BV50" s="41"/>
      <c r="BW50" s="41"/>
    </row>
    <row r="51" spans="4:75" ht="15" customHeight="1" x14ac:dyDescent="0.3">
      <c r="D51" s="19" t="s">
        <v>566</v>
      </c>
      <c r="N51" s="19"/>
      <c r="O51" s="19"/>
      <c r="X51" s="63"/>
      <c r="Y51" s="63"/>
      <c r="Z51" s="60"/>
      <c r="AA51" s="60"/>
      <c r="AB51" s="60"/>
      <c r="AC51" s="67"/>
      <c r="AD51" s="67"/>
      <c r="AE51" s="68"/>
      <c r="AF51" s="55"/>
      <c r="AM51" s="46"/>
      <c r="AN51" s="49"/>
      <c r="AO51" s="49"/>
      <c r="AP51" s="25"/>
      <c r="AQ51" s="25"/>
      <c r="AR51" s="49"/>
      <c r="AS51" s="25"/>
      <c r="AT51" s="25"/>
      <c r="AU51" s="25"/>
      <c r="AW51" s="60"/>
      <c r="AX51" s="60"/>
      <c r="AY51" s="60"/>
      <c r="AZ51" s="60"/>
      <c r="BA51" s="60"/>
      <c r="BB51" s="73"/>
      <c r="BC51" s="55"/>
      <c r="BE51" s="55"/>
      <c r="BG51" s="47"/>
      <c r="BH51" s="63"/>
      <c r="BI51" s="60"/>
      <c r="BJ51" s="60"/>
      <c r="BK51" s="60"/>
      <c r="BL51" s="64" t="s">
        <v>295</v>
      </c>
      <c r="BM51" s="74"/>
      <c r="BN51" s="19" t="str">
        <f>IF($A$21="mm","N","lbs")</f>
        <v>N</v>
      </c>
      <c r="BO51" s="55" t="str">
        <f>IF(BM51="","BLANK","EQ")</f>
        <v>BLANK</v>
      </c>
      <c r="BQ51" s="41"/>
      <c r="BR51" s="41"/>
      <c r="BS51" s="41"/>
      <c r="BT51" s="41"/>
      <c r="BU51" s="41"/>
      <c r="BV51" s="41"/>
      <c r="BW51" s="41"/>
    </row>
    <row r="52" spans="4:75" ht="15" customHeight="1" x14ac:dyDescent="0.3">
      <c r="D52" s="19" t="s">
        <v>567</v>
      </c>
      <c r="N52" s="19"/>
      <c r="O52" s="49"/>
      <c r="P52" s="49"/>
      <c r="Q52" s="49"/>
      <c r="R52" s="49"/>
      <c r="S52" s="67"/>
      <c r="T52" s="67"/>
      <c r="U52" s="68"/>
      <c r="V52" s="55"/>
      <c r="X52" s="72"/>
      <c r="Y52" s="60"/>
      <c r="Z52" s="60"/>
      <c r="AA52" s="60"/>
      <c r="AB52" s="60"/>
      <c r="AC52" s="67"/>
      <c r="AD52" s="67"/>
      <c r="AE52" s="68"/>
      <c r="AF52" s="55"/>
      <c r="AM52" s="25"/>
      <c r="AN52" s="25"/>
      <c r="AO52" s="25"/>
      <c r="AP52" s="25"/>
      <c r="AQ52" s="25"/>
      <c r="AR52" s="25"/>
      <c r="AS52" s="25"/>
      <c r="AT52" s="25"/>
      <c r="AU52" s="25"/>
      <c r="AW52" s="47"/>
      <c r="AX52" s="49"/>
      <c r="AY52" s="49"/>
      <c r="AZ52" s="49"/>
      <c r="BA52" s="49"/>
      <c r="BB52" s="49"/>
      <c r="BC52" s="67"/>
      <c r="BD52" s="75"/>
      <c r="BE52" s="55"/>
      <c r="BG52" s="47"/>
      <c r="BH52" s="63"/>
      <c r="BI52" s="60"/>
      <c r="BJ52" s="60"/>
      <c r="BK52" s="60"/>
      <c r="BL52" s="64" t="s">
        <v>296</v>
      </c>
      <c r="BM52" s="76"/>
      <c r="BO52" s="55" t="str">
        <f>IF(BM52="","BLANK",IF(AND(BM47="Bolted",BM52&lt;4),"REJECT","EQ"))</f>
        <v>BLANK</v>
      </c>
      <c r="BQ52" s="41"/>
      <c r="BR52" s="41"/>
      <c r="BS52" s="41"/>
      <c r="BT52" s="41"/>
      <c r="BU52" s="41"/>
      <c r="BV52" s="41"/>
      <c r="BW52" s="41"/>
    </row>
    <row r="53" spans="4:75" ht="15" customHeight="1" x14ac:dyDescent="0.3">
      <c r="N53" s="19"/>
      <c r="O53" s="49"/>
      <c r="P53" s="49"/>
      <c r="Q53" s="49"/>
      <c r="R53" s="49"/>
      <c r="S53" s="67"/>
      <c r="T53" s="67"/>
      <c r="U53" s="68"/>
      <c r="V53" s="55"/>
      <c r="X53" s="72"/>
      <c r="Y53" s="60"/>
      <c r="Z53" s="60"/>
      <c r="AA53" s="60"/>
      <c r="AB53" s="60"/>
      <c r="AC53" s="67"/>
      <c r="AD53" s="67"/>
      <c r="AE53" s="68"/>
      <c r="AF53" s="55"/>
      <c r="AM53" s="46"/>
      <c r="AR53" s="49"/>
      <c r="AU53" s="25"/>
      <c r="AW53" s="60"/>
      <c r="AX53" s="49"/>
      <c r="AY53" s="49"/>
      <c r="AZ53" s="49"/>
      <c r="BA53" s="49"/>
      <c r="BC53" s="67"/>
      <c r="BD53" s="68"/>
      <c r="BE53" s="55"/>
      <c r="BG53" s="49"/>
      <c r="BH53" s="60"/>
      <c r="BI53" s="60"/>
      <c r="BJ53" s="60"/>
      <c r="BK53" s="60"/>
      <c r="BL53" s="64" t="str">
        <f>IF(AND(D36="Custom",BM48="No"),"","Shear strength of adhesive:")</f>
        <v>Shear strength of adhesive:</v>
      </c>
      <c r="BM53" s="76"/>
      <c r="BN53" s="19" t="str">
        <f>IF($A$21="mm","N/mm^2","psi")</f>
        <v>N/mm^2</v>
      </c>
      <c r="BO53" s="55" t="str">
        <f>IF(AND(D36="Custom",BM48="No"),"N/A",IF(BM53="","BLANK","EQ"))</f>
        <v>BLANK</v>
      </c>
      <c r="BQ53" s="41"/>
      <c r="BR53" s="41"/>
      <c r="BS53" s="41"/>
      <c r="BT53" s="41"/>
      <c r="BU53" s="41"/>
      <c r="BV53" s="41"/>
      <c r="BW53" s="41"/>
    </row>
    <row r="54" spans="4:75" ht="15" customHeight="1" x14ac:dyDescent="0.3">
      <c r="D54" s="65" t="s">
        <v>821</v>
      </c>
      <c r="E54" s="66" t="s">
        <v>290</v>
      </c>
      <c r="N54" s="19"/>
      <c r="O54" s="49"/>
      <c r="P54" s="49"/>
      <c r="Q54" s="49"/>
      <c r="R54" s="49"/>
      <c r="S54" s="67"/>
      <c r="T54" s="67"/>
      <c r="U54" s="68"/>
      <c r="V54" s="55"/>
      <c r="X54" s="47"/>
      <c r="Y54" s="49"/>
      <c r="Z54" s="49"/>
      <c r="AA54" s="49"/>
      <c r="AB54" s="49"/>
      <c r="AC54" s="67"/>
      <c r="AD54" s="67"/>
      <c r="AE54" s="68"/>
      <c r="AF54" s="55"/>
      <c r="AR54" s="49"/>
      <c r="AU54" s="25"/>
      <c r="AW54" s="72"/>
      <c r="AX54" s="72"/>
      <c r="AY54" s="72"/>
      <c r="AZ54" s="72"/>
      <c r="BA54" s="72"/>
      <c r="BB54" s="72"/>
      <c r="BC54" s="72"/>
      <c r="BD54" s="72"/>
      <c r="BE54" s="72"/>
      <c r="BG54" s="60"/>
      <c r="BH54" s="60"/>
      <c r="BI54" s="60"/>
      <c r="BJ54" s="60"/>
      <c r="BK54" s="60"/>
      <c r="BL54" s="73" t="str">
        <f>IF(AND(D36="Custom",BM48="No"),"","Minimum bond area:")</f>
        <v>Minimum bond area:</v>
      </c>
      <c r="BM54" s="77"/>
      <c r="BN54" s="19" t="str">
        <f>IF($A$21="mm","mm^2","in^2")</f>
        <v>mm^2</v>
      </c>
      <c r="BO54" s="55" t="str">
        <f>IF(AND(D36="Custom",BM48="No"),"N/A",IF(BM54="","BLANK","EQ"))</f>
        <v>BLANK</v>
      </c>
      <c r="BQ54" s="41"/>
      <c r="BR54" s="41"/>
      <c r="BS54" s="41"/>
      <c r="BT54" s="41"/>
      <c r="BU54" s="41"/>
      <c r="BV54" s="41"/>
      <c r="BW54" s="41"/>
    </row>
    <row r="55" spans="4:75" ht="15" customHeight="1" x14ac:dyDescent="0.3">
      <c r="D55" s="19" t="s">
        <v>596</v>
      </c>
      <c r="N55" s="19"/>
      <c r="O55" s="49"/>
      <c r="P55" s="49"/>
      <c r="Q55" s="49"/>
      <c r="R55" s="49"/>
      <c r="S55" s="67"/>
      <c r="T55" s="67"/>
      <c r="U55" s="68"/>
      <c r="V55" s="55"/>
      <c r="X55" s="47"/>
      <c r="Y55" s="49"/>
      <c r="Z55" s="49"/>
      <c r="AA55" s="49"/>
      <c r="AB55" s="49"/>
      <c r="AC55" s="67"/>
      <c r="AD55" s="67"/>
      <c r="AE55" s="68"/>
      <c r="AF55" s="55"/>
      <c r="AH55" s="78"/>
      <c r="AI55" s="79"/>
      <c r="AJ55" s="79"/>
      <c r="AK55" s="80"/>
      <c r="AR55" s="49"/>
      <c r="AU55" s="25"/>
      <c r="AW55" s="25"/>
      <c r="AX55" s="25"/>
      <c r="AY55" s="25"/>
      <c r="AZ55" s="25"/>
      <c r="BA55" s="25"/>
      <c r="BB55" s="25"/>
      <c r="BC55" s="25"/>
      <c r="BD55" s="25"/>
      <c r="BE55" s="25"/>
      <c r="BG55" s="47"/>
      <c r="BH55" s="49"/>
      <c r="BI55" s="49"/>
      <c r="BJ55" s="49"/>
      <c r="BK55" s="49"/>
      <c r="BL55" s="49" t="str">
        <f>IF(AND(D36="Custom",BM48="No"),"","Minimum bond strength &gt;= baseline x bolts in shear:")</f>
        <v>Minimum bond strength &gt;= baseline x bolts in shear:</v>
      </c>
      <c r="BM55" s="67" t="str">
        <f>IF(BM54="","",BM53*BM54)</f>
        <v/>
      </c>
      <c r="BN55" s="75" t="str">
        <f>IF(OR(BM55="",BM51=""),"",(BM52*BM51+BM55)/(BM50*BM51))</f>
        <v/>
      </c>
      <c r="BO55" s="55" t="str">
        <f>IF(AND(D36="Custom",BM48="No"),"N/A",IF(BN55&lt;1,"REJECT","EQ"))</f>
        <v>EQ</v>
      </c>
    </row>
    <row r="56" spans="4:75" ht="15" customHeight="1" x14ac:dyDescent="0.3">
      <c r="N56" s="19"/>
      <c r="O56" s="19"/>
      <c r="X56" s="47"/>
      <c r="Y56" s="49"/>
      <c r="Z56" s="49"/>
      <c r="AA56" s="49"/>
      <c r="AB56" s="49"/>
      <c r="AC56" s="67"/>
      <c r="AD56" s="67"/>
      <c r="AE56" s="68"/>
      <c r="AF56" s="55"/>
      <c r="AM56" s="25"/>
      <c r="AN56" s="25"/>
      <c r="AO56" s="25"/>
      <c r="AP56" s="25"/>
      <c r="AQ56" s="25"/>
      <c r="AR56" s="49"/>
      <c r="AS56" s="25"/>
      <c r="AT56" s="46"/>
      <c r="AU56" s="25"/>
      <c r="AW56" s="49"/>
      <c r="AX56" s="49"/>
      <c r="AY56" s="49"/>
      <c r="AZ56" s="49"/>
      <c r="BA56" s="49"/>
      <c r="BB56" s="49"/>
      <c r="BC56" s="25"/>
      <c r="BE56" s="25"/>
    </row>
    <row r="57" spans="4:75" ht="15" customHeight="1" x14ac:dyDescent="0.3">
      <c r="D57" s="47" t="s">
        <v>568</v>
      </c>
      <c r="E57" s="81" t="s">
        <v>569</v>
      </c>
      <c r="N57" s="19"/>
      <c r="O57" s="19"/>
      <c r="AM57" s="47"/>
      <c r="AN57" s="48"/>
      <c r="AO57" s="48"/>
      <c r="AP57" s="48"/>
      <c r="AQ57" s="48"/>
      <c r="AR57" s="49"/>
      <c r="AS57" s="25"/>
      <c r="AT57" s="46"/>
      <c r="AU57" s="25"/>
      <c r="AW57" s="49"/>
      <c r="AX57" s="49"/>
      <c r="AY57" s="49"/>
      <c r="AZ57" s="49"/>
      <c r="BA57" s="49"/>
      <c r="BB57" s="49"/>
      <c r="BC57" s="25"/>
      <c r="BE57" s="25"/>
      <c r="BG57" s="46"/>
      <c r="BH57" s="25"/>
      <c r="BI57" s="25"/>
      <c r="BJ57" s="25"/>
      <c r="BK57" s="25"/>
      <c r="BL57" s="25"/>
      <c r="BM57" s="25"/>
      <c r="BN57" s="25"/>
      <c r="BO57" s="25"/>
      <c r="BQ57" s="41"/>
      <c r="BR57" s="41"/>
      <c r="BS57" s="41"/>
      <c r="BT57" s="41"/>
      <c r="BU57" s="41"/>
      <c r="BV57" s="41"/>
      <c r="BW57" s="41"/>
    </row>
    <row r="58" spans="4:75" ht="15" customHeight="1" x14ac:dyDescent="0.3">
      <c r="D58" s="47" t="s">
        <v>570</v>
      </c>
      <c r="E58" s="81" t="s">
        <v>571</v>
      </c>
      <c r="F58" s="49"/>
      <c r="G58" s="49"/>
      <c r="H58" s="49"/>
      <c r="I58" s="25"/>
      <c r="J58" s="25"/>
      <c r="L58" s="25"/>
      <c r="N58" s="25"/>
      <c r="O58" s="25"/>
      <c r="P58" s="25"/>
      <c r="Q58" s="25"/>
      <c r="R58" s="25"/>
      <c r="S58" s="25"/>
      <c r="T58" s="25"/>
      <c r="U58" s="25"/>
      <c r="V58" s="25"/>
      <c r="X58" s="25"/>
      <c r="Y58" s="25"/>
      <c r="Z58" s="25"/>
      <c r="AA58" s="25"/>
      <c r="AB58" s="25"/>
      <c r="AC58" s="25"/>
      <c r="AD58" s="25"/>
      <c r="AE58" s="25"/>
      <c r="AF58" s="25"/>
      <c r="AG58" s="49"/>
      <c r="AL58" s="49"/>
      <c r="AM58" s="47"/>
      <c r="AN58" s="49"/>
      <c r="AO58" s="49"/>
      <c r="AP58" s="49"/>
      <c r="AQ58" s="49"/>
      <c r="AR58" s="49"/>
      <c r="AS58" s="47"/>
      <c r="AU58" s="25"/>
      <c r="AW58" s="47"/>
      <c r="AX58" s="48"/>
      <c r="AY58" s="48"/>
      <c r="AZ58" s="48"/>
      <c r="BA58" s="48"/>
      <c r="BB58" s="25"/>
      <c r="BC58" s="25"/>
      <c r="BE58" s="25"/>
      <c r="BH58" s="25"/>
      <c r="BI58" s="25"/>
      <c r="BJ58" s="25"/>
      <c r="BK58" s="25"/>
      <c r="BL58" s="25"/>
      <c r="BM58" s="25"/>
      <c r="BN58" s="25"/>
      <c r="BO58" s="25"/>
      <c r="BQ58" s="41"/>
      <c r="BR58" s="41"/>
      <c r="BS58" s="41"/>
      <c r="BT58" s="41"/>
      <c r="BU58" s="41"/>
      <c r="BV58" s="41"/>
      <c r="BW58" s="41"/>
    </row>
    <row r="59" spans="4:75" ht="15" customHeight="1" x14ac:dyDescent="0.3">
      <c r="D59" s="47" t="s">
        <v>572</v>
      </c>
      <c r="E59" s="19" t="s">
        <v>573</v>
      </c>
      <c r="G59" s="49"/>
      <c r="L59" s="25"/>
      <c r="M59" s="82"/>
      <c r="N59" s="82"/>
      <c r="O59" s="82"/>
      <c r="P59" s="82"/>
      <c r="Q59" s="82"/>
      <c r="R59" s="82"/>
      <c r="S59" s="82"/>
      <c r="T59" s="47"/>
      <c r="V59" s="25"/>
      <c r="X59" s="47"/>
      <c r="Y59" s="48"/>
      <c r="Z59" s="48"/>
      <c r="AA59" s="48"/>
      <c r="AB59" s="48"/>
      <c r="AC59" s="47"/>
      <c r="AD59" s="47"/>
      <c r="AF59" s="25"/>
      <c r="AG59" s="52"/>
      <c r="AL59" s="52"/>
      <c r="AM59" s="25"/>
      <c r="AN59" s="49"/>
      <c r="AO59" s="49"/>
      <c r="AP59" s="49"/>
      <c r="AQ59" s="49"/>
      <c r="AR59" s="49"/>
      <c r="AS59" s="25"/>
      <c r="AU59" s="25"/>
      <c r="AW59" s="61"/>
      <c r="AX59" s="61"/>
      <c r="AY59" s="61"/>
      <c r="AZ59" s="61"/>
      <c r="BA59" s="61"/>
      <c r="BB59" s="49"/>
      <c r="BC59" s="25"/>
      <c r="BE59" s="25"/>
    </row>
    <row r="60" spans="4:75" ht="15" customHeight="1" x14ac:dyDescent="0.3">
      <c r="D60" s="81" t="s">
        <v>574</v>
      </c>
      <c r="G60" s="49"/>
      <c r="L60" s="25"/>
      <c r="M60" s="66"/>
      <c r="N60" s="66"/>
      <c r="O60" s="66"/>
      <c r="P60" s="66"/>
      <c r="Q60" s="66"/>
      <c r="R60" s="66"/>
      <c r="S60" s="66"/>
      <c r="T60" s="72"/>
      <c r="U60" s="47"/>
      <c r="V60" s="25"/>
      <c r="X60" s="48"/>
      <c r="Y60" s="48"/>
      <c r="Z60" s="48"/>
      <c r="AA60" s="48"/>
      <c r="AB60" s="48"/>
      <c r="AC60" s="72"/>
      <c r="AD60" s="72"/>
      <c r="AE60" s="47"/>
      <c r="AF60" s="25"/>
      <c r="AM60" s="47"/>
      <c r="AN60" s="49"/>
      <c r="AO60" s="49"/>
      <c r="AP60" s="49"/>
      <c r="AQ60" s="49"/>
      <c r="AR60" s="49"/>
      <c r="AS60" s="25"/>
      <c r="AU60" s="25"/>
      <c r="AW60" s="49"/>
      <c r="AX60" s="49"/>
      <c r="AY60" s="49"/>
      <c r="AZ60" s="49"/>
      <c r="BA60" s="49"/>
      <c r="BB60" s="49"/>
      <c r="BC60" s="83"/>
      <c r="BD60" s="83"/>
      <c r="BE60" s="25"/>
    </row>
    <row r="61" spans="4:75" ht="15" customHeight="1" x14ac:dyDescent="0.3">
      <c r="D61" s="81"/>
      <c r="G61" s="49"/>
      <c r="L61" s="25"/>
      <c r="M61" s="66"/>
      <c r="N61" s="66"/>
      <c r="O61" s="66"/>
      <c r="P61" s="66"/>
      <c r="Q61" s="66"/>
      <c r="R61" s="66"/>
      <c r="S61" s="66"/>
      <c r="T61" s="83"/>
      <c r="U61" s="83"/>
      <c r="V61" s="25"/>
      <c r="X61" s="49"/>
      <c r="Y61" s="49"/>
      <c r="Z61" s="49"/>
      <c r="AA61" s="49"/>
      <c r="AB61" s="49"/>
      <c r="AC61" s="49"/>
      <c r="AD61" s="83"/>
      <c r="AE61" s="83"/>
      <c r="AF61" s="25"/>
      <c r="AN61" s="49"/>
      <c r="AO61" s="49"/>
      <c r="AP61" s="49"/>
      <c r="AQ61" s="49"/>
      <c r="AR61" s="25"/>
      <c r="AS61" s="25"/>
      <c r="AU61" s="25"/>
      <c r="AW61" s="49"/>
      <c r="AX61" s="49"/>
      <c r="AY61" s="49"/>
      <c r="AZ61" s="49"/>
      <c r="BA61" s="49"/>
      <c r="BB61" s="49"/>
      <c r="BC61" s="55"/>
      <c r="BE61" s="55"/>
      <c r="BQ61" s="41"/>
      <c r="BR61" s="41"/>
      <c r="BS61" s="41"/>
      <c r="BT61" s="41"/>
      <c r="BU61" s="41"/>
      <c r="BV61" s="41"/>
      <c r="BW61" s="41"/>
    </row>
    <row r="62" spans="4:75" ht="15" customHeight="1" x14ac:dyDescent="0.3">
      <c r="D62" s="84" t="s">
        <v>575</v>
      </c>
      <c r="E62" s="81" t="s">
        <v>576</v>
      </c>
      <c r="G62" s="49"/>
      <c r="L62" s="25"/>
      <c r="M62" s="66"/>
      <c r="N62" s="66"/>
      <c r="O62" s="66"/>
      <c r="P62" s="66"/>
      <c r="Q62" s="66"/>
      <c r="R62" s="66"/>
      <c r="S62" s="66"/>
      <c r="T62" s="25"/>
      <c r="V62" s="25"/>
      <c r="X62" s="49"/>
      <c r="Y62" s="49"/>
      <c r="Z62" s="49"/>
      <c r="AA62" s="49"/>
      <c r="AB62" s="49"/>
      <c r="AC62" s="49"/>
      <c r="AD62" s="25"/>
      <c r="AF62" s="25"/>
      <c r="AH62" s="85"/>
      <c r="AI62" s="86"/>
      <c r="AJ62" s="86"/>
      <c r="AK62" s="87"/>
      <c r="AM62" s="25"/>
      <c r="AN62" s="25"/>
      <c r="AO62" s="25"/>
      <c r="AP62" s="25"/>
      <c r="AQ62" s="25"/>
      <c r="AR62" s="25"/>
      <c r="AS62" s="25"/>
      <c r="AT62" s="25"/>
      <c r="AU62" s="25"/>
      <c r="AW62" s="60"/>
      <c r="AX62" s="60"/>
      <c r="AY62" s="60"/>
      <c r="AZ62" s="60"/>
      <c r="BA62" s="60"/>
      <c r="BB62" s="60"/>
      <c r="BC62" s="55"/>
      <c r="BE62" s="25"/>
      <c r="BQ62" s="41"/>
      <c r="BR62" s="41"/>
      <c r="BS62" s="41"/>
      <c r="BT62" s="41"/>
      <c r="BU62" s="41"/>
      <c r="BV62" s="41"/>
      <c r="BW62" s="41"/>
    </row>
    <row r="63" spans="4:75" ht="15" customHeight="1" x14ac:dyDescent="0.3">
      <c r="D63" s="84" t="s">
        <v>577</v>
      </c>
      <c r="E63" s="81" t="s">
        <v>578</v>
      </c>
      <c r="G63" s="61"/>
      <c r="L63" s="25"/>
      <c r="M63" s="66"/>
      <c r="N63" s="66"/>
      <c r="O63" s="66"/>
      <c r="P63" s="66"/>
      <c r="Q63" s="66"/>
      <c r="R63" s="66"/>
      <c r="S63" s="66"/>
      <c r="T63" s="25"/>
      <c r="V63" s="25"/>
      <c r="X63" s="49"/>
      <c r="Y63" s="49"/>
      <c r="Z63" s="49"/>
      <c r="AA63" s="49"/>
      <c r="AB63" s="49"/>
      <c r="AC63" s="49"/>
      <c r="AD63" s="25"/>
      <c r="AF63" s="25"/>
      <c r="AH63" s="85"/>
      <c r="AI63" s="86"/>
      <c r="AJ63" s="86"/>
      <c r="AK63" s="87"/>
      <c r="AM63" s="46"/>
      <c r="AN63" s="49"/>
      <c r="AO63" s="49"/>
      <c r="AP63" s="25"/>
      <c r="AQ63" s="25"/>
      <c r="AR63" s="25"/>
      <c r="AS63" s="25"/>
      <c r="AT63" s="25"/>
      <c r="AU63" s="25"/>
      <c r="AW63" s="49"/>
      <c r="AX63" s="49"/>
      <c r="AY63" s="49"/>
      <c r="AZ63" s="49"/>
      <c r="BA63" s="49"/>
      <c r="BB63" s="49"/>
      <c r="BC63" s="25"/>
      <c r="BE63" s="25"/>
    </row>
    <row r="64" spans="4:75" ht="15" customHeight="1" x14ac:dyDescent="0.3">
      <c r="D64" s="84" t="s">
        <v>579</v>
      </c>
      <c r="E64" s="81" t="s">
        <v>580</v>
      </c>
      <c r="G64" s="60"/>
      <c r="K64" s="68"/>
      <c r="L64" s="55"/>
      <c r="M64" s="66"/>
      <c r="N64" s="66"/>
      <c r="O64" s="66"/>
      <c r="P64" s="66"/>
      <c r="Q64" s="66"/>
      <c r="R64" s="66"/>
      <c r="S64" s="66"/>
      <c r="T64" s="58"/>
      <c r="U64" s="46"/>
      <c r="V64" s="25"/>
      <c r="X64" s="49"/>
      <c r="Y64" s="49"/>
      <c r="Z64" s="49"/>
      <c r="AA64" s="49"/>
      <c r="AB64" s="49"/>
      <c r="AC64" s="49"/>
      <c r="AD64" s="58"/>
      <c r="AE64" s="46"/>
      <c r="AF64" s="25"/>
      <c r="AH64" s="88"/>
      <c r="AI64" s="89"/>
      <c r="AJ64" s="89"/>
      <c r="AK64" s="90"/>
      <c r="AM64" s="47"/>
      <c r="AN64" s="49"/>
      <c r="AO64" s="49"/>
      <c r="AP64" s="49"/>
      <c r="AQ64" s="49"/>
      <c r="AR64" s="25"/>
      <c r="AS64" s="25"/>
      <c r="AU64" s="55"/>
      <c r="AW64" s="49"/>
      <c r="AX64" s="49"/>
      <c r="AY64" s="49"/>
      <c r="AZ64" s="49"/>
      <c r="BA64" s="49"/>
      <c r="BB64" s="49"/>
      <c r="BC64" s="25"/>
      <c r="BE64" s="25"/>
    </row>
    <row r="65" spans="4:67" ht="15" customHeight="1" x14ac:dyDescent="0.3">
      <c r="D65" s="81" t="s">
        <v>581</v>
      </c>
      <c r="F65" s="60"/>
      <c r="G65" s="60"/>
      <c r="K65" s="68"/>
      <c r="L65" s="55"/>
      <c r="N65" s="49"/>
      <c r="O65" s="49"/>
      <c r="P65" s="49"/>
      <c r="Q65" s="49"/>
      <c r="R65" s="49"/>
      <c r="S65" s="49"/>
      <c r="T65" s="55"/>
      <c r="V65" s="55"/>
      <c r="X65" s="49"/>
      <c r="Y65" s="49"/>
      <c r="Z65" s="49"/>
      <c r="AA65" s="49"/>
      <c r="AB65" s="49"/>
      <c r="AC65" s="49"/>
      <c r="AD65" s="55"/>
      <c r="AF65" s="55"/>
      <c r="AM65" s="49"/>
      <c r="AN65" s="49"/>
      <c r="AO65" s="49"/>
      <c r="AP65" s="49"/>
      <c r="AQ65" s="49"/>
      <c r="AR65" s="58"/>
      <c r="AS65" s="58"/>
      <c r="AU65" s="25"/>
      <c r="AW65" s="72"/>
      <c r="AX65" s="72"/>
      <c r="AY65" s="72"/>
      <c r="AZ65" s="72"/>
      <c r="BA65" s="72"/>
      <c r="BB65" s="72"/>
      <c r="BC65" s="72"/>
      <c r="BD65" s="72"/>
      <c r="BE65" s="72"/>
    </row>
    <row r="66" spans="4:67" ht="15" customHeight="1" x14ac:dyDescent="0.3">
      <c r="D66" s="19" t="s">
        <v>582</v>
      </c>
      <c r="G66" s="45"/>
      <c r="K66" s="45"/>
      <c r="L66" s="55"/>
      <c r="N66" s="60"/>
      <c r="O66" s="60"/>
      <c r="P66" s="60"/>
      <c r="Q66" s="60"/>
      <c r="R66" s="60"/>
      <c r="S66" s="60"/>
      <c r="T66" s="55"/>
      <c r="V66" s="25"/>
      <c r="X66" s="60"/>
      <c r="Y66" s="60"/>
      <c r="Z66" s="60"/>
      <c r="AA66" s="60"/>
      <c r="AB66" s="60"/>
      <c r="AC66" s="60"/>
      <c r="AD66" s="55"/>
      <c r="AF66" s="25"/>
      <c r="AM66" s="60"/>
      <c r="AN66" s="49"/>
      <c r="AO66" s="49"/>
      <c r="AP66" s="49"/>
      <c r="AQ66" s="49"/>
      <c r="AR66" s="58"/>
      <c r="AS66" s="58"/>
      <c r="AU66" s="25"/>
      <c r="AW66" s="25"/>
      <c r="AX66" s="25"/>
      <c r="AZ66" s="91"/>
      <c r="BA66" s="92"/>
      <c r="BC66" s="91"/>
      <c r="BD66" s="92"/>
    </row>
    <row r="67" spans="4:67" ht="15" customHeight="1" x14ac:dyDescent="0.3">
      <c r="G67" s="45"/>
      <c r="H67" s="45"/>
      <c r="I67" s="45"/>
      <c r="J67" s="45"/>
      <c r="K67" s="45"/>
      <c r="L67" s="55"/>
      <c r="N67" s="49"/>
      <c r="O67" s="49"/>
      <c r="P67" s="49"/>
      <c r="Q67" s="49"/>
      <c r="R67" s="49"/>
      <c r="S67" s="49"/>
      <c r="T67" s="25"/>
      <c r="V67" s="25"/>
      <c r="X67" s="49"/>
      <c r="Y67" s="49"/>
      <c r="Z67" s="49"/>
      <c r="AA67" s="49"/>
      <c r="AB67" s="49"/>
      <c r="AC67" s="49"/>
      <c r="AD67" s="25"/>
      <c r="AF67" s="25"/>
      <c r="AM67" s="47"/>
      <c r="AN67" s="49"/>
      <c r="AO67" s="49"/>
      <c r="AP67" s="49"/>
      <c r="AQ67" s="49"/>
      <c r="AR67" s="58"/>
      <c r="AS67" s="58"/>
      <c r="AU67" s="25"/>
      <c r="AW67" s="93"/>
      <c r="AX67" s="25"/>
      <c r="AZ67" s="91"/>
      <c r="BA67" s="92"/>
      <c r="BC67" s="91"/>
      <c r="BD67" s="92"/>
    </row>
    <row r="68" spans="4:67" ht="15" customHeight="1" x14ac:dyDescent="0.3">
      <c r="D68" s="94" t="s">
        <v>583</v>
      </c>
      <c r="E68" s="81" t="s">
        <v>584</v>
      </c>
      <c r="F68" s="49"/>
      <c r="G68" s="49"/>
      <c r="H68" s="49"/>
      <c r="I68" s="67"/>
      <c r="J68" s="67"/>
      <c r="K68" s="68"/>
      <c r="L68" s="55"/>
      <c r="N68" s="49"/>
      <c r="O68" s="49"/>
      <c r="P68" s="49"/>
      <c r="Q68" s="49"/>
      <c r="R68" s="49"/>
      <c r="S68" s="49"/>
      <c r="T68" s="25"/>
      <c r="V68" s="25"/>
      <c r="X68" s="49"/>
      <c r="Y68" s="49"/>
      <c r="Z68" s="49"/>
      <c r="AA68" s="49"/>
      <c r="AB68" s="49"/>
      <c r="AC68" s="49"/>
      <c r="AD68" s="25"/>
      <c r="AF68" s="25"/>
      <c r="AM68" s="60"/>
      <c r="AN68" s="49"/>
      <c r="AO68" s="49"/>
      <c r="AP68" s="49"/>
      <c r="AQ68" s="49"/>
      <c r="AR68" s="58"/>
      <c r="AS68" s="58"/>
      <c r="AU68" s="25"/>
      <c r="AW68" s="93"/>
      <c r="AX68" s="25"/>
      <c r="AZ68" s="91"/>
      <c r="BA68" s="55"/>
      <c r="BC68" s="91"/>
      <c r="BD68" s="92"/>
    </row>
    <row r="69" spans="4:67" ht="15" customHeight="1" x14ac:dyDescent="0.3">
      <c r="D69" s="84" t="s">
        <v>585</v>
      </c>
      <c r="E69" s="81" t="s">
        <v>586</v>
      </c>
      <c r="F69" s="49"/>
      <c r="G69" s="49"/>
      <c r="H69" s="49"/>
      <c r="I69" s="67"/>
      <c r="J69" s="67"/>
      <c r="K69" s="68"/>
      <c r="L69" s="55"/>
      <c r="N69" s="72"/>
      <c r="O69" s="72"/>
      <c r="P69" s="72"/>
      <c r="Q69" s="72"/>
      <c r="R69" s="72"/>
      <c r="S69" s="72"/>
      <c r="T69" s="72"/>
      <c r="U69" s="72"/>
      <c r="V69" s="72"/>
      <c r="X69" s="72"/>
      <c r="Y69" s="72"/>
      <c r="Z69" s="72"/>
      <c r="AA69" s="72"/>
      <c r="AB69" s="72"/>
      <c r="AC69" s="72"/>
      <c r="AD69" s="72"/>
      <c r="AE69" s="72"/>
      <c r="AF69" s="72"/>
      <c r="AM69" s="63"/>
      <c r="AN69" s="63"/>
      <c r="AO69" s="60"/>
      <c r="AP69" s="60"/>
      <c r="AQ69" s="60"/>
      <c r="AR69" s="67"/>
      <c r="AS69" s="67"/>
      <c r="AT69" s="68"/>
      <c r="AU69" s="55"/>
      <c r="AW69" s="25"/>
      <c r="AX69" s="25"/>
      <c r="AZ69" s="91"/>
      <c r="BA69" s="95"/>
      <c r="BC69" s="91"/>
      <c r="BD69" s="92"/>
    </row>
    <row r="70" spans="4:67" ht="15" customHeight="1" x14ac:dyDescent="0.3">
      <c r="D70" s="84" t="s">
        <v>587</v>
      </c>
      <c r="E70" s="81" t="s">
        <v>588</v>
      </c>
      <c r="F70" s="49"/>
      <c r="G70" s="49"/>
      <c r="H70" s="49"/>
      <c r="I70" s="67"/>
      <c r="J70" s="67"/>
      <c r="K70" s="68"/>
      <c r="L70" s="55"/>
      <c r="N70" s="25"/>
      <c r="O70" s="25"/>
      <c r="Q70" s="91"/>
      <c r="R70" s="92"/>
      <c r="T70" s="91"/>
      <c r="U70" s="92"/>
      <c r="X70" s="25"/>
      <c r="Y70" s="25"/>
      <c r="AA70" s="91"/>
      <c r="AB70" s="92"/>
      <c r="AD70" s="91"/>
      <c r="AE70" s="92"/>
      <c r="AM70" s="72"/>
      <c r="AN70" s="60"/>
      <c r="AO70" s="60"/>
      <c r="AP70" s="60"/>
      <c r="AQ70" s="60"/>
      <c r="AR70" s="67"/>
      <c r="AS70" s="67"/>
      <c r="AT70" s="68"/>
      <c r="AU70" s="55"/>
      <c r="AW70" s="25"/>
      <c r="AX70" s="25"/>
      <c r="AZ70" s="91"/>
      <c r="BA70" s="96"/>
      <c r="BC70" s="91"/>
      <c r="BD70" s="92"/>
    </row>
    <row r="71" spans="4:67" ht="15" customHeight="1" x14ac:dyDescent="0.3">
      <c r="D71" s="84" t="s">
        <v>589</v>
      </c>
      <c r="E71" s="19" t="s">
        <v>590</v>
      </c>
      <c r="F71" s="82"/>
      <c r="G71" s="82"/>
      <c r="H71" s="82"/>
      <c r="I71" s="82"/>
      <c r="J71" s="82"/>
      <c r="K71" s="82"/>
      <c r="L71" s="82"/>
      <c r="N71" s="93"/>
      <c r="O71" s="25"/>
      <c r="Q71" s="91"/>
      <c r="R71" s="92"/>
      <c r="T71" s="91"/>
      <c r="U71" s="92"/>
      <c r="X71" s="93"/>
      <c r="Y71" s="25"/>
      <c r="AA71" s="91"/>
      <c r="AB71" s="92"/>
      <c r="AD71" s="91"/>
      <c r="AE71" s="92"/>
      <c r="AM71" s="72"/>
      <c r="AN71" s="60"/>
      <c r="AO71" s="60"/>
      <c r="AP71" s="60"/>
      <c r="AQ71" s="60"/>
      <c r="AR71" s="67"/>
      <c r="AS71" s="67"/>
      <c r="AT71" s="68"/>
      <c r="AU71" s="55"/>
      <c r="AW71" s="25"/>
      <c r="AX71" s="25"/>
      <c r="AZ71" s="97"/>
      <c r="BA71" s="98"/>
      <c r="BB71" s="98"/>
      <c r="BC71" s="99"/>
      <c r="BD71" s="99"/>
    </row>
    <row r="72" spans="4:67" ht="15" customHeight="1" x14ac:dyDescent="0.3">
      <c r="D72" s="81"/>
      <c r="F72" s="66"/>
      <c r="G72" s="66"/>
      <c r="H72" s="66"/>
      <c r="I72" s="66"/>
      <c r="J72" s="66"/>
      <c r="K72" s="66"/>
      <c r="L72" s="66"/>
      <c r="N72" s="93"/>
      <c r="O72" s="25"/>
      <c r="Q72" s="91"/>
      <c r="R72" s="55"/>
      <c r="T72" s="91"/>
      <c r="U72" s="92"/>
      <c r="X72" s="93"/>
      <c r="Y72" s="25"/>
      <c r="AA72" s="91"/>
      <c r="AB72" s="55"/>
      <c r="AD72" s="91"/>
      <c r="AE72" s="92"/>
      <c r="AM72" s="47"/>
      <c r="AN72" s="49"/>
      <c r="AO72" s="49"/>
      <c r="AP72" s="49"/>
      <c r="AQ72" s="49"/>
      <c r="AR72" s="67"/>
      <c r="AS72" s="67"/>
      <c r="AT72" s="68"/>
      <c r="AU72" s="55"/>
      <c r="AW72" s="47"/>
      <c r="AX72" s="49"/>
      <c r="AY72" s="49"/>
      <c r="AZ72" s="49"/>
      <c r="BA72" s="49"/>
      <c r="BB72" s="25"/>
      <c r="BC72" s="25"/>
      <c r="BE72" s="25"/>
    </row>
    <row r="73" spans="4:67" ht="15" customHeight="1" x14ac:dyDescent="0.3">
      <c r="D73" s="100" t="s">
        <v>591</v>
      </c>
      <c r="E73" s="81" t="s">
        <v>592</v>
      </c>
      <c r="F73" s="66"/>
      <c r="G73" s="66"/>
      <c r="H73" s="66"/>
      <c r="I73" s="66"/>
      <c r="J73" s="66"/>
      <c r="K73" s="66"/>
      <c r="L73" s="66"/>
      <c r="N73" s="25"/>
      <c r="O73" s="25"/>
      <c r="Q73" s="91"/>
      <c r="R73" s="95"/>
      <c r="T73" s="91"/>
      <c r="U73" s="92"/>
      <c r="X73" s="25"/>
      <c r="Y73" s="25"/>
      <c r="AA73" s="91"/>
      <c r="AB73" s="95"/>
      <c r="AD73" s="91"/>
      <c r="AE73" s="92"/>
      <c r="AM73" s="47"/>
      <c r="AN73" s="49"/>
      <c r="AO73" s="49"/>
      <c r="AP73" s="49"/>
      <c r="AQ73" s="49"/>
      <c r="AR73" s="67"/>
      <c r="AS73" s="67"/>
      <c r="AT73" s="68"/>
      <c r="AU73" s="55"/>
      <c r="AW73" s="49"/>
      <c r="AX73" s="49"/>
      <c r="AY73" s="49"/>
      <c r="AZ73" s="49"/>
      <c r="BA73" s="49"/>
      <c r="BB73" s="58"/>
      <c r="BC73" s="58"/>
      <c r="BE73" s="25"/>
      <c r="BG73" s="46"/>
    </row>
    <row r="74" spans="4:67" ht="15" customHeight="1" x14ac:dyDescent="0.3">
      <c r="D74" s="81" t="s">
        <v>593</v>
      </c>
      <c r="E74" s="49"/>
      <c r="F74" s="66"/>
      <c r="G74" s="66"/>
      <c r="H74" s="66"/>
      <c r="I74" s="66"/>
      <c r="J74" s="66"/>
      <c r="K74" s="66"/>
      <c r="L74" s="66"/>
      <c r="N74" s="25"/>
      <c r="O74" s="25"/>
      <c r="Q74" s="91"/>
      <c r="R74" s="96"/>
      <c r="T74" s="91"/>
      <c r="U74" s="92"/>
      <c r="X74" s="25"/>
      <c r="Y74" s="25"/>
      <c r="AA74" s="91"/>
      <c r="AB74" s="96"/>
      <c r="AD74" s="91"/>
      <c r="AE74" s="92"/>
      <c r="AN74" s="49"/>
      <c r="AO74" s="49"/>
      <c r="AP74" s="49"/>
      <c r="AQ74" s="49"/>
      <c r="AR74" s="49"/>
      <c r="AS74" s="25"/>
      <c r="AU74" s="25"/>
      <c r="AW74" s="60"/>
      <c r="AX74" s="49"/>
      <c r="AY74" s="49"/>
      <c r="AZ74" s="49"/>
      <c r="BA74" s="49"/>
      <c r="BB74" s="58"/>
      <c r="BC74" s="58"/>
      <c r="BE74" s="25"/>
    </row>
    <row r="75" spans="4:67" ht="15" customHeight="1" x14ac:dyDescent="0.3">
      <c r="D75" s="81" t="s">
        <v>594</v>
      </c>
      <c r="E75" s="49"/>
      <c r="F75" s="66"/>
      <c r="G75" s="66"/>
      <c r="H75" s="66"/>
      <c r="I75" s="66"/>
      <c r="J75" s="66"/>
      <c r="K75" s="66"/>
      <c r="L75" s="66"/>
      <c r="N75" s="25"/>
      <c r="O75" s="25"/>
      <c r="Q75" s="97"/>
      <c r="R75" s="98"/>
      <c r="S75" s="98"/>
      <c r="T75" s="99"/>
      <c r="U75" s="99"/>
      <c r="X75" s="25"/>
      <c r="Y75" s="25"/>
      <c r="AA75" s="97"/>
      <c r="AB75" s="98"/>
      <c r="AC75" s="98"/>
      <c r="AD75" s="99"/>
      <c r="AE75" s="99"/>
      <c r="AM75" s="25"/>
      <c r="AN75" s="25"/>
      <c r="AO75" s="25"/>
      <c r="AP75" s="25"/>
      <c r="AQ75" s="25"/>
      <c r="AR75" s="25"/>
      <c r="AS75" s="25"/>
      <c r="AT75" s="25"/>
      <c r="AU75" s="25"/>
      <c r="AW75" s="47"/>
      <c r="AX75" s="49"/>
      <c r="AY75" s="49"/>
      <c r="AZ75" s="49"/>
      <c r="BA75" s="49"/>
      <c r="BB75" s="58"/>
      <c r="BC75" s="58"/>
      <c r="BE75" s="25"/>
    </row>
    <row r="76" spans="4:67" ht="15" customHeight="1" x14ac:dyDescent="0.3">
      <c r="D76" s="81" t="s">
        <v>595</v>
      </c>
      <c r="F76" s="66"/>
      <c r="G76" s="66"/>
      <c r="H76" s="66"/>
      <c r="I76" s="66"/>
      <c r="J76" s="66"/>
      <c r="K76" s="66"/>
      <c r="L76" s="66"/>
      <c r="O76" s="49"/>
      <c r="P76" s="49"/>
      <c r="Q76" s="49"/>
      <c r="R76" s="49"/>
      <c r="S76" s="25"/>
      <c r="T76" s="25"/>
      <c r="V76" s="25"/>
      <c r="X76" s="47"/>
      <c r="Y76" s="49"/>
      <c r="Z76" s="49"/>
      <c r="AA76" s="49"/>
      <c r="AB76" s="49"/>
      <c r="AC76" s="25"/>
      <c r="AD76" s="25"/>
      <c r="AF76" s="25"/>
      <c r="AM76" s="49"/>
      <c r="AN76" s="49"/>
      <c r="AO76" s="49"/>
      <c r="AP76" s="49"/>
      <c r="AQ76" s="49"/>
      <c r="AR76" s="49"/>
      <c r="AS76" s="25"/>
      <c r="AU76" s="25"/>
      <c r="AW76" s="49"/>
      <c r="AX76" s="49"/>
      <c r="AY76" s="49"/>
      <c r="AZ76" s="49"/>
      <c r="BA76" s="49"/>
      <c r="BB76" s="58"/>
      <c r="BC76" s="58"/>
      <c r="BD76" s="75"/>
      <c r="BE76" s="25"/>
    </row>
    <row r="77" spans="4:67" ht="15" customHeight="1" x14ac:dyDescent="0.3">
      <c r="D77" s="47"/>
      <c r="E77" s="48"/>
      <c r="F77" s="48"/>
      <c r="G77" s="48"/>
      <c r="H77" s="48"/>
      <c r="I77" s="47"/>
      <c r="J77" s="47"/>
      <c r="L77" s="25"/>
      <c r="O77" s="49"/>
      <c r="P77" s="49"/>
      <c r="Q77" s="49"/>
      <c r="R77" s="49"/>
      <c r="S77" s="25"/>
      <c r="T77" s="25"/>
      <c r="V77" s="25"/>
      <c r="X77" s="47"/>
      <c r="Y77" s="49"/>
      <c r="Z77" s="49"/>
      <c r="AA77" s="49"/>
      <c r="AB77" s="49"/>
      <c r="AC77" s="25"/>
      <c r="AD77" s="25"/>
      <c r="AF77" s="25"/>
      <c r="AM77" s="52"/>
      <c r="AN77" s="52"/>
      <c r="AO77" s="52"/>
      <c r="AP77" s="52"/>
      <c r="AQ77" s="52"/>
      <c r="AR77" s="52"/>
      <c r="AS77" s="25"/>
      <c r="AU77" s="25"/>
      <c r="AW77" s="60"/>
      <c r="AX77" s="49"/>
      <c r="AY77" s="49"/>
      <c r="AZ77" s="49"/>
      <c r="BA77" s="49"/>
      <c r="BB77" s="58"/>
      <c r="BC77" s="58"/>
      <c r="BD77" s="75"/>
      <c r="BE77" s="25"/>
      <c r="BG77" s="46"/>
    </row>
    <row r="78" spans="4:67" ht="15" customHeight="1" x14ac:dyDescent="0.3">
      <c r="D78" s="48"/>
      <c r="E78" s="48"/>
      <c r="F78" s="48"/>
      <c r="G78" s="48"/>
      <c r="H78" s="48"/>
      <c r="I78" s="72"/>
      <c r="J78" s="72"/>
      <c r="K78" s="47"/>
      <c r="L78" s="25"/>
      <c r="N78" s="49"/>
      <c r="O78" s="49"/>
      <c r="P78" s="49"/>
      <c r="Q78" s="49"/>
      <c r="R78" s="49"/>
      <c r="S78" s="58"/>
      <c r="T78" s="58"/>
      <c r="V78" s="25"/>
      <c r="X78" s="49"/>
      <c r="Y78" s="49"/>
      <c r="Z78" s="49"/>
      <c r="AA78" s="49"/>
      <c r="AB78" s="49"/>
      <c r="AC78" s="58"/>
      <c r="AD78" s="58"/>
      <c r="AF78" s="25"/>
      <c r="AW78" s="63"/>
      <c r="AX78" s="63"/>
      <c r="AY78" s="60"/>
      <c r="AZ78" s="60"/>
      <c r="BA78" s="60"/>
      <c r="BB78" s="92"/>
      <c r="BC78" s="67"/>
      <c r="BD78" s="68"/>
      <c r="BE78" s="55"/>
      <c r="BH78" s="41"/>
      <c r="BI78" s="41"/>
      <c r="BJ78" s="41"/>
      <c r="BK78" s="41"/>
      <c r="BL78" s="41"/>
      <c r="BM78" s="41"/>
      <c r="BN78" s="41"/>
      <c r="BO78" s="41"/>
    </row>
    <row r="79" spans="4:67" ht="15" customHeight="1" x14ac:dyDescent="0.3">
      <c r="D79" s="49"/>
      <c r="E79" s="49"/>
      <c r="F79" s="49"/>
      <c r="G79" s="49"/>
      <c r="H79" s="49"/>
      <c r="I79" s="49"/>
      <c r="J79" s="83"/>
      <c r="K79" s="83"/>
      <c r="L79" s="25"/>
      <c r="N79" s="60"/>
      <c r="O79" s="49"/>
      <c r="P79" s="49"/>
      <c r="Q79" s="49"/>
      <c r="R79" s="49"/>
      <c r="S79" s="58"/>
      <c r="T79" s="58"/>
      <c r="V79" s="25"/>
      <c r="X79" s="60"/>
      <c r="Y79" s="49"/>
      <c r="Z79" s="49"/>
      <c r="AA79" s="49"/>
      <c r="AB79" s="49"/>
      <c r="AC79" s="58"/>
      <c r="AD79" s="58"/>
      <c r="AF79" s="25"/>
      <c r="AM79" s="25"/>
      <c r="AN79" s="25"/>
      <c r="AO79" s="25"/>
      <c r="AP79" s="25"/>
      <c r="AQ79" s="25"/>
      <c r="AR79" s="25"/>
      <c r="AS79" s="25"/>
      <c r="AT79" s="25"/>
      <c r="AU79" s="25"/>
      <c r="AW79" s="72"/>
      <c r="AX79" s="60"/>
      <c r="AY79" s="60"/>
      <c r="AZ79" s="60"/>
      <c r="BA79" s="60"/>
      <c r="BB79" s="92"/>
      <c r="BC79" s="67"/>
      <c r="BD79" s="68"/>
      <c r="BE79" s="55"/>
      <c r="BH79" s="25"/>
      <c r="BI79" s="25"/>
      <c r="BJ79" s="25"/>
      <c r="BK79" s="25"/>
      <c r="BL79" s="25"/>
      <c r="BM79" s="25"/>
      <c r="BN79" s="25"/>
      <c r="BO79" s="25"/>
    </row>
    <row r="80" spans="4:67" ht="15" customHeight="1" x14ac:dyDescent="0.3">
      <c r="D80" s="49"/>
      <c r="E80" s="49"/>
      <c r="F80" s="49"/>
      <c r="G80" s="49"/>
      <c r="H80" s="49"/>
      <c r="I80" s="49"/>
      <c r="J80" s="25"/>
      <c r="L80" s="25"/>
      <c r="O80" s="49"/>
      <c r="P80" s="49"/>
      <c r="Q80" s="49"/>
      <c r="R80" s="49"/>
      <c r="S80" s="58"/>
      <c r="T80" s="58"/>
      <c r="V80" s="25"/>
      <c r="X80" s="47"/>
      <c r="Y80" s="49"/>
      <c r="Z80" s="49"/>
      <c r="AA80" s="49"/>
      <c r="AB80" s="49"/>
      <c r="AC80" s="58"/>
      <c r="AD80" s="58"/>
      <c r="AF80" s="25"/>
      <c r="AM80" s="47"/>
      <c r="AN80" s="48"/>
      <c r="AO80" s="48"/>
      <c r="AP80" s="48"/>
      <c r="AQ80" s="48"/>
      <c r="AR80" s="25"/>
      <c r="AS80" s="25"/>
      <c r="AU80" s="25"/>
      <c r="AW80" s="72"/>
      <c r="AX80" s="72"/>
      <c r="AY80" s="72"/>
      <c r="AZ80" s="72"/>
      <c r="BA80" s="72"/>
      <c r="BB80" s="72"/>
      <c r="BC80" s="72"/>
      <c r="BD80" s="72"/>
      <c r="BE80" s="72"/>
      <c r="BG80" s="25"/>
      <c r="BH80" s="25"/>
      <c r="BI80" s="25"/>
      <c r="BJ80" s="25"/>
      <c r="BK80" s="25"/>
      <c r="BL80" s="25"/>
      <c r="BM80" s="25"/>
      <c r="BN80" s="25"/>
      <c r="BO80" s="25"/>
    </row>
    <row r="81" spans="4:75" ht="15" customHeight="1" x14ac:dyDescent="0.3">
      <c r="D81" s="49"/>
      <c r="E81" s="49"/>
      <c r="F81" s="49"/>
      <c r="G81" s="49"/>
      <c r="H81" s="49"/>
      <c r="I81" s="49"/>
      <c r="J81" s="25"/>
      <c r="L81" s="25"/>
      <c r="N81" s="60"/>
      <c r="O81" s="49"/>
      <c r="P81" s="49"/>
      <c r="Q81" s="49"/>
      <c r="R81" s="49"/>
      <c r="S81" s="58"/>
      <c r="T81" s="58"/>
      <c r="V81" s="25"/>
      <c r="X81" s="60"/>
      <c r="Y81" s="49"/>
      <c r="Z81" s="49"/>
      <c r="AA81" s="49"/>
      <c r="AB81" s="49"/>
      <c r="AC81" s="58"/>
      <c r="AD81" s="58"/>
      <c r="AF81" s="25"/>
      <c r="AM81" s="47"/>
      <c r="AN81" s="49"/>
      <c r="AO81" s="49"/>
      <c r="AP81" s="49"/>
      <c r="AQ81" s="49"/>
      <c r="AR81" s="47"/>
      <c r="AS81" s="47"/>
      <c r="AT81" s="47"/>
      <c r="AU81" s="25"/>
      <c r="AW81" s="25"/>
      <c r="AX81" s="25"/>
      <c r="AY81" s="25"/>
      <c r="AZ81" s="25"/>
      <c r="BA81" s="25"/>
      <c r="BB81" s="25"/>
      <c r="BC81" s="25"/>
      <c r="BD81" s="25"/>
      <c r="BE81" s="25"/>
      <c r="BG81" s="272"/>
      <c r="BH81" s="272"/>
      <c r="BI81" s="272"/>
      <c r="BJ81" s="272"/>
      <c r="BK81" s="272"/>
      <c r="BL81" s="272"/>
      <c r="BM81" s="272"/>
      <c r="BN81" s="272"/>
      <c r="BO81" s="272"/>
    </row>
    <row r="82" spans="4:75" ht="15" customHeight="1" x14ac:dyDescent="0.3">
      <c r="D82" s="49"/>
      <c r="E82" s="49"/>
      <c r="F82" s="49"/>
      <c r="G82" s="49"/>
      <c r="H82" s="49"/>
      <c r="I82" s="49"/>
      <c r="J82" s="58"/>
      <c r="K82" s="46"/>
      <c r="L82" s="25"/>
      <c r="N82" s="60"/>
      <c r="O82" s="49"/>
      <c r="P82" s="49"/>
      <c r="Q82" s="49"/>
      <c r="R82" s="49"/>
      <c r="S82" s="58"/>
      <c r="T82" s="58"/>
      <c r="V82" s="55"/>
      <c r="X82" s="60"/>
      <c r="Y82" s="49"/>
      <c r="Z82" s="49"/>
      <c r="AA82" s="49"/>
      <c r="AB82" s="49"/>
      <c r="AC82" s="58"/>
      <c r="AD82" s="58"/>
      <c r="AF82" s="55"/>
      <c r="AM82" s="25"/>
      <c r="AN82" s="49"/>
      <c r="AO82" s="49"/>
      <c r="AP82" s="49"/>
      <c r="AQ82" s="49"/>
      <c r="AR82" s="25"/>
      <c r="AS82" s="25"/>
      <c r="AT82" s="25"/>
      <c r="AU82" s="25"/>
      <c r="AW82" s="49"/>
      <c r="AX82" s="49"/>
      <c r="AY82" s="49"/>
      <c r="AZ82" s="49"/>
      <c r="BA82" s="49"/>
      <c r="BB82" s="49"/>
      <c r="BC82" s="25"/>
      <c r="BE82" s="25"/>
      <c r="BG82" s="25"/>
      <c r="BH82" s="49"/>
      <c r="BI82" s="49"/>
      <c r="BJ82" s="49"/>
      <c r="BK82" s="49"/>
      <c r="BL82" s="49"/>
      <c r="BM82" s="83"/>
      <c r="BO82" s="25"/>
    </row>
    <row r="83" spans="4:75" ht="15" customHeight="1" x14ac:dyDescent="0.3">
      <c r="D83" s="49"/>
      <c r="E83" s="49"/>
      <c r="F83" s="49"/>
      <c r="G83" s="49"/>
      <c r="H83" s="49"/>
      <c r="I83" s="49"/>
      <c r="J83" s="55"/>
      <c r="L83" s="55"/>
      <c r="N83" s="63"/>
      <c r="O83" s="63"/>
      <c r="P83" s="60"/>
      <c r="Q83" s="60"/>
      <c r="R83" s="60"/>
      <c r="S83" s="92"/>
      <c r="T83" s="67"/>
      <c r="U83" s="68"/>
      <c r="V83" s="55"/>
      <c r="X83" s="63"/>
      <c r="Y83" s="63"/>
      <c r="Z83" s="60"/>
      <c r="AA83" s="60"/>
      <c r="AB83" s="60"/>
      <c r="AC83" s="92"/>
      <c r="AD83" s="67"/>
      <c r="AE83" s="68"/>
      <c r="AF83" s="55"/>
      <c r="AH83" s="39"/>
      <c r="AK83" s="39"/>
      <c r="AM83" s="47"/>
      <c r="AN83" s="49"/>
      <c r="AO83" s="49"/>
      <c r="AP83" s="49"/>
      <c r="AQ83" s="49"/>
      <c r="AR83" s="25"/>
      <c r="AS83" s="25"/>
      <c r="AU83" s="25"/>
      <c r="AW83" s="47"/>
      <c r="AX83" s="48"/>
      <c r="AY83" s="48"/>
      <c r="AZ83" s="48"/>
      <c r="BA83" s="48"/>
      <c r="BB83" s="25"/>
      <c r="BC83" s="25"/>
      <c r="BE83" s="25"/>
      <c r="BG83" s="25"/>
      <c r="BH83" s="49"/>
      <c r="BI83" s="49"/>
      <c r="BJ83" s="49"/>
      <c r="BK83" s="49"/>
      <c r="BL83" s="49"/>
      <c r="BM83" s="25"/>
      <c r="BO83" s="25"/>
    </row>
    <row r="84" spans="4:75" ht="15" customHeight="1" x14ac:dyDescent="0.3">
      <c r="D84" s="60"/>
      <c r="E84" s="60"/>
      <c r="F84" s="60"/>
      <c r="G84" s="60"/>
      <c r="H84" s="60"/>
      <c r="I84" s="60"/>
      <c r="J84" s="55"/>
      <c r="L84" s="25"/>
      <c r="N84" s="72"/>
      <c r="O84" s="60"/>
      <c r="P84" s="60"/>
      <c r="Q84" s="60"/>
      <c r="R84" s="60"/>
      <c r="S84" s="92"/>
      <c r="T84" s="67"/>
      <c r="U84" s="68"/>
      <c r="V84" s="55"/>
      <c r="X84" s="72"/>
      <c r="Y84" s="60"/>
      <c r="Z84" s="60"/>
      <c r="AA84" s="60"/>
      <c r="AB84" s="60"/>
      <c r="AC84" s="92"/>
      <c r="AD84" s="67"/>
      <c r="AE84" s="68"/>
      <c r="AF84" s="55"/>
      <c r="AH84" s="39"/>
      <c r="AK84" s="39"/>
      <c r="AN84" s="49"/>
      <c r="AO84" s="49"/>
      <c r="AP84" s="49"/>
      <c r="AQ84" s="49"/>
      <c r="AR84" s="25"/>
      <c r="AS84" s="25"/>
      <c r="AU84" s="25"/>
      <c r="AW84" s="47"/>
      <c r="AX84" s="48"/>
      <c r="AY84" s="48"/>
      <c r="AZ84" s="48"/>
      <c r="BA84" s="48"/>
      <c r="BB84" s="49"/>
      <c r="BC84" s="25"/>
      <c r="BE84" s="25"/>
      <c r="BH84" s="49"/>
      <c r="BI84" s="49"/>
      <c r="BJ84" s="49"/>
      <c r="BK84" s="49"/>
      <c r="BL84" s="49"/>
      <c r="BM84" s="25"/>
      <c r="BP84" s="25"/>
      <c r="BQ84" s="41"/>
      <c r="BR84" s="41"/>
      <c r="BS84" s="41"/>
      <c r="BT84" s="41"/>
      <c r="BU84" s="41"/>
      <c r="BV84" s="41"/>
      <c r="BW84" s="41"/>
    </row>
    <row r="85" spans="4:75" ht="15" customHeight="1" x14ac:dyDescent="0.3">
      <c r="D85" s="49"/>
      <c r="E85" s="49"/>
      <c r="F85" s="49"/>
      <c r="G85" s="49"/>
      <c r="H85" s="49"/>
      <c r="I85" s="49"/>
      <c r="J85" s="25"/>
      <c r="L85" s="25"/>
      <c r="N85" s="72"/>
      <c r="O85" s="60"/>
      <c r="P85" s="60"/>
      <c r="Q85" s="60"/>
      <c r="R85" s="60"/>
      <c r="S85" s="92"/>
      <c r="T85" s="67"/>
      <c r="U85" s="68"/>
      <c r="V85" s="55"/>
      <c r="X85" s="72"/>
      <c r="Y85" s="60"/>
      <c r="Z85" s="60"/>
      <c r="AA85" s="60"/>
      <c r="AB85" s="60"/>
      <c r="AC85" s="92"/>
      <c r="AD85" s="67"/>
      <c r="AE85" s="68"/>
      <c r="AF85" s="55"/>
      <c r="AH85" s="39"/>
      <c r="AK85" s="39"/>
      <c r="AM85" s="47"/>
      <c r="AN85" s="49"/>
      <c r="AO85" s="49"/>
      <c r="AP85" s="49"/>
      <c r="AQ85" s="49"/>
      <c r="AR85" s="25"/>
      <c r="AS85" s="25"/>
      <c r="AU85" s="25"/>
      <c r="AW85" s="49"/>
      <c r="AX85" s="49"/>
      <c r="AY85" s="49"/>
      <c r="AZ85" s="49"/>
      <c r="BA85" s="49"/>
      <c r="BB85" s="49"/>
      <c r="BC85" s="83"/>
      <c r="BD85" s="83"/>
      <c r="BE85" s="25"/>
      <c r="BH85" s="49"/>
      <c r="BI85" s="49"/>
      <c r="BJ85" s="49"/>
      <c r="BK85" s="49"/>
      <c r="BL85" s="49"/>
      <c r="BM85" s="25"/>
      <c r="BP85" s="25"/>
      <c r="BQ85" s="41"/>
      <c r="BR85" s="41"/>
      <c r="BS85" s="41"/>
      <c r="BT85" s="41"/>
      <c r="BU85" s="41"/>
      <c r="BV85" s="41"/>
      <c r="BW85" s="41"/>
    </row>
    <row r="86" spans="4:75" ht="15" customHeight="1" x14ac:dyDescent="0.3">
      <c r="D86" s="49"/>
      <c r="E86" s="49"/>
      <c r="F86" s="49"/>
      <c r="G86" s="49"/>
      <c r="H86" s="49"/>
      <c r="I86" s="49"/>
      <c r="J86" s="25"/>
      <c r="L86" s="25"/>
      <c r="O86" s="49"/>
      <c r="P86" s="49"/>
      <c r="Q86" s="49"/>
      <c r="R86" s="49"/>
      <c r="S86" s="92"/>
      <c r="T86" s="67"/>
      <c r="U86" s="68"/>
      <c r="V86" s="55"/>
      <c r="X86" s="47"/>
      <c r="Y86" s="49"/>
      <c r="Z86" s="49"/>
      <c r="AA86" s="49"/>
      <c r="AB86" s="49"/>
      <c r="AC86" s="92"/>
      <c r="AD86" s="67"/>
      <c r="AE86" s="68"/>
      <c r="AF86" s="55"/>
      <c r="AH86" s="39"/>
      <c r="AK86" s="39"/>
      <c r="AM86" s="47"/>
      <c r="AN86" s="49"/>
      <c r="AO86" s="49"/>
      <c r="AP86" s="49"/>
      <c r="AQ86" s="49"/>
      <c r="AR86" s="25"/>
      <c r="AS86" s="25"/>
      <c r="AU86" s="25"/>
      <c r="AW86" s="49"/>
      <c r="AX86" s="49"/>
      <c r="AY86" s="49"/>
      <c r="AZ86" s="49"/>
      <c r="BA86" s="49"/>
      <c r="BB86" s="49"/>
      <c r="BC86" s="55"/>
      <c r="BE86" s="55"/>
      <c r="BH86" s="49"/>
      <c r="BI86" s="49"/>
      <c r="BJ86" s="49"/>
      <c r="BK86" s="49"/>
      <c r="BL86" s="49"/>
      <c r="BM86" s="272"/>
      <c r="BN86" s="272"/>
      <c r="BP86" s="25"/>
    </row>
    <row r="87" spans="4:75" ht="15" customHeight="1" x14ac:dyDescent="0.3">
      <c r="D87" s="72"/>
      <c r="E87" s="72"/>
      <c r="F87" s="72"/>
      <c r="G87" s="72"/>
      <c r="H87" s="72"/>
      <c r="I87" s="72"/>
      <c r="J87" s="72"/>
      <c r="K87" s="72"/>
      <c r="L87" s="72"/>
      <c r="O87" s="49"/>
      <c r="P87" s="49"/>
      <c r="Q87" s="49"/>
      <c r="R87" s="49"/>
      <c r="S87" s="92"/>
      <c r="T87" s="67"/>
      <c r="U87" s="68"/>
      <c r="V87" s="55"/>
      <c r="X87" s="47"/>
      <c r="Y87" s="49"/>
      <c r="Z87" s="49"/>
      <c r="AA87" s="49"/>
      <c r="AB87" s="49"/>
      <c r="AC87" s="92"/>
      <c r="AD87" s="67"/>
      <c r="AE87" s="68"/>
      <c r="AF87" s="55"/>
      <c r="AH87" s="39"/>
      <c r="AK87" s="39"/>
      <c r="AM87" s="47"/>
      <c r="AN87" s="49"/>
      <c r="AO87" s="49"/>
      <c r="AP87" s="49"/>
      <c r="AQ87" s="49"/>
      <c r="AR87" s="25"/>
      <c r="AS87" s="25"/>
      <c r="AU87" s="25"/>
      <c r="AW87" s="60"/>
      <c r="AX87" s="60"/>
      <c r="AY87" s="60"/>
      <c r="AZ87" s="60"/>
      <c r="BA87" s="60"/>
      <c r="BB87" s="60"/>
      <c r="BC87" s="55"/>
      <c r="BE87" s="25"/>
      <c r="BH87" s="49"/>
      <c r="BI87" s="49"/>
      <c r="BJ87" s="49"/>
      <c r="BK87" s="49"/>
      <c r="BL87" s="49"/>
      <c r="BM87" s="25"/>
      <c r="BP87" s="25"/>
    </row>
    <row r="88" spans="4:75" ht="15" customHeight="1" x14ac:dyDescent="0.3">
      <c r="D88" s="25"/>
      <c r="E88" s="25"/>
      <c r="G88" s="91"/>
      <c r="H88" s="92"/>
      <c r="J88" s="91"/>
      <c r="K88" s="92"/>
      <c r="O88" s="49"/>
      <c r="P88" s="49"/>
      <c r="Q88" s="49"/>
      <c r="R88" s="49"/>
      <c r="S88" s="58"/>
      <c r="T88" s="58"/>
      <c r="U88" s="68"/>
      <c r="V88" s="25"/>
      <c r="X88" s="47"/>
      <c r="Y88" s="49"/>
      <c r="Z88" s="49"/>
      <c r="AA88" s="49"/>
      <c r="AB88" s="49"/>
      <c r="AC88" s="58"/>
      <c r="AD88" s="58"/>
      <c r="AE88" s="68"/>
      <c r="AF88" s="25"/>
      <c r="AH88" s="39"/>
      <c r="AK88" s="39"/>
      <c r="AM88" s="49"/>
      <c r="AN88" s="49"/>
      <c r="AO88" s="49"/>
      <c r="AP88" s="49"/>
      <c r="AQ88" s="49"/>
      <c r="AR88" s="58"/>
      <c r="AS88" s="58"/>
      <c r="AU88" s="25"/>
      <c r="AW88" s="49"/>
      <c r="AX88" s="49"/>
      <c r="AY88" s="49"/>
      <c r="AZ88" s="49"/>
      <c r="BA88" s="49"/>
      <c r="BB88" s="49"/>
      <c r="BC88" s="25"/>
      <c r="BE88" s="25"/>
      <c r="BH88" s="49"/>
      <c r="BI88" s="49"/>
      <c r="BJ88" s="49"/>
      <c r="BK88" s="49"/>
      <c r="BL88" s="49"/>
      <c r="BM88" s="272"/>
      <c r="BN88" s="272"/>
      <c r="BP88" s="25"/>
    </row>
    <row r="89" spans="4:75" ht="15" customHeight="1" x14ac:dyDescent="0.3">
      <c r="D89" s="93"/>
      <c r="E89" s="25"/>
      <c r="G89" s="91"/>
      <c r="H89" s="92"/>
      <c r="J89" s="91"/>
      <c r="K89" s="92"/>
      <c r="O89" s="49"/>
      <c r="P89" s="49"/>
      <c r="Q89" s="49"/>
      <c r="R89" s="49"/>
      <c r="S89" s="49"/>
      <c r="T89" s="58"/>
      <c r="V89" s="25"/>
      <c r="X89" s="47"/>
      <c r="Y89" s="49"/>
      <c r="Z89" s="49"/>
      <c r="AA89" s="49"/>
      <c r="AB89" s="49"/>
      <c r="AC89" s="49"/>
      <c r="AD89" s="58"/>
      <c r="AF89" s="25"/>
      <c r="AH89" s="39"/>
      <c r="AK89" s="39"/>
      <c r="AM89" s="60"/>
      <c r="AN89" s="49"/>
      <c r="AO89" s="49"/>
      <c r="AP89" s="49"/>
      <c r="AQ89" s="49"/>
      <c r="AR89" s="58"/>
      <c r="AS89" s="58"/>
      <c r="AU89" s="25"/>
      <c r="AW89" s="49"/>
      <c r="AX89" s="49"/>
      <c r="AY89" s="49"/>
      <c r="AZ89" s="49"/>
      <c r="BA89" s="49"/>
      <c r="BB89" s="49"/>
      <c r="BC89" s="25"/>
      <c r="BE89" s="25"/>
      <c r="BG89" s="296"/>
      <c r="BH89" s="296"/>
      <c r="BI89" s="296"/>
      <c r="BJ89" s="296"/>
      <c r="BK89" s="296"/>
      <c r="BL89" s="296"/>
      <c r="BM89" s="296"/>
      <c r="BN89" s="296"/>
      <c r="BO89" s="25"/>
      <c r="BP89" s="25"/>
    </row>
    <row r="90" spans="4:75" ht="15" customHeight="1" x14ac:dyDescent="0.3">
      <c r="D90" s="93"/>
      <c r="E90" s="25"/>
      <c r="G90" s="91"/>
      <c r="H90" s="55"/>
      <c r="J90" s="91"/>
      <c r="K90" s="92"/>
      <c r="X90" s="47"/>
      <c r="Y90" s="46"/>
      <c r="AH90" s="39"/>
      <c r="AK90" s="39"/>
      <c r="AM90" s="47"/>
      <c r="AN90" s="49"/>
      <c r="AO90" s="49"/>
      <c r="AP90" s="49"/>
      <c r="AQ90" s="49"/>
      <c r="AR90" s="58"/>
      <c r="AS90" s="58"/>
      <c r="AU90" s="25"/>
      <c r="AW90" s="72"/>
      <c r="AX90" s="72"/>
      <c r="AY90" s="72"/>
      <c r="AZ90" s="72"/>
      <c r="BA90" s="72"/>
      <c r="BB90" s="72"/>
      <c r="BC90" s="72"/>
      <c r="BD90" s="72"/>
      <c r="BE90" s="72"/>
      <c r="BG90" s="293"/>
      <c r="BH90" s="293"/>
      <c r="BI90" s="293"/>
      <c r="BJ90" s="293"/>
      <c r="BK90" s="293"/>
      <c r="BL90" s="293"/>
      <c r="BM90" s="293"/>
      <c r="BN90" s="293"/>
      <c r="BO90" s="293"/>
      <c r="BP90" s="25"/>
    </row>
    <row r="91" spans="4:75" ht="15" customHeight="1" x14ac:dyDescent="0.3">
      <c r="D91" s="25"/>
      <c r="E91" s="25"/>
      <c r="G91" s="91"/>
      <c r="H91" s="95"/>
      <c r="J91" s="91"/>
      <c r="K91" s="92"/>
      <c r="X91" s="25"/>
      <c r="Y91" s="25"/>
      <c r="Z91" s="25"/>
      <c r="AA91" s="25"/>
      <c r="AB91" s="25"/>
      <c r="AC91" s="25"/>
      <c r="AD91" s="25"/>
      <c r="AE91" s="25"/>
      <c r="AF91" s="25"/>
      <c r="AH91" s="39"/>
      <c r="AK91" s="39"/>
      <c r="AM91" s="60"/>
      <c r="AN91" s="49"/>
      <c r="AO91" s="49"/>
      <c r="AP91" s="49"/>
      <c r="AQ91" s="49"/>
      <c r="AR91" s="58"/>
      <c r="AS91" s="58"/>
      <c r="AU91" s="25"/>
      <c r="AW91" s="25"/>
      <c r="AX91" s="25"/>
      <c r="AZ91" s="91"/>
      <c r="BA91" s="92"/>
      <c r="BC91" s="91"/>
      <c r="BD91" s="92"/>
      <c r="BG91" s="272"/>
      <c r="BH91" s="272"/>
      <c r="BI91" s="272"/>
      <c r="BJ91" s="272"/>
      <c r="BK91" s="272"/>
      <c r="BL91" s="272"/>
      <c r="BM91" s="272"/>
      <c r="BN91" s="272"/>
      <c r="BO91" s="272"/>
      <c r="BP91" s="25"/>
    </row>
    <row r="92" spans="4:75" ht="15" customHeight="1" x14ac:dyDescent="0.3">
      <c r="D92" s="25"/>
      <c r="E92" s="25"/>
      <c r="G92" s="91"/>
      <c r="H92" s="96"/>
      <c r="J92" s="91"/>
      <c r="K92" s="92"/>
      <c r="X92" s="47"/>
      <c r="Y92" s="48"/>
      <c r="Z92" s="48"/>
      <c r="AA92" s="48"/>
      <c r="AB92" s="48"/>
      <c r="AC92" s="25"/>
      <c r="AD92" s="25"/>
      <c r="AF92" s="25"/>
      <c r="AH92" s="39"/>
      <c r="AK92" s="39"/>
      <c r="AM92" s="63"/>
      <c r="AN92" s="63"/>
      <c r="AO92" s="60"/>
      <c r="AP92" s="60"/>
      <c r="AQ92" s="60"/>
      <c r="AR92" s="67"/>
      <c r="AS92" s="67"/>
      <c r="AT92" s="68"/>
      <c r="AU92" s="55"/>
      <c r="AW92" s="93"/>
      <c r="AX92" s="25"/>
      <c r="AZ92" s="91"/>
      <c r="BA92" s="92"/>
      <c r="BC92" s="91"/>
      <c r="BD92" s="92"/>
      <c r="BG92" s="25"/>
      <c r="BM92" s="25"/>
      <c r="BO92" s="25"/>
      <c r="BP92" s="25"/>
    </row>
    <row r="93" spans="4:75" ht="15" customHeight="1" x14ac:dyDescent="0.3">
      <c r="D93" s="25"/>
      <c r="E93" s="25"/>
      <c r="G93" s="97"/>
      <c r="H93" s="98"/>
      <c r="I93" s="98"/>
      <c r="J93" s="99"/>
      <c r="K93" s="99"/>
      <c r="X93" s="47"/>
      <c r="Y93" s="49"/>
      <c r="Z93" s="49"/>
      <c r="AA93" s="49"/>
      <c r="AB93" s="49"/>
      <c r="AC93" s="47"/>
      <c r="AD93" s="47"/>
      <c r="AE93" s="47"/>
      <c r="AF93" s="25"/>
      <c r="AH93" s="39"/>
      <c r="AK93" s="39"/>
      <c r="AM93" s="72"/>
      <c r="AN93" s="60"/>
      <c r="AO93" s="60"/>
      <c r="AP93" s="60"/>
      <c r="AQ93" s="60"/>
      <c r="AR93" s="67"/>
      <c r="AS93" s="67"/>
      <c r="AT93" s="68"/>
      <c r="AU93" s="55"/>
      <c r="AW93" s="93"/>
      <c r="AX93" s="25"/>
      <c r="AZ93" s="91"/>
      <c r="BA93" s="55"/>
      <c r="BC93" s="91"/>
      <c r="BD93" s="92"/>
      <c r="BG93" s="25"/>
      <c r="BM93" s="25"/>
      <c r="BO93" s="25"/>
      <c r="BP93" s="25"/>
    </row>
    <row r="94" spans="4:75" ht="15" customHeight="1" x14ac:dyDescent="0.3">
      <c r="D94" s="47"/>
      <c r="E94" s="49"/>
      <c r="F94" s="49"/>
      <c r="G94" s="49"/>
      <c r="H94" s="49"/>
      <c r="I94" s="25"/>
      <c r="J94" s="25"/>
      <c r="L94" s="25"/>
      <c r="X94" s="25"/>
      <c r="Y94" s="49"/>
      <c r="Z94" s="49"/>
      <c r="AA94" s="49"/>
      <c r="AB94" s="49"/>
      <c r="AC94" s="25"/>
      <c r="AD94" s="83"/>
      <c r="AE94" s="83"/>
      <c r="AF94" s="25"/>
      <c r="AH94" s="39"/>
      <c r="AK94" s="39"/>
      <c r="AM94" s="72"/>
      <c r="AN94" s="60"/>
      <c r="AO94" s="60"/>
      <c r="AP94" s="60"/>
      <c r="AQ94" s="60"/>
      <c r="AR94" s="67"/>
      <c r="AS94" s="67"/>
      <c r="AT94" s="68"/>
      <c r="AU94" s="55"/>
      <c r="AW94" s="25"/>
      <c r="AX94" s="25"/>
      <c r="AZ94" s="91"/>
      <c r="BA94" s="95"/>
      <c r="BC94" s="91"/>
      <c r="BD94" s="92"/>
      <c r="BG94" s="25"/>
      <c r="BM94" s="25"/>
      <c r="BO94" s="25"/>
      <c r="BP94" s="25"/>
    </row>
    <row r="95" spans="4:75" ht="15" customHeight="1" x14ac:dyDescent="0.3">
      <c r="D95" s="47"/>
      <c r="E95" s="49"/>
      <c r="F95" s="49"/>
      <c r="G95" s="49"/>
      <c r="H95" s="49"/>
      <c r="I95" s="25"/>
      <c r="J95" s="25"/>
      <c r="L95" s="25"/>
      <c r="X95" s="47"/>
      <c r="Y95" s="49"/>
      <c r="Z95" s="49"/>
      <c r="AA95" s="49"/>
      <c r="AB95" s="49"/>
      <c r="AC95" s="25"/>
      <c r="AD95" s="25"/>
      <c r="AF95" s="25"/>
      <c r="AH95" s="39"/>
      <c r="AK95" s="39"/>
      <c r="AM95" s="47"/>
      <c r="AN95" s="49"/>
      <c r="AO95" s="49"/>
      <c r="AP95" s="49"/>
      <c r="AQ95" s="49"/>
      <c r="AR95" s="67"/>
      <c r="AS95" s="67"/>
      <c r="AT95" s="68"/>
      <c r="AU95" s="55"/>
      <c r="AW95" s="25"/>
      <c r="AX95" s="25"/>
      <c r="AZ95" s="91"/>
      <c r="BA95" s="96"/>
      <c r="BC95" s="91"/>
      <c r="BD95" s="92"/>
      <c r="BG95" s="25"/>
      <c r="BL95" s="49"/>
      <c r="BM95" s="25"/>
      <c r="BO95" s="25"/>
      <c r="BP95" s="25"/>
    </row>
    <row r="96" spans="4:75" ht="15" customHeight="1" x14ac:dyDescent="0.3">
      <c r="D96" s="49"/>
      <c r="E96" s="49"/>
      <c r="F96" s="49"/>
      <c r="G96" s="49"/>
      <c r="H96" s="49"/>
      <c r="I96" s="58"/>
      <c r="J96" s="58"/>
      <c r="L96" s="25"/>
      <c r="Y96" s="49"/>
      <c r="Z96" s="49"/>
      <c r="AA96" s="49"/>
      <c r="AB96" s="49"/>
      <c r="AC96" s="25"/>
      <c r="AD96" s="25"/>
      <c r="AF96" s="25"/>
      <c r="AH96" s="39"/>
      <c r="AK96" s="39"/>
      <c r="AM96" s="47"/>
      <c r="AN96" s="49"/>
      <c r="AO96" s="49"/>
      <c r="AP96" s="49"/>
      <c r="AQ96" s="49"/>
      <c r="AR96" s="67"/>
      <c r="AS96" s="67"/>
      <c r="AT96" s="68"/>
      <c r="AU96" s="55"/>
      <c r="AW96" s="25"/>
      <c r="AX96" s="25"/>
      <c r="AZ96" s="97"/>
      <c r="BA96" s="98"/>
      <c r="BB96" s="98"/>
      <c r="BC96" s="99"/>
      <c r="BD96" s="99"/>
      <c r="BL96" s="49"/>
      <c r="BM96" s="272"/>
      <c r="BN96" s="272"/>
      <c r="BO96" s="25"/>
      <c r="BP96" s="25"/>
    </row>
    <row r="97" spans="4:68" ht="15" customHeight="1" x14ac:dyDescent="0.3">
      <c r="D97" s="60"/>
      <c r="E97" s="49"/>
      <c r="F97" s="49"/>
      <c r="G97" s="49"/>
      <c r="H97" s="49"/>
      <c r="I97" s="58"/>
      <c r="J97" s="58"/>
      <c r="L97" s="25"/>
      <c r="X97" s="47"/>
      <c r="Y97" s="49"/>
      <c r="Z97" s="49"/>
      <c r="AA97" s="49"/>
      <c r="AB97" s="49"/>
      <c r="AC97" s="25"/>
      <c r="AD97" s="25"/>
      <c r="AF97" s="25"/>
      <c r="AH97" s="39"/>
      <c r="AK97" s="39"/>
      <c r="AW97" s="47"/>
      <c r="AX97" s="49"/>
      <c r="AY97" s="49"/>
      <c r="AZ97" s="49"/>
      <c r="BA97" s="49"/>
      <c r="BB97" s="25"/>
      <c r="BC97" s="25"/>
      <c r="BE97" s="25"/>
      <c r="BH97" s="47"/>
      <c r="BI97" s="289"/>
      <c r="BJ97" s="289"/>
      <c r="BK97" s="289"/>
      <c r="BL97" s="289"/>
      <c r="BM97" s="58"/>
      <c r="BO97" s="25"/>
      <c r="BP97" s="25"/>
    </row>
    <row r="98" spans="4:68" ht="15" customHeight="1" x14ac:dyDescent="0.3">
      <c r="D98" s="47"/>
      <c r="E98" s="49"/>
      <c r="F98" s="49"/>
      <c r="G98" s="49"/>
      <c r="H98" s="49"/>
      <c r="I98" s="58"/>
      <c r="J98" s="58"/>
      <c r="L98" s="25"/>
      <c r="X98" s="47"/>
      <c r="Y98" s="49"/>
      <c r="Z98" s="49"/>
      <c r="AA98" s="49"/>
      <c r="AB98" s="49"/>
      <c r="AC98" s="25"/>
      <c r="AD98" s="25"/>
      <c r="AF98" s="25"/>
      <c r="AH98" s="39"/>
      <c r="AK98" s="39"/>
      <c r="AW98" s="49"/>
      <c r="AX98" s="49"/>
      <c r="AY98" s="49"/>
      <c r="AZ98" s="49"/>
      <c r="BA98" s="49"/>
      <c r="BB98" s="58"/>
      <c r="BC98" s="58"/>
      <c r="BE98" s="25"/>
      <c r="BG98" s="101"/>
      <c r="BH98" s="289"/>
      <c r="BI98" s="289"/>
      <c r="BJ98" s="289"/>
      <c r="BK98" s="289"/>
      <c r="BL98" s="289"/>
      <c r="BM98" s="58"/>
      <c r="BO98" s="25"/>
      <c r="BP98" s="25"/>
    </row>
    <row r="99" spans="4:68" ht="15" customHeight="1" x14ac:dyDescent="0.3">
      <c r="D99" s="60"/>
      <c r="E99" s="49"/>
      <c r="F99" s="49"/>
      <c r="G99" s="49"/>
      <c r="H99" s="49"/>
      <c r="I99" s="58"/>
      <c r="J99" s="58"/>
      <c r="L99" s="25"/>
      <c r="X99" s="47"/>
      <c r="Y99" s="49"/>
      <c r="Z99" s="49"/>
      <c r="AA99" s="49"/>
      <c r="AB99" s="49"/>
      <c r="AC99" s="25"/>
      <c r="AD99" s="25"/>
      <c r="AF99" s="25"/>
      <c r="AH99" s="39"/>
      <c r="AK99" s="39"/>
      <c r="AW99" s="60"/>
      <c r="AX99" s="49"/>
      <c r="AY99" s="49"/>
      <c r="AZ99" s="49"/>
      <c r="BA99" s="49"/>
      <c r="BB99" s="58"/>
      <c r="BC99" s="58"/>
      <c r="BE99" s="25"/>
      <c r="BG99" s="46"/>
      <c r="BH99" s="60"/>
      <c r="BI99" s="289"/>
      <c r="BJ99" s="289"/>
      <c r="BK99" s="289"/>
      <c r="BL99" s="289"/>
      <c r="BM99" s="58"/>
      <c r="BO99" s="25"/>
      <c r="BP99" s="25"/>
    </row>
    <row r="100" spans="4:68" ht="15" customHeight="1" x14ac:dyDescent="0.3">
      <c r="D100" s="60"/>
      <c r="E100" s="49"/>
      <c r="F100" s="49"/>
      <c r="G100" s="49"/>
      <c r="H100" s="49"/>
      <c r="I100" s="58"/>
      <c r="J100" s="58"/>
      <c r="L100" s="55"/>
      <c r="X100" s="49"/>
      <c r="Y100" s="49"/>
      <c r="Z100" s="49"/>
      <c r="AA100" s="49"/>
      <c r="AB100" s="49"/>
      <c r="AC100" s="58"/>
      <c r="AD100" s="58"/>
      <c r="AF100" s="25"/>
      <c r="AH100" s="39"/>
      <c r="AK100" s="39"/>
      <c r="AW100" s="47"/>
      <c r="AX100" s="49"/>
      <c r="AY100" s="49"/>
      <c r="AZ100" s="49"/>
      <c r="BA100" s="49"/>
      <c r="BB100" s="58"/>
      <c r="BC100" s="58"/>
      <c r="BE100" s="25"/>
      <c r="BG100" s="46"/>
      <c r="BH100" s="60"/>
      <c r="BI100" s="49"/>
      <c r="BJ100" s="49"/>
      <c r="BK100" s="49"/>
      <c r="BL100" s="49"/>
      <c r="BM100" s="58"/>
      <c r="BO100" s="25"/>
      <c r="BP100" s="25"/>
    </row>
    <row r="101" spans="4:68" ht="15" customHeight="1" x14ac:dyDescent="0.3">
      <c r="D101" s="63"/>
      <c r="E101" s="63"/>
      <c r="F101" s="60"/>
      <c r="G101" s="60"/>
      <c r="H101" s="60"/>
      <c r="I101" s="92"/>
      <c r="J101" s="67"/>
      <c r="K101" s="68"/>
      <c r="L101" s="55"/>
      <c r="X101" s="60"/>
      <c r="Y101" s="49"/>
      <c r="Z101" s="49"/>
      <c r="AA101" s="49"/>
      <c r="AB101" s="49"/>
      <c r="AC101" s="58"/>
      <c r="AD101" s="58"/>
      <c r="AF101" s="25"/>
      <c r="AH101" s="39"/>
      <c r="AK101" s="39"/>
      <c r="AW101" s="49"/>
      <c r="AX101" s="49"/>
      <c r="AY101" s="49"/>
      <c r="AZ101" s="49"/>
      <c r="BA101" s="49"/>
      <c r="BB101" s="58"/>
      <c r="BC101" s="58"/>
      <c r="BD101" s="75"/>
      <c r="BE101" s="25"/>
      <c r="BG101" s="46"/>
      <c r="BH101" s="60"/>
      <c r="BI101" s="49"/>
      <c r="BJ101" s="49"/>
      <c r="BK101" s="49"/>
      <c r="BL101" s="49"/>
      <c r="BM101" s="58"/>
      <c r="BO101" s="25"/>
      <c r="BP101" s="25"/>
    </row>
    <row r="102" spans="4:68" ht="15" customHeight="1" x14ac:dyDescent="0.3">
      <c r="D102" s="72"/>
      <c r="E102" s="60"/>
      <c r="F102" s="60"/>
      <c r="G102" s="60"/>
      <c r="H102" s="60"/>
      <c r="I102" s="92"/>
      <c r="J102" s="67"/>
      <c r="K102" s="68"/>
      <c r="L102" s="55"/>
      <c r="X102" s="47"/>
      <c r="Y102" s="49"/>
      <c r="Z102" s="49"/>
      <c r="AA102" s="49"/>
      <c r="AB102" s="49"/>
      <c r="AC102" s="58"/>
      <c r="AD102" s="58"/>
      <c r="AF102" s="25"/>
      <c r="AH102" s="39"/>
      <c r="AK102" s="39"/>
      <c r="AW102" s="60"/>
      <c r="AX102" s="49"/>
      <c r="AY102" s="49"/>
      <c r="AZ102" s="49"/>
      <c r="BA102" s="49"/>
      <c r="BB102" s="58"/>
      <c r="BC102" s="58"/>
      <c r="BD102" s="75"/>
      <c r="BE102" s="25"/>
      <c r="BG102" s="46"/>
      <c r="BH102" s="60"/>
      <c r="BI102" s="49"/>
      <c r="BJ102" s="49"/>
      <c r="BK102" s="49"/>
      <c r="BL102" s="49"/>
      <c r="BM102" s="58"/>
      <c r="BO102" s="25"/>
      <c r="BP102" s="25"/>
    </row>
    <row r="103" spans="4:68" ht="15" customHeight="1" x14ac:dyDescent="0.3">
      <c r="D103" s="72"/>
      <c r="E103" s="60"/>
      <c r="F103" s="60"/>
      <c r="G103" s="60"/>
      <c r="H103" s="60"/>
      <c r="I103" s="92"/>
      <c r="J103" s="67"/>
      <c r="K103" s="68"/>
      <c r="L103" s="55"/>
      <c r="X103" s="60"/>
      <c r="Y103" s="49"/>
      <c r="Z103" s="49"/>
      <c r="AA103" s="49"/>
      <c r="AB103" s="49"/>
      <c r="AC103" s="58"/>
      <c r="AD103" s="58"/>
      <c r="AF103" s="25"/>
      <c r="AH103" s="39"/>
      <c r="AK103" s="39"/>
      <c r="AW103" s="63"/>
      <c r="AX103" s="63"/>
      <c r="AY103" s="60"/>
      <c r="AZ103" s="60"/>
      <c r="BA103" s="60"/>
      <c r="BB103" s="92"/>
      <c r="BC103" s="67"/>
      <c r="BD103" s="68"/>
      <c r="BE103" s="55"/>
      <c r="BG103" s="46"/>
      <c r="BH103" s="60"/>
      <c r="BI103" s="49"/>
      <c r="BJ103" s="49"/>
      <c r="BK103" s="49"/>
      <c r="BL103" s="49"/>
      <c r="BM103" s="58"/>
      <c r="BO103" s="25"/>
      <c r="BP103" s="25"/>
    </row>
    <row r="104" spans="4:68" ht="15" customHeight="1" x14ac:dyDescent="0.3">
      <c r="D104" s="47"/>
      <c r="E104" s="49"/>
      <c r="F104" s="49"/>
      <c r="G104" s="49"/>
      <c r="H104" s="49"/>
      <c r="I104" s="92"/>
      <c r="J104" s="67"/>
      <c r="K104" s="68"/>
      <c r="L104" s="55"/>
      <c r="X104" s="63"/>
      <c r="Y104" s="63"/>
      <c r="Z104" s="60"/>
      <c r="AA104" s="60"/>
      <c r="AB104" s="60"/>
      <c r="AC104" s="67"/>
      <c r="AD104" s="67"/>
      <c r="AE104" s="68"/>
      <c r="AF104" s="55"/>
      <c r="AH104" s="39"/>
      <c r="AK104" s="39"/>
      <c r="AW104" s="47"/>
      <c r="AX104" s="49"/>
      <c r="AY104" s="49"/>
      <c r="AZ104" s="49"/>
      <c r="BA104" s="49"/>
      <c r="BB104" s="49"/>
      <c r="BC104" s="25"/>
      <c r="BE104" s="25"/>
      <c r="BG104" s="46"/>
      <c r="BH104" s="60"/>
      <c r="BI104" s="49"/>
      <c r="BJ104" s="49"/>
      <c r="BK104" s="49"/>
      <c r="BL104" s="49"/>
      <c r="BM104" s="58"/>
      <c r="BO104" s="25"/>
      <c r="BP104" s="25"/>
    </row>
    <row r="105" spans="4:68" ht="15" customHeight="1" x14ac:dyDescent="0.3">
      <c r="D105" s="47"/>
      <c r="E105" s="49"/>
      <c r="F105" s="49"/>
      <c r="G105" s="49"/>
      <c r="H105" s="49"/>
      <c r="I105" s="92"/>
      <c r="J105" s="67"/>
      <c r="K105" s="68"/>
      <c r="L105" s="55"/>
      <c r="X105" s="72"/>
      <c r="Y105" s="60"/>
      <c r="Z105" s="60"/>
      <c r="AA105" s="60"/>
      <c r="AB105" s="60"/>
      <c r="AC105" s="67"/>
      <c r="AD105" s="67"/>
      <c r="AE105" s="68"/>
      <c r="AF105" s="55"/>
      <c r="AH105" s="39"/>
      <c r="AK105" s="39"/>
      <c r="AW105" s="72"/>
      <c r="AX105" s="72"/>
      <c r="AY105" s="72"/>
      <c r="AZ105" s="72"/>
      <c r="BA105" s="72"/>
      <c r="BB105" s="72"/>
      <c r="BC105" s="72"/>
      <c r="BD105" s="72"/>
      <c r="BE105" s="72"/>
      <c r="BG105" s="46"/>
      <c r="BH105" s="60"/>
      <c r="BI105" s="49"/>
      <c r="BJ105" s="49"/>
      <c r="BK105" s="49"/>
      <c r="BL105" s="49"/>
      <c r="BM105" s="58"/>
      <c r="BO105" s="25"/>
      <c r="BP105" s="25"/>
    </row>
    <row r="106" spans="4:68" ht="15" customHeight="1" x14ac:dyDescent="0.3">
      <c r="D106" s="47"/>
      <c r="E106" s="49"/>
      <c r="F106" s="49"/>
      <c r="G106" s="49"/>
      <c r="H106" s="49"/>
      <c r="I106" s="58"/>
      <c r="J106" s="58"/>
      <c r="K106" s="68"/>
      <c r="L106" s="25"/>
      <c r="X106" s="72"/>
      <c r="Y106" s="60"/>
      <c r="Z106" s="60"/>
      <c r="AA106" s="60"/>
      <c r="AB106" s="60"/>
      <c r="AC106" s="67"/>
      <c r="AD106" s="67"/>
      <c r="AE106" s="68"/>
      <c r="AF106" s="55"/>
      <c r="AH106" s="39"/>
      <c r="AK106" s="39"/>
      <c r="AW106" s="25"/>
      <c r="AX106" s="25"/>
      <c r="AY106" s="25"/>
      <c r="AZ106" s="25"/>
      <c r="BA106" s="25"/>
      <c r="BB106" s="25"/>
      <c r="BC106" s="25"/>
      <c r="BD106" s="25"/>
      <c r="BE106" s="25"/>
      <c r="BG106" s="46"/>
      <c r="BH106" s="60"/>
      <c r="BI106" s="49"/>
      <c r="BJ106" s="49"/>
      <c r="BK106" s="49"/>
      <c r="BL106" s="49"/>
      <c r="BM106" s="58"/>
      <c r="BO106" s="25"/>
      <c r="BP106" s="25"/>
    </row>
    <row r="107" spans="4:68" ht="15" customHeight="1" x14ac:dyDescent="0.3">
      <c r="D107" s="47"/>
      <c r="E107" s="49"/>
      <c r="F107" s="49"/>
      <c r="G107" s="49"/>
      <c r="H107" s="49"/>
      <c r="I107" s="49"/>
      <c r="J107" s="58"/>
      <c r="L107" s="25"/>
      <c r="X107" s="47"/>
      <c r="Y107" s="49"/>
      <c r="Z107" s="49"/>
      <c r="AA107" s="49"/>
      <c r="AB107" s="49"/>
      <c r="AC107" s="67"/>
      <c r="AD107" s="67"/>
      <c r="AE107" s="68"/>
      <c r="AF107" s="55"/>
      <c r="AH107" s="39"/>
      <c r="AK107" s="39"/>
      <c r="AW107" s="49"/>
      <c r="AX107" s="49"/>
      <c r="AY107" s="49"/>
      <c r="AZ107" s="49"/>
      <c r="BA107" s="49"/>
      <c r="BB107" s="49"/>
      <c r="BC107" s="25"/>
      <c r="BE107" s="25"/>
      <c r="BG107" s="46"/>
      <c r="BH107" s="60"/>
      <c r="BI107" s="49"/>
      <c r="BJ107" s="49"/>
      <c r="BK107" s="49"/>
      <c r="BL107" s="49"/>
      <c r="BM107" s="58"/>
      <c r="BN107" s="102"/>
      <c r="BO107" s="25"/>
      <c r="BP107" s="25"/>
    </row>
    <row r="108" spans="4:68" ht="15" customHeight="1" x14ac:dyDescent="0.3">
      <c r="D108" s="47"/>
      <c r="E108" s="49"/>
      <c r="F108" s="49"/>
      <c r="G108" s="49"/>
      <c r="H108" s="49"/>
      <c r="I108" s="25"/>
      <c r="J108" s="25"/>
      <c r="L108" s="25"/>
      <c r="X108" s="47"/>
      <c r="Y108" s="49"/>
      <c r="Z108" s="49"/>
      <c r="AA108" s="49"/>
      <c r="AB108" s="49"/>
      <c r="AC108" s="67"/>
      <c r="AD108" s="67"/>
      <c r="AE108" s="68"/>
      <c r="AF108" s="55"/>
      <c r="AH108" s="39"/>
      <c r="AK108" s="39"/>
      <c r="AW108" s="47"/>
      <c r="AX108" s="48"/>
      <c r="AY108" s="48"/>
      <c r="AZ108" s="48"/>
      <c r="BA108" s="48"/>
      <c r="BB108" s="25"/>
      <c r="BC108" s="25"/>
      <c r="BE108" s="25"/>
      <c r="BG108" s="46"/>
      <c r="BH108" s="60"/>
      <c r="BI108" s="49"/>
      <c r="BJ108" s="49"/>
      <c r="BK108" s="49"/>
      <c r="BL108" s="49"/>
      <c r="BM108" s="58"/>
      <c r="BN108" s="102"/>
      <c r="BO108" s="25"/>
      <c r="BP108" s="25"/>
    </row>
    <row r="109" spans="4:68" ht="15" customHeight="1" x14ac:dyDescent="0.3">
      <c r="D109" s="47"/>
      <c r="E109" s="49"/>
      <c r="F109" s="49"/>
      <c r="G109" s="49"/>
      <c r="H109" s="49"/>
      <c r="I109" s="25"/>
      <c r="J109" s="25"/>
      <c r="L109" s="25"/>
      <c r="AH109" s="39"/>
      <c r="AK109" s="39"/>
      <c r="AW109" s="47"/>
      <c r="AX109" s="48"/>
      <c r="AY109" s="48"/>
      <c r="AZ109" s="48"/>
      <c r="BA109" s="48"/>
      <c r="BB109" s="49"/>
      <c r="BC109" s="25"/>
      <c r="BE109" s="25"/>
      <c r="BG109" s="46"/>
      <c r="BH109" s="60"/>
      <c r="BI109" s="49"/>
      <c r="BJ109" s="49"/>
      <c r="BK109" s="49"/>
      <c r="BL109" s="49"/>
      <c r="BM109" s="58"/>
      <c r="BN109" s="102"/>
      <c r="BO109" s="25"/>
      <c r="BP109" s="25"/>
    </row>
    <row r="110" spans="4:68" ht="15" customHeight="1" x14ac:dyDescent="0.3">
      <c r="D110" s="47"/>
      <c r="E110" s="49"/>
      <c r="F110" s="49"/>
      <c r="G110" s="49"/>
      <c r="H110" s="49"/>
      <c r="I110" s="25"/>
      <c r="J110" s="25"/>
      <c r="L110" s="25"/>
      <c r="Y110" s="48"/>
      <c r="Z110" s="48"/>
      <c r="AA110" s="48"/>
      <c r="AB110" s="48"/>
      <c r="AC110" s="48"/>
      <c r="AD110" s="48"/>
      <c r="AE110" s="47"/>
      <c r="AF110" s="47"/>
      <c r="AH110" s="39"/>
      <c r="AK110" s="39"/>
      <c r="AW110" s="49"/>
      <c r="AX110" s="49"/>
      <c r="AY110" s="49"/>
      <c r="AZ110" s="49"/>
      <c r="BA110" s="49"/>
      <c r="BB110" s="49"/>
      <c r="BC110" s="83"/>
      <c r="BD110" s="83"/>
      <c r="BE110" s="25"/>
      <c r="BL110" s="49"/>
      <c r="BM110" s="25"/>
      <c r="BO110" s="25"/>
      <c r="BP110" s="25"/>
    </row>
    <row r="111" spans="4:68" ht="15" customHeight="1" x14ac:dyDescent="0.3">
      <c r="D111" s="49"/>
      <c r="E111" s="49"/>
      <c r="F111" s="49"/>
      <c r="G111" s="49"/>
      <c r="H111" s="49"/>
      <c r="I111" s="58"/>
      <c r="J111" s="58"/>
      <c r="L111" s="25"/>
      <c r="X111" s="25"/>
      <c r="Y111" s="25"/>
      <c r="Z111" s="25"/>
      <c r="AA111" s="25"/>
      <c r="AB111" s="25"/>
      <c r="AC111" s="25"/>
      <c r="AD111" s="25"/>
      <c r="AE111" s="25"/>
      <c r="AF111" s="25"/>
      <c r="AH111" s="39"/>
      <c r="AK111" s="39"/>
      <c r="AW111" s="49"/>
      <c r="AX111" s="49"/>
      <c r="AY111" s="49"/>
      <c r="AZ111" s="49"/>
      <c r="BA111" s="49"/>
      <c r="BB111" s="49"/>
      <c r="BC111" s="55"/>
      <c r="BE111" s="55"/>
      <c r="BL111" s="49"/>
      <c r="BM111" s="25"/>
      <c r="BO111" s="25"/>
      <c r="BP111" s="25"/>
    </row>
    <row r="112" spans="4:68" ht="15" customHeight="1" x14ac:dyDescent="0.3">
      <c r="D112" s="60"/>
      <c r="E112" s="49"/>
      <c r="F112" s="49"/>
      <c r="G112" s="49"/>
      <c r="H112" s="49"/>
      <c r="I112" s="58"/>
      <c r="J112" s="58"/>
      <c r="L112" s="25"/>
      <c r="X112" s="47"/>
      <c r="Y112" s="48"/>
      <c r="Z112" s="48"/>
      <c r="AA112" s="48"/>
      <c r="AB112" s="48"/>
      <c r="AC112" s="25"/>
      <c r="AD112" s="25"/>
      <c r="AF112" s="25"/>
      <c r="AH112" s="39"/>
      <c r="AK112" s="39"/>
      <c r="AW112" s="60"/>
      <c r="AX112" s="60"/>
      <c r="AY112" s="60"/>
      <c r="AZ112" s="60"/>
      <c r="BA112" s="60"/>
      <c r="BB112" s="60"/>
      <c r="BC112" s="55"/>
      <c r="BE112" s="25"/>
      <c r="BG112" s="25"/>
      <c r="BH112" s="25"/>
      <c r="BI112" s="25"/>
      <c r="BJ112" s="25"/>
      <c r="BK112" s="25"/>
      <c r="BL112" s="49"/>
      <c r="BM112" s="58"/>
      <c r="BN112" s="103"/>
      <c r="BO112" s="25"/>
      <c r="BP112" s="25"/>
    </row>
    <row r="113" spans="4:75" ht="15" customHeight="1" x14ac:dyDescent="0.3">
      <c r="D113" s="47"/>
      <c r="E113" s="49"/>
      <c r="F113" s="49"/>
      <c r="G113" s="49"/>
      <c r="H113" s="49"/>
      <c r="I113" s="58"/>
      <c r="J113" s="58"/>
      <c r="L113" s="25"/>
      <c r="X113" s="47"/>
      <c r="Y113" s="49"/>
      <c r="Z113" s="49"/>
      <c r="AA113" s="49"/>
      <c r="AB113" s="49"/>
      <c r="AC113" s="47"/>
      <c r="AD113" s="47"/>
      <c r="AE113" s="47"/>
      <c r="AF113" s="25"/>
      <c r="AH113" s="39"/>
      <c r="AK113" s="39"/>
      <c r="AW113" s="49"/>
      <c r="AX113" s="49"/>
      <c r="AY113" s="49"/>
      <c r="AZ113" s="49"/>
      <c r="BA113" s="49"/>
      <c r="BB113" s="49"/>
      <c r="BC113" s="25"/>
      <c r="BE113" s="25"/>
      <c r="BG113" s="41"/>
      <c r="BL113" s="49"/>
      <c r="BM113" s="58"/>
      <c r="BN113" s="103"/>
      <c r="BO113" s="25"/>
      <c r="BP113" s="25"/>
    </row>
    <row r="114" spans="4:75" ht="15" customHeight="1" x14ac:dyDescent="0.3">
      <c r="D114" s="60"/>
      <c r="E114" s="49"/>
      <c r="F114" s="49"/>
      <c r="G114" s="49"/>
      <c r="H114" s="49"/>
      <c r="I114" s="58"/>
      <c r="J114" s="58"/>
      <c r="L114" s="25"/>
      <c r="X114" s="25"/>
      <c r="Y114" s="49"/>
      <c r="Z114" s="49"/>
      <c r="AA114" s="49"/>
      <c r="AB114" s="49"/>
      <c r="AC114" s="25"/>
      <c r="AD114" s="83"/>
      <c r="AE114" s="83"/>
      <c r="AF114" s="25"/>
      <c r="AH114" s="39"/>
      <c r="AK114" s="39"/>
      <c r="AW114" s="49"/>
      <c r="AX114" s="49"/>
      <c r="AY114" s="49"/>
      <c r="AZ114" s="49"/>
      <c r="BA114" s="49"/>
      <c r="BB114" s="49"/>
      <c r="BC114" s="25"/>
      <c r="BE114" s="25"/>
      <c r="BL114" s="49"/>
      <c r="BM114" s="25"/>
      <c r="BO114" s="25"/>
      <c r="BP114" s="25"/>
      <c r="BQ114" s="41"/>
      <c r="BR114" s="41"/>
      <c r="BS114" s="41"/>
      <c r="BT114" s="41"/>
      <c r="BU114" s="41"/>
      <c r="BV114" s="41"/>
      <c r="BW114" s="41"/>
    </row>
    <row r="115" spans="4:75" ht="15" customHeight="1" x14ac:dyDescent="0.3">
      <c r="D115" s="63"/>
      <c r="E115" s="63"/>
      <c r="F115" s="60"/>
      <c r="G115" s="60"/>
      <c r="H115" s="60"/>
      <c r="I115" s="67"/>
      <c r="J115" s="67"/>
      <c r="K115" s="68"/>
      <c r="L115" s="55"/>
      <c r="X115" s="47"/>
      <c r="Y115" s="49"/>
      <c r="Z115" s="49"/>
      <c r="AA115" s="49"/>
      <c r="AB115" s="49"/>
      <c r="AC115" s="25"/>
      <c r="AD115" s="25"/>
      <c r="AF115" s="25"/>
      <c r="AH115" s="39"/>
      <c r="AK115" s="39"/>
      <c r="AW115" s="72"/>
      <c r="AX115" s="72"/>
      <c r="AY115" s="72"/>
      <c r="AZ115" s="72"/>
      <c r="BA115" s="72"/>
      <c r="BB115" s="72"/>
      <c r="BC115" s="72"/>
      <c r="BD115" s="72"/>
      <c r="BE115" s="72"/>
      <c r="BL115" s="49"/>
      <c r="BM115" s="25"/>
      <c r="BO115" s="25"/>
      <c r="BP115" s="25"/>
      <c r="BQ115" s="41"/>
      <c r="BR115" s="41"/>
      <c r="BS115" s="41"/>
      <c r="BT115" s="41"/>
      <c r="BU115" s="41"/>
      <c r="BV115" s="41"/>
      <c r="BW115" s="41"/>
    </row>
    <row r="116" spans="4:75" ht="15" customHeight="1" x14ac:dyDescent="0.3">
      <c r="D116" s="72"/>
      <c r="E116" s="60"/>
      <c r="F116" s="60"/>
      <c r="G116" s="60"/>
      <c r="H116" s="60"/>
      <c r="I116" s="67"/>
      <c r="J116" s="67"/>
      <c r="K116" s="68"/>
      <c r="L116" s="55"/>
      <c r="Y116" s="49"/>
      <c r="Z116" s="49"/>
      <c r="AA116" s="49"/>
      <c r="AB116" s="49"/>
      <c r="AC116" s="25"/>
      <c r="AD116" s="25"/>
      <c r="AF116" s="25"/>
      <c r="AH116" s="39"/>
      <c r="AK116" s="39"/>
      <c r="AW116" s="25"/>
      <c r="AX116" s="25"/>
      <c r="AZ116" s="91"/>
      <c r="BA116" s="92"/>
      <c r="BC116" s="91"/>
      <c r="BD116" s="92"/>
      <c r="BG116" s="25"/>
      <c r="BH116" s="25"/>
      <c r="BI116" s="25"/>
      <c r="BJ116" s="25"/>
      <c r="BK116" s="25"/>
      <c r="BL116" s="49"/>
      <c r="BM116" s="58"/>
      <c r="BN116" s="103"/>
      <c r="BO116" s="25"/>
      <c r="BP116" s="25"/>
    </row>
    <row r="117" spans="4:75" x14ac:dyDescent="0.3">
      <c r="D117" s="72"/>
      <c r="E117" s="60"/>
      <c r="F117" s="60"/>
      <c r="G117" s="60"/>
      <c r="H117" s="60"/>
      <c r="I117" s="67"/>
      <c r="J117" s="67"/>
      <c r="K117" s="68"/>
      <c r="L117" s="55"/>
      <c r="X117" s="47"/>
      <c r="Y117" s="49"/>
      <c r="Z117" s="49"/>
      <c r="AA117" s="49"/>
      <c r="AB117" s="49"/>
      <c r="AC117" s="25"/>
      <c r="AD117" s="25"/>
      <c r="AF117" s="25"/>
      <c r="AH117" s="39"/>
      <c r="AK117" s="39"/>
      <c r="AW117" s="93"/>
      <c r="AX117" s="25"/>
      <c r="AZ117" s="91"/>
      <c r="BA117" s="92"/>
      <c r="BC117" s="91"/>
      <c r="BD117" s="92"/>
      <c r="BG117" s="41"/>
      <c r="BL117" s="49"/>
      <c r="BM117" s="58"/>
      <c r="BN117" s="103"/>
      <c r="BO117" s="25"/>
      <c r="BP117" s="25"/>
    </row>
    <row r="118" spans="4:75" x14ac:dyDescent="0.3">
      <c r="D118" s="47"/>
      <c r="E118" s="49"/>
      <c r="F118" s="49"/>
      <c r="G118" s="49"/>
      <c r="H118" s="49"/>
      <c r="I118" s="67"/>
      <c r="J118" s="67"/>
      <c r="K118" s="68"/>
      <c r="L118" s="55"/>
      <c r="X118" s="47"/>
      <c r="Y118" s="49"/>
      <c r="Z118" s="49"/>
      <c r="AA118" s="49"/>
      <c r="AB118" s="49"/>
      <c r="AC118" s="25"/>
      <c r="AD118" s="25"/>
      <c r="AF118" s="25"/>
      <c r="AH118" s="39"/>
      <c r="AK118" s="39"/>
      <c r="AW118" s="93"/>
      <c r="AX118" s="25"/>
      <c r="AZ118" s="91"/>
      <c r="BA118" s="55"/>
      <c r="BC118" s="91"/>
      <c r="BD118" s="92"/>
      <c r="BL118" s="49"/>
      <c r="BM118" s="25"/>
      <c r="BO118" s="25"/>
      <c r="BP118" s="25"/>
    </row>
    <row r="119" spans="4:75" x14ac:dyDescent="0.3">
      <c r="D119" s="47"/>
      <c r="E119" s="49"/>
      <c r="F119" s="49"/>
      <c r="G119" s="49"/>
      <c r="H119" s="49"/>
      <c r="I119" s="67"/>
      <c r="J119" s="67"/>
      <c r="K119" s="68"/>
      <c r="L119" s="55"/>
      <c r="X119" s="47"/>
      <c r="Y119" s="49"/>
      <c r="Z119" s="49"/>
      <c r="AA119" s="49"/>
      <c r="AB119" s="49"/>
      <c r="AC119" s="25"/>
      <c r="AD119" s="25"/>
      <c r="AF119" s="25"/>
      <c r="AH119" s="39"/>
      <c r="AK119" s="39"/>
      <c r="AW119" s="25"/>
      <c r="AX119" s="25"/>
      <c r="AZ119" s="91"/>
      <c r="BA119" s="95"/>
      <c r="BC119" s="91"/>
      <c r="BD119" s="92"/>
      <c r="BL119" s="49"/>
      <c r="BM119" s="25"/>
      <c r="BO119" s="25"/>
      <c r="BP119" s="25"/>
    </row>
    <row r="120" spans="4:75" x14ac:dyDescent="0.3">
      <c r="X120" s="49"/>
      <c r="Y120" s="49"/>
      <c r="Z120" s="49"/>
      <c r="AA120" s="49"/>
      <c r="AB120" s="49"/>
      <c r="AC120" s="58"/>
      <c r="AD120" s="58"/>
      <c r="AF120" s="25"/>
      <c r="AH120" s="39"/>
      <c r="AK120" s="39"/>
      <c r="AW120" s="25"/>
      <c r="AX120" s="25"/>
      <c r="AZ120" s="91"/>
      <c r="BA120" s="96"/>
      <c r="BC120" s="91"/>
      <c r="BD120" s="92"/>
      <c r="BG120" s="25"/>
      <c r="BH120" s="25"/>
      <c r="BI120" s="25"/>
      <c r="BJ120" s="25"/>
      <c r="BK120" s="25"/>
      <c r="BL120" s="49"/>
      <c r="BM120" s="58"/>
      <c r="BN120" s="103"/>
      <c r="BO120" s="25"/>
      <c r="BP120" s="25"/>
    </row>
    <row r="121" spans="4:75" x14ac:dyDescent="0.3">
      <c r="D121" s="104"/>
      <c r="E121" s="104"/>
      <c r="F121" s="104"/>
      <c r="G121" s="104"/>
      <c r="H121" s="104"/>
      <c r="I121" s="104"/>
      <c r="J121" s="104"/>
      <c r="K121" s="104"/>
      <c r="L121" s="104"/>
      <c r="X121" s="60"/>
      <c r="Y121" s="49"/>
      <c r="Z121" s="49"/>
      <c r="AA121" s="49"/>
      <c r="AB121" s="49"/>
      <c r="AC121" s="58"/>
      <c r="AD121" s="58"/>
      <c r="AF121" s="25"/>
      <c r="AH121" s="39"/>
      <c r="AK121" s="39"/>
      <c r="AW121" s="25"/>
      <c r="AX121" s="25"/>
      <c r="AZ121" s="97"/>
      <c r="BA121" s="98"/>
      <c r="BB121" s="98"/>
      <c r="BC121" s="99"/>
      <c r="BD121" s="99"/>
      <c r="BG121" s="41"/>
      <c r="BL121" s="49"/>
      <c r="BM121" s="58"/>
      <c r="BN121" s="103"/>
      <c r="BO121" s="25"/>
      <c r="BP121" s="25"/>
    </row>
    <row r="122" spans="4:75" x14ac:dyDescent="0.3">
      <c r="D122" s="104"/>
      <c r="E122" s="104"/>
      <c r="F122" s="104"/>
      <c r="G122" s="104"/>
      <c r="H122" s="104"/>
      <c r="I122" s="104"/>
      <c r="J122" s="104"/>
      <c r="K122" s="104"/>
      <c r="L122" s="104"/>
      <c r="X122" s="47"/>
      <c r="Y122" s="49"/>
      <c r="Z122" s="49"/>
      <c r="AA122" s="49"/>
      <c r="AB122" s="49"/>
      <c r="AC122" s="58"/>
      <c r="AD122" s="58"/>
      <c r="AF122" s="25"/>
      <c r="AH122" s="39"/>
      <c r="AK122" s="39"/>
      <c r="AW122" s="47"/>
      <c r="AX122" s="49"/>
      <c r="AY122" s="49"/>
      <c r="AZ122" s="49"/>
      <c r="BA122" s="49"/>
      <c r="BB122" s="25"/>
      <c r="BC122" s="25"/>
      <c r="BE122" s="25"/>
      <c r="BG122" s="25"/>
      <c r="BH122" s="25"/>
      <c r="BI122" s="25"/>
      <c r="BJ122" s="25"/>
      <c r="BK122" s="25"/>
      <c r="BL122" s="49"/>
      <c r="BM122" s="272"/>
      <c r="BN122" s="272"/>
      <c r="BO122" s="25"/>
      <c r="BP122" s="25"/>
    </row>
    <row r="123" spans="4:75" x14ac:dyDescent="0.3">
      <c r="D123" s="104"/>
      <c r="E123" s="104"/>
      <c r="F123" s="104"/>
      <c r="G123" s="104"/>
      <c r="H123" s="104"/>
      <c r="I123" s="104"/>
      <c r="J123" s="104"/>
      <c r="K123" s="104"/>
      <c r="L123" s="104"/>
      <c r="X123" s="60"/>
      <c r="Y123" s="49"/>
      <c r="Z123" s="49"/>
      <c r="AA123" s="49"/>
      <c r="AB123" s="49"/>
      <c r="AC123" s="58"/>
      <c r="AD123" s="58"/>
      <c r="AF123" s="25"/>
      <c r="AH123" s="39"/>
      <c r="AK123" s="39"/>
      <c r="AW123" s="49"/>
      <c r="AX123" s="49"/>
      <c r="AY123" s="49"/>
      <c r="AZ123" s="49"/>
      <c r="BA123" s="49"/>
      <c r="BB123" s="58"/>
      <c r="BC123" s="58"/>
      <c r="BE123" s="25"/>
      <c r="BG123" s="46"/>
      <c r="BH123" s="60"/>
      <c r="BI123" s="49"/>
      <c r="BJ123" s="49"/>
      <c r="BK123" s="49"/>
      <c r="BL123" s="49"/>
      <c r="BM123" s="58"/>
      <c r="BO123" s="25"/>
      <c r="BP123" s="25"/>
    </row>
    <row r="124" spans="4:75" x14ac:dyDescent="0.3">
      <c r="D124" s="104"/>
      <c r="E124" s="104"/>
      <c r="F124" s="104"/>
      <c r="G124" s="104"/>
      <c r="H124" s="104"/>
      <c r="I124" s="104"/>
      <c r="J124" s="104"/>
      <c r="K124" s="104"/>
      <c r="L124" s="104"/>
      <c r="X124" s="63"/>
      <c r="Y124" s="63"/>
      <c r="Z124" s="60"/>
      <c r="AA124" s="60"/>
      <c r="AB124" s="60"/>
      <c r="AC124" s="67"/>
      <c r="AD124" s="67"/>
      <c r="AE124" s="68"/>
      <c r="AF124" s="55"/>
      <c r="AH124" s="39"/>
      <c r="AK124" s="39"/>
      <c r="AW124" s="60"/>
      <c r="AX124" s="49"/>
      <c r="AY124" s="49"/>
      <c r="AZ124" s="49"/>
      <c r="BA124" s="49"/>
      <c r="BB124" s="58"/>
      <c r="BC124" s="58"/>
      <c r="BE124" s="25"/>
      <c r="BG124" s="25"/>
      <c r="BH124" s="25"/>
      <c r="BI124" s="25"/>
      <c r="BJ124" s="25"/>
      <c r="BK124" s="25"/>
      <c r="BL124" s="49"/>
      <c r="BM124" s="272"/>
      <c r="BN124" s="272"/>
      <c r="BO124" s="25"/>
      <c r="BP124" s="25"/>
    </row>
    <row r="125" spans="4:75" x14ac:dyDescent="0.3">
      <c r="D125" s="104"/>
      <c r="E125" s="104"/>
      <c r="F125" s="104"/>
      <c r="G125" s="104"/>
      <c r="H125" s="104"/>
      <c r="I125" s="104"/>
      <c r="J125" s="104"/>
      <c r="K125" s="104"/>
      <c r="L125" s="104"/>
      <c r="X125" s="72"/>
      <c r="Y125" s="60"/>
      <c r="Z125" s="60"/>
      <c r="AA125" s="60"/>
      <c r="AB125" s="60"/>
      <c r="AC125" s="67"/>
      <c r="AD125" s="67"/>
      <c r="AE125" s="68"/>
      <c r="AF125" s="55"/>
      <c r="AH125" s="39"/>
      <c r="AK125" s="39"/>
      <c r="AW125" s="47"/>
      <c r="AX125" s="49"/>
      <c r="AY125" s="49"/>
      <c r="AZ125" s="49"/>
      <c r="BA125" s="49"/>
      <c r="BB125" s="58"/>
      <c r="BC125" s="58"/>
      <c r="BE125" s="25"/>
      <c r="BG125" s="46"/>
      <c r="BH125" s="60"/>
      <c r="BI125" s="49"/>
      <c r="BJ125" s="49"/>
      <c r="BK125" s="49"/>
      <c r="BL125" s="49"/>
      <c r="BM125" s="58"/>
      <c r="BO125" s="25"/>
      <c r="BP125" s="25"/>
    </row>
    <row r="126" spans="4:75" x14ac:dyDescent="0.3">
      <c r="D126" s="41"/>
      <c r="E126" s="41"/>
      <c r="F126" s="41"/>
      <c r="G126" s="41"/>
      <c r="H126" s="41"/>
      <c r="I126" s="41"/>
      <c r="J126" s="41"/>
      <c r="K126" s="41"/>
      <c r="L126" s="41"/>
      <c r="X126" s="72"/>
      <c r="Y126" s="60"/>
      <c r="Z126" s="60"/>
      <c r="AA126" s="60"/>
      <c r="AB126" s="60"/>
      <c r="AC126" s="67"/>
      <c r="AD126" s="67"/>
      <c r="AE126" s="68"/>
      <c r="AF126" s="55"/>
      <c r="AH126" s="39"/>
      <c r="AK126" s="39"/>
      <c r="AW126" s="49"/>
      <c r="AX126" s="49"/>
      <c r="AY126" s="49"/>
      <c r="AZ126" s="49"/>
      <c r="BA126" s="49"/>
      <c r="BB126" s="58"/>
      <c r="BC126" s="58"/>
      <c r="BD126" s="75"/>
      <c r="BE126" s="25"/>
      <c r="BG126" s="47"/>
      <c r="BH126" s="49"/>
      <c r="BI126" s="49"/>
      <c r="BJ126" s="49"/>
      <c r="BK126" s="49"/>
      <c r="BL126" s="64"/>
      <c r="BM126" s="272"/>
      <c r="BN126" s="272"/>
      <c r="BO126" s="25"/>
      <c r="BP126" s="25"/>
    </row>
    <row r="127" spans="4:75" x14ac:dyDescent="0.3">
      <c r="D127" s="41"/>
      <c r="E127" s="41"/>
      <c r="F127" s="41"/>
      <c r="G127" s="41"/>
      <c r="H127" s="41"/>
      <c r="I127" s="41"/>
      <c r="J127" s="41"/>
      <c r="K127" s="41"/>
      <c r="L127" s="41"/>
      <c r="X127" s="47"/>
      <c r="Y127" s="49"/>
      <c r="Z127" s="49"/>
      <c r="AA127" s="49"/>
      <c r="AB127" s="49"/>
      <c r="AC127" s="67"/>
      <c r="AD127" s="67"/>
      <c r="AE127" s="68"/>
      <c r="AF127" s="55"/>
      <c r="AH127" s="39"/>
      <c r="AK127" s="39"/>
      <c r="AW127" s="60"/>
      <c r="AX127" s="49"/>
      <c r="AY127" s="49"/>
      <c r="AZ127" s="49"/>
      <c r="BA127" s="49"/>
      <c r="BB127" s="58"/>
      <c r="BC127" s="58"/>
      <c r="BD127" s="75"/>
      <c r="BE127" s="25"/>
      <c r="BG127" s="47"/>
      <c r="BH127" s="49"/>
      <c r="BI127" s="49"/>
      <c r="BJ127" s="49"/>
      <c r="BK127" s="49"/>
      <c r="BL127" s="64"/>
      <c r="BM127" s="25"/>
      <c r="BO127" s="25"/>
      <c r="BP127" s="25"/>
    </row>
    <row r="128" spans="4:75" x14ac:dyDescent="0.3">
      <c r="D128" s="41"/>
      <c r="E128" s="41"/>
      <c r="F128" s="41"/>
      <c r="G128" s="41"/>
      <c r="H128" s="41"/>
      <c r="I128" s="41"/>
      <c r="J128" s="41"/>
      <c r="K128" s="41"/>
      <c r="L128" s="41"/>
      <c r="X128" s="47"/>
      <c r="Y128" s="49"/>
      <c r="Z128" s="49"/>
      <c r="AA128" s="49"/>
      <c r="AB128" s="49"/>
      <c r="AC128" s="67"/>
      <c r="AD128" s="67"/>
      <c r="AE128" s="68"/>
      <c r="AF128" s="55"/>
      <c r="AH128" s="39"/>
      <c r="AK128" s="39"/>
      <c r="AW128" s="63"/>
      <c r="AX128" s="63"/>
      <c r="AY128" s="60"/>
      <c r="AZ128" s="60"/>
      <c r="BA128" s="60"/>
      <c r="BB128" s="92"/>
      <c r="BC128" s="67"/>
      <c r="BD128" s="68"/>
      <c r="BE128" s="55"/>
      <c r="BG128" s="47"/>
      <c r="BH128" s="63"/>
      <c r="BI128" s="60"/>
      <c r="BJ128" s="60"/>
      <c r="BK128" s="60"/>
      <c r="BL128" s="64"/>
      <c r="BM128" s="55"/>
      <c r="BO128" s="55"/>
      <c r="BP128" s="25"/>
    </row>
    <row r="129" spans="34:68" x14ac:dyDescent="0.3">
      <c r="AH129" s="39"/>
      <c r="AK129" s="39"/>
      <c r="BG129" s="49"/>
      <c r="BH129" s="60"/>
      <c r="BI129" s="60"/>
      <c r="BJ129" s="60"/>
      <c r="BK129" s="60"/>
      <c r="BL129" s="64"/>
      <c r="BM129" s="55"/>
      <c r="BO129" s="55"/>
      <c r="BP129" s="25"/>
    </row>
    <row r="130" spans="34:68" x14ac:dyDescent="0.3">
      <c r="AH130" s="39"/>
      <c r="AK130" s="39"/>
      <c r="AW130" s="72"/>
      <c r="AX130" s="72"/>
      <c r="AY130" s="72"/>
      <c r="AZ130" s="72"/>
      <c r="BA130" s="72"/>
      <c r="BB130" s="72"/>
      <c r="BC130" s="72"/>
      <c r="BD130" s="72"/>
      <c r="BE130" s="72"/>
      <c r="BG130" s="60"/>
      <c r="BH130" s="60"/>
      <c r="BI130" s="60"/>
      <c r="BJ130" s="60"/>
      <c r="BK130" s="60"/>
      <c r="BL130" s="73"/>
      <c r="BM130" s="55"/>
      <c r="BO130" s="55"/>
      <c r="BP130" s="25"/>
    </row>
    <row r="131" spans="34:68" x14ac:dyDescent="0.3">
      <c r="AH131" s="39"/>
      <c r="AK131" s="39"/>
      <c r="AW131" s="25"/>
      <c r="AX131" s="25"/>
      <c r="AY131" s="25"/>
      <c r="AZ131" s="25"/>
      <c r="BA131" s="25"/>
      <c r="BB131" s="25"/>
      <c r="BC131" s="25"/>
      <c r="BD131" s="25"/>
      <c r="BE131" s="25"/>
      <c r="BG131" s="47"/>
      <c r="BH131" s="49"/>
      <c r="BI131" s="49"/>
      <c r="BJ131" s="49"/>
      <c r="BK131" s="49"/>
      <c r="BL131" s="49"/>
      <c r="BM131" s="67"/>
      <c r="BN131" s="75"/>
      <c r="BO131" s="55"/>
      <c r="BP131" s="25"/>
    </row>
    <row r="132" spans="34:68" x14ac:dyDescent="0.3">
      <c r="AH132" s="39"/>
      <c r="AK132" s="39"/>
      <c r="AW132" s="49"/>
      <c r="AX132" s="49"/>
      <c r="AY132" s="49"/>
      <c r="AZ132" s="49"/>
      <c r="BA132" s="49"/>
      <c r="BB132" s="49"/>
      <c r="BC132" s="25"/>
      <c r="BE132" s="25"/>
      <c r="BG132" s="25"/>
      <c r="BH132" s="25"/>
      <c r="BI132" s="25"/>
      <c r="BJ132" s="25"/>
      <c r="BK132" s="25"/>
      <c r="BL132" s="25"/>
      <c r="BM132" s="25"/>
      <c r="BN132" s="25"/>
      <c r="BO132" s="25"/>
      <c r="BP132" s="25"/>
    </row>
    <row r="133" spans="34:68" x14ac:dyDescent="0.3">
      <c r="AH133" s="39"/>
      <c r="AK133" s="39"/>
      <c r="AW133" s="49"/>
      <c r="AX133" s="49"/>
      <c r="AY133" s="49"/>
      <c r="AZ133" s="49"/>
      <c r="BA133" s="49"/>
      <c r="BB133" s="49"/>
      <c r="BC133" s="25"/>
      <c r="BE133" s="25"/>
      <c r="BG133" s="25"/>
      <c r="BH133" s="25"/>
      <c r="BI133" s="25"/>
      <c r="BJ133" s="25"/>
      <c r="BK133" s="25"/>
      <c r="BL133" s="25"/>
      <c r="BM133" s="83"/>
      <c r="BN133" s="83"/>
      <c r="BO133" s="25"/>
      <c r="BP133" s="25"/>
    </row>
    <row r="134" spans="34:68" x14ac:dyDescent="0.3">
      <c r="AH134" s="39"/>
      <c r="AK134" s="39"/>
      <c r="AW134" s="47"/>
      <c r="AX134" s="48"/>
      <c r="AY134" s="48"/>
      <c r="AZ134" s="48"/>
      <c r="BA134" s="48"/>
      <c r="BB134" s="25"/>
      <c r="BC134" s="25"/>
      <c r="BE134" s="25"/>
      <c r="BG134" s="25"/>
      <c r="BH134" s="25"/>
      <c r="BI134" s="25"/>
      <c r="BJ134" s="25"/>
      <c r="BK134" s="25"/>
      <c r="BL134" s="25"/>
      <c r="BM134" s="25"/>
      <c r="BN134" s="25"/>
      <c r="BO134" s="25"/>
      <c r="BP134" s="25"/>
    </row>
    <row r="135" spans="34:68" x14ac:dyDescent="0.3">
      <c r="AH135" s="39"/>
      <c r="AK135" s="39"/>
      <c r="AW135" s="47"/>
      <c r="AX135" s="48"/>
      <c r="AY135" s="48"/>
      <c r="AZ135" s="48"/>
      <c r="BA135" s="48"/>
      <c r="BB135" s="49"/>
      <c r="BC135" s="25"/>
      <c r="BE135" s="25"/>
      <c r="BG135" s="25"/>
      <c r="BH135" s="25"/>
      <c r="BI135" s="25"/>
      <c r="BJ135" s="25"/>
      <c r="BK135" s="25"/>
      <c r="BL135" s="25"/>
      <c r="BM135" s="25"/>
      <c r="BN135" s="25"/>
      <c r="BO135" s="25"/>
      <c r="BP135" s="25"/>
    </row>
    <row r="136" spans="34:68" x14ac:dyDescent="0.3">
      <c r="AH136" s="39"/>
      <c r="AK136" s="39"/>
      <c r="AW136" s="49"/>
      <c r="AX136" s="49"/>
      <c r="AY136" s="49"/>
      <c r="AZ136" s="49"/>
      <c r="BA136" s="49"/>
      <c r="BB136" s="49"/>
      <c r="BC136" s="83"/>
      <c r="BD136" s="83"/>
      <c r="BE136" s="25"/>
      <c r="BG136" s="25"/>
      <c r="BH136" s="25"/>
      <c r="BI136" s="25"/>
      <c r="BJ136" s="25"/>
      <c r="BK136" s="25"/>
      <c r="BL136" s="25"/>
      <c r="BM136" s="25"/>
      <c r="BN136" s="25"/>
      <c r="BO136" s="25"/>
      <c r="BP136" s="25"/>
    </row>
    <row r="137" spans="34:68" x14ac:dyDescent="0.3">
      <c r="AH137" s="39"/>
      <c r="AK137" s="39"/>
      <c r="AW137" s="49"/>
      <c r="AX137" s="49"/>
      <c r="AY137" s="49"/>
      <c r="AZ137" s="49"/>
      <c r="BA137" s="49"/>
      <c r="BB137" s="49"/>
      <c r="BC137" s="55"/>
      <c r="BE137" s="55"/>
      <c r="BG137" s="25"/>
      <c r="BH137" s="25"/>
      <c r="BI137" s="25"/>
      <c r="BJ137" s="25"/>
      <c r="BK137" s="25"/>
      <c r="BL137" s="25"/>
      <c r="BM137" s="25"/>
      <c r="BN137" s="25"/>
      <c r="BO137" s="25"/>
      <c r="BP137" s="25"/>
    </row>
    <row r="138" spans="34:68" x14ac:dyDescent="0.3">
      <c r="AH138" s="39"/>
      <c r="AK138" s="39"/>
      <c r="AW138" s="60"/>
      <c r="AX138" s="60"/>
      <c r="AY138" s="60"/>
      <c r="AZ138" s="60"/>
      <c r="BA138" s="60"/>
      <c r="BB138" s="60"/>
      <c r="BC138" s="55"/>
      <c r="BE138" s="25"/>
      <c r="BG138" s="25"/>
      <c r="BH138" s="25"/>
      <c r="BI138" s="25"/>
      <c r="BJ138" s="25"/>
      <c r="BK138" s="25"/>
      <c r="BL138" s="25"/>
      <c r="BM138" s="25"/>
      <c r="BN138" s="25"/>
      <c r="BO138" s="25"/>
      <c r="BP138" s="25"/>
    </row>
    <row r="139" spans="34:68" x14ac:dyDescent="0.3">
      <c r="AH139" s="39"/>
      <c r="AK139" s="39"/>
      <c r="AW139" s="49"/>
      <c r="AX139" s="49"/>
      <c r="AY139" s="49"/>
      <c r="AZ139" s="49"/>
      <c r="BA139" s="49"/>
      <c r="BB139" s="49"/>
      <c r="BC139" s="25"/>
      <c r="BE139" s="25"/>
      <c r="BG139" s="25"/>
      <c r="BH139" s="25"/>
      <c r="BI139" s="25"/>
      <c r="BJ139" s="25"/>
      <c r="BK139" s="25"/>
      <c r="BL139" s="58"/>
      <c r="BM139" s="58"/>
      <c r="BN139" s="25"/>
      <c r="BO139" s="25"/>
      <c r="BP139" s="25"/>
    </row>
    <row r="140" spans="34:68" x14ac:dyDescent="0.3">
      <c r="AH140" s="39"/>
      <c r="AK140" s="39"/>
      <c r="AW140" s="49"/>
      <c r="AX140" s="49"/>
      <c r="AY140" s="49"/>
      <c r="AZ140" s="49"/>
      <c r="BA140" s="49"/>
      <c r="BB140" s="49"/>
      <c r="BC140" s="25"/>
      <c r="BE140" s="25"/>
      <c r="BG140" s="55"/>
      <c r="BH140" s="25"/>
      <c r="BI140" s="25"/>
      <c r="BJ140" s="25"/>
      <c r="BK140" s="25"/>
      <c r="BL140" s="58"/>
      <c r="BM140" s="58"/>
      <c r="BN140" s="25"/>
      <c r="BO140" s="25"/>
      <c r="BP140" s="25"/>
    </row>
    <row r="141" spans="34:68" x14ac:dyDescent="0.3">
      <c r="AH141" s="39"/>
      <c r="AK141" s="39"/>
      <c r="AW141" s="72"/>
      <c r="AX141" s="72"/>
      <c r="AY141" s="72"/>
      <c r="AZ141" s="72"/>
      <c r="BA141" s="72"/>
      <c r="BB141" s="72"/>
      <c r="BC141" s="72"/>
      <c r="BD141" s="72"/>
      <c r="BE141" s="72"/>
      <c r="BG141" s="25"/>
      <c r="BH141" s="25"/>
      <c r="BI141" s="25"/>
      <c r="BJ141" s="25"/>
      <c r="BK141" s="25"/>
      <c r="BL141" s="58"/>
      <c r="BM141" s="58"/>
      <c r="BN141" s="25"/>
      <c r="BO141" s="25"/>
      <c r="BP141" s="25"/>
    </row>
    <row r="142" spans="34:68" x14ac:dyDescent="0.3">
      <c r="AH142" s="39"/>
      <c r="AK142" s="39"/>
      <c r="AW142" s="25"/>
      <c r="AX142" s="25"/>
      <c r="AZ142" s="91"/>
      <c r="BA142" s="92"/>
      <c r="BC142" s="91"/>
      <c r="BD142" s="92"/>
      <c r="BG142" s="55"/>
      <c r="BH142" s="25"/>
      <c r="BI142" s="25"/>
      <c r="BJ142" s="25"/>
      <c r="BK142" s="25"/>
      <c r="BL142" s="58"/>
      <c r="BM142" s="58"/>
      <c r="BN142" s="25"/>
      <c r="BO142" s="25"/>
      <c r="BP142" s="25"/>
    </row>
    <row r="143" spans="34:68" x14ac:dyDescent="0.3">
      <c r="AH143" s="39"/>
      <c r="AK143" s="39"/>
      <c r="AW143" s="93"/>
      <c r="AX143" s="25"/>
      <c r="AZ143" s="91"/>
      <c r="BA143" s="92"/>
      <c r="BC143" s="91"/>
      <c r="BD143" s="92"/>
      <c r="BG143" s="55"/>
      <c r="BH143" s="55"/>
      <c r="BI143" s="55"/>
      <c r="BJ143" s="55"/>
      <c r="BK143" s="55"/>
      <c r="BL143" s="92"/>
      <c r="BM143" s="92"/>
      <c r="BN143" s="68"/>
      <c r="BO143" s="55"/>
      <c r="BP143" s="25"/>
    </row>
    <row r="144" spans="34:68" x14ac:dyDescent="0.3">
      <c r="AH144" s="39"/>
      <c r="AK144" s="39"/>
      <c r="AW144" s="93"/>
      <c r="AX144" s="25"/>
      <c r="AZ144" s="91"/>
      <c r="BA144" s="55"/>
      <c r="BC144" s="91"/>
      <c r="BD144" s="92"/>
      <c r="BG144" s="55"/>
      <c r="BH144" s="55"/>
      <c r="BI144" s="55"/>
      <c r="BJ144" s="55"/>
      <c r="BK144" s="55"/>
      <c r="BL144" s="92"/>
      <c r="BM144" s="92"/>
      <c r="BN144" s="68"/>
      <c r="BO144" s="55"/>
      <c r="BP144" s="25"/>
    </row>
    <row r="145" spans="34:68" x14ac:dyDescent="0.3">
      <c r="AH145" s="39"/>
      <c r="AK145" s="39"/>
      <c r="AW145" s="25"/>
      <c r="AX145" s="25"/>
      <c r="AZ145" s="91"/>
      <c r="BA145" s="95"/>
      <c r="BC145" s="91"/>
      <c r="BD145" s="92"/>
      <c r="BG145" s="55"/>
      <c r="BH145" s="55"/>
      <c r="BI145" s="55"/>
      <c r="BJ145" s="55"/>
      <c r="BK145" s="55"/>
      <c r="BL145" s="92"/>
      <c r="BM145" s="92"/>
      <c r="BN145" s="68"/>
      <c r="BO145" s="55"/>
      <c r="BP145" s="25"/>
    </row>
    <row r="146" spans="34:68" x14ac:dyDescent="0.3">
      <c r="AH146" s="39"/>
      <c r="AK146" s="39"/>
      <c r="AW146" s="25"/>
      <c r="AX146" s="25"/>
      <c r="AZ146" s="91"/>
      <c r="BA146" s="96"/>
      <c r="BC146" s="91"/>
      <c r="BD146" s="92"/>
      <c r="BG146" s="25"/>
      <c r="BH146" s="25"/>
      <c r="BI146" s="25"/>
      <c r="BJ146" s="25"/>
      <c r="BK146" s="25"/>
      <c r="BL146" s="92"/>
      <c r="BM146" s="92"/>
      <c r="BN146" s="68"/>
      <c r="BO146" s="55"/>
      <c r="BP146" s="25"/>
    </row>
    <row r="147" spans="34:68" x14ac:dyDescent="0.3">
      <c r="AH147" s="39"/>
      <c r="AK147" s="39"/>
      <c r="AW147" s="25"/>
      <c r="AX147" s="25"/>
      <c r="AZ147" s="97"/>
      <c r="BA147" s="98"/>
      <c r="BB147" s="98"/>
      <c r="BC147" s="99"/>
      <c r="BD147" s="99"/>
      <c r="BG147" s="25"/>
      <c r="BH147" s="25"/>
      <c r="BI147" s="25"/>
      <c r="BJ147" s="25"/>
      <c r="BK147" s="25"/>
      <c r="BL147" s="92"/>
      <c r="BM147" s="92"/>
      <c r="BN147" s="68"/>
      <c r="BO147" s="55"/>
      <c r="BP147" s="25"/>
    </row>
    <row r="148" spans="34:68" x14ac:dyDescent="0.3">
      <c r="AH148" s="39"/>
      <c r="AK148" s="39"/>
      <c r="AW148" s="47"/>
      <c r="AX148" s="49"/>
      <c r="AY148" s="49"/>
      <c r="AZ148" s="49"/>
      <c r="BA148" s="49"/>
      <c r="BB148" s="25"/>
      <c r="BC148" s="25"/>
      <c r="BE148" s="25"/>
      <c r="BG148" s="25"/>
      <c r="BH148" s="25"/>
      <c r="BI148" s="25"/>
      <c r="BJ148" s="25"/>
      <c r="BK148" s="25"/>
      <c r="BL148" s="25"/>
      <c r="BM148" s="25"/>
      <c r="BN148" s="25"/>
      <c r="BO148" s="25"/>
      <c r="BP148" s="25"/>
    </row>
    <row r="149" spans="34:68" x14ac:dyDescent="0.3">
      <c r="AH149" s="39"/>
      <c r="AK149" s="39"/>
      <c r="AW149" s="49"/>
      <c r="AX149" s="49"/>
      <c r="AY149" s="49"/>
      <c r="AZ149" s="49"/>
      <c r="BA149" s="49"/>
      <c r="BB149" s="58"/>
      <c r="BC149" s="58"/>
      <c r="BE149" s="25"/>
      <c r="BG149" s="25"/>
      <c r="BH149" s="25"/>
      <c r="BI149" s="25"/>
      <c r="BJ149" s="25"/>
      <c r="BK149" s="25"/>
      <c r="BL149" s="25"/>
      <c r="BM149" s="25"/>
      <c r="BN149" s="25"/>
      <c r="BO149" s="25"/>
      <c r="BP149" s="25"/>
    </row>
    <row r="150" spans="34:68" x14ac:dyDescent="0.3">
      <c r="AH150" s="39"/>
      <c r="AK150" s="39"/>
      <c r="AW150" s="60"/>
      <c r="AX150" s="49"/>
      <c r="AY150" s="49"/>
      <c r="AZ150" s="49"/>
      <c r="BA150" s="49"/>
      <c r="BB150" s="58"/>
      <c r="BC150" s="58"/>
      <c r="BE150" s="25"/>
      <c r="BG150" s="25"/>
      <c r="BH150" s="25"/>
      <c r="BI150" s="25"/>
      <c r="BJ150" s="25"/>
      <c r="BK150" s="25"/>
      <c r="BL150" s="25"/>
      <c r="BM150" s="25"/>
      <c r="BN150" s="25"/>
      <c r="BO150" s="25"/>
      <c r="BP150" s="25"/>
    </row>
    <row r="151" spans="34:68" x14ac:dyDescent="0.3">
      <c r="AH151" s="39"/>
      <c r="AK151" s="39"/>
      <c r="AW151" s="47"/>
      <c r="AX151" s="49"/>
      <c r="AY151" s="49"/>
      <c r="AZ151" s="49"/>
      <c r="BA151" s="49"/>
      <c r="BB151" s="58"/>
      <c r="BC151" s="58"/>
      <c r="BE151" s="25"/>
      <c r="BG151" s="25"/>
      <c r="BH151" s="25"/>
      <c r="BI151" s="25"/>
      <c r="BJ151" s="25"/>
      <c r="BK151" s="25"/>
      <c r="BL151" s="25"/>
      <c r="BM151" s="25"/>
      <c r="BN151" s="25"/>
      <c r="BO151" s="25"/>
      <c r="BP151" s="25"/>
    </row>
    <row r="152" spans="34:68" x14ac:dyDescent="0.3">
      <c r="AH152" s="39"/>
      <c r="AK152" s="39"/>
      <c r="AW152" s="49"/>
      <c r="AX152" s="49"/>
      <c r="AY152" s="49"/>
      <c r="AZ152" s="49"/>
      <c r="BA152" s="49"/>
      <c r="BB152" s="58"/>
      <c r="BC152" s="58"/>
      <c r="BD152" s="75"/>
      <c r="BE152" s="25"/>
      <c r="BG152" s="25"/>
      <c r="BH152" s="25"/>
      <c r="BI152" s="25"/>
      <c r="BJ152" s="25"/>
      <c r="BK152" s="25"/>
      <c r="BL152" s="25"/>
      <c r="BM152" s="83"/>
      <c r="BN152" s="83"/>
      <c r="BO152" s="25"/>
      <c r="BP152" s="25"/>
    </row>
    <row r="153" spans="34:68" x14ac:dyDescent="0.3">
      <c r="AH153" s="39"/>
      <c r="AK153" s="39"/>
      <c r="AW153" s="60"/>
      <c r="AX153" s="49"/>
      <c r="AY153" s="49"/>
      <c r="AZ153" s="49"/>
      <c r="BA153" s="49"/>
      <c r="BB153" s="58"/>
      <c r="BC153" s="58"/>
      <c r="BD153" s="75"/>
      <c r="BE153" s="25"/>
      <c r="BG153" s="25"/>
      <c r="BH153" s="25"/>
      <c r="BI153" s="25"/>
      <c r="BJ153" s="25"/>
      <c r="BK153" s="25"/>
      <c r="BL153" s="25"/>
      <c r="BM153" s="25"/>
      <c r="BN153" s="25"/>
      <c r="BO153" s="25"/>
      <c r="BP153" s="25"/>
    </row>
    <row r="154" spans="34:68" x14ac:dyDescent="0.3">
      <c r="AH154" s="39"/>
      <c r="AK154" s="39"/>
      <c r="AW154" s="63"/>
      <c r="AX154" s="63"/>
      <c r="AY154" s="60"/>
      <c r="AZ154" s="60"/>
      <c r="BA154" s="60"/>
      <c r="BB154" s="92"/>
      <c r="BC154" s="67"/>
      <c r="BD154" s="68"/>
      <c r="BE154" s="55"/>
      <c r="BG154" s="25"/>
      <c r="BH154" s="25"/>
      <c r="BI154" s="25"/>
      <c r="BJ154" s="25"/>
      <c r="BK154" s="25"/>
      <c r="BL154" s="25"/>
      <c r="BM154" s="25"/>
      <c r="BN154" s="25"/>
      <c r="BO154" s="25"/>
      <c r="BP154" s="25"/>
    </row>
    <row r="155" spans="34:68" x14ac:dyDescent="0.3">
      <c r="AH155" s="39"/>
      <c r="AK155" s="39"/>
      <c r="BG155" s="25"/>
      <c r="BH155" s="25"/>
      <c r="BI155" s="25"/>
      <c r="BJ155" s="25"/>
      <c r="BK155" s="25"/>
      <c r="BL155" s="25"/>
      <c r="BM155" s="25"/>
      <c r="BN155" s="25"/>
      <c r="BO155" s="25"/>
      <c r="BP155" s="25"/>
    </row>
    <row r="156" spans="34:68" x14ac:dyDescent="0.3">
      <c r="AH156" s="39"/>
      <c r="AK156" s="39"/>
      <c r="BG156" s="25"/>
      <c r="BH156" s="25"/>
      <c r="BI156" s="25"/>
      <c r="BJ156" s="25"/>
      <c r="BK156" s="25"/>
      <c r="BL156" s="25"/>
      <c r="BM156" s="25"/>
      <c r="BN156" s="25"/>
      <c r="BO156" s="25"/>
      <c r="BP156" s="25"/>
    </row>
    <row r="157" spans="34:68" x14ac:dyDescent="0.3">
      <c r="AH157" s="39"/>
      <c r="AK157" s="39"/>
      <c r="BG157" s="25"/>
      <c r="BH157" s="25"/>
      <c r="BI157" s="25"/>
      <c r="BJ157" s="25"/>
      <c r="BK157" s="25"/>
      <c r="BL157" s="25"/>
      <c r="BM157" s="25"/>
      <c r="BN157" s="25"/>
      <c r="BO157" s="25"/>
      <c r="BP157" s="25"/>
    </row>
    <row r="158" spans="34:68" x14ac:dyDescent="0.3">
      <c r="AH158" s="39"/>
      <c r="AK158" s="39"/>
      <c r="BG158" s="25"/>
      <c r="BH158" s="25"/>
      <c r="BI158" s="25"/>
      <c r="BJ158" s="25"/>
      <c r="BK158" s="25"/>
      <c r="BL158" s="58"/>
      <c r="BM158" s="58"/>
      <c r="BN158" s="25"/>
      <c r="BO158" s="25"/>
      <c r="BP158" s="25"/>
    </row>
    <row r="159" spans="34:68" x14ac:dyDescent="0.3">
      <c r="AH159" s="39"/>
      <c r="AK159" s="39"/>
      <c r="BG159" s="55"/>
      <c r="BH159" s="25"/>
      <c r="BI159" s="25"/>
      <c r="BJ159" s="25"/>
      <c r="BK159" s="25"/>
      <c r="BL159" s="58"/>
      <c r="BM159" s="58"/>
      <c r="BN159" s="25"/>
      <c r="BO159" s="25"/>
      <c r="BP159" s="25"/>
    </row>
    <row r="160" spans="34:68" x14ac:dyDescent="0.3">
      <c r="AH160" s="39"/>
      <c r="AK160" s="39"/>
      <c r="BG160" s="25"/>
      <c r="BH160" s="25"/>
      <c r="BI160" s="25"/>
      <c r="BJ160" s="25"/>
      <c r="BK160" s="25"/>
      <c r="BL160" s="58"/>
      <c r="BM160" s="58"/>
      <c r="BN160" s="25"/>
      <c r="BO160" s="25"/>
      <c r="BP160" s="25"/>
    </row>
    <row r="161" spans="34:68" x14ac:dyDescent="0.3">
      <c r="AH161" s="39"/>
      <c r="AK161" s="39"/>
      <c r="BG161" s="55"/>
      <c r="BH161" s="25"/>
      <c r="BI161" s="25"/>
      <c r="BJ161" s="25"/>
      <c r="BK161" s="25"/>
      <c r="BL161" s="58"/>
      <c r="BM161" s="58"/>
      <c r="BN161" s="25"/>
      <c r="BO161" s="25"/>
      <c r="BP161" s="25"/>
    </row>
    <row r="162" spans="34:68" x14ac:dyDescent="0.3">
      <c r="AH162" s="39"/>
      <c r="AK162" s="39"/>
      <c r="BG162" s="55"/>
      <c r="BH162" s="55"/>
      <c r="BI162" s="55"/>
      <c r="BJ162" s="55"/>
      <c r="BK162" s="55"/>
      <c r="BL162" s="92"/>
      <c r="BM162" s="92"/>
      <c r="BN162" s="68"/>
      <c r="BO162" s="55"/>
      <c r="BP162" s="25"/>
    </row>
    <row r="163" spans="34:68" x14ac:dyDescent="0.3">
      <c r="AH163" s="39"/>
      <c r="AK163" s="39"/>
      <c r="BG163" s="55"/>
      <c r="BH163" s="55"/>
      <c r="BI163" s="55"/>
      <c r="BJ163" s="55"/>
      <c r="BK163" s="55"/>
      <c r="BL163" s="92"/>
      <c r="BM163" s="92"/>
      <c r="BN163" s="68"/>
      <c r="BO163" s="55"/>
      <c r="BP163" s="25"/>
    </row>
    <row r="164" spans="34:68" x14ac:dyDescent="0.3">
      <c r="AH164" s="39"/>
      <c r="AK164" s="39"/>
      <c r="BG164" s="55"/>
      <c r="BH164" s="55"/>
      <c r="BI164" s="55"/>
      <c r="BJ164" s="55"/>
      <c r="BK164" s="55"/>
      <c r="BL164" s="92"/>
      <c r="BM164" s="92"/>
      <c r="BN164" s="68"/>
      <c r="BO164" s="55"/>
      <c r="BP164" s="25"/>
    </row>
    <row r="165" spans="34:68" x14ac:dyDescent="0.3">
      <c r="AH165" s="39"/>
      <c r="AK165" s="39"/>
      <c r="BG165" s="25"/>
      <c r="BH165" s="25"/>
      <c r="BI165" s="25"/>
      <c r="BJ165" s="25"/>
      <c r="BK165" s="25"/>
      <c r="BL165" s="92"/>
      <c r="BM165" s="92"/>
      <c r="BN165" s="68"/>
      <c r="BO165" s="55"/>
      <c r="BP165" s="25"/>
    </row>
    <row r="166" spans="34:68" x14ac:dyDescent="0.3">
      <c r="AH166" s="39"/>
      <c r="AK166" s="39"/>
      <c r="BG166" s="25"/>
      <c r="BH166" s="25"/>
      <c r="BI166" s="25"/>
      <c r="BJ166" s="25"/>
      <c r="BK166" s="25"/>
      <c r="BL166" s="92"/>
      <c r="BM166" s="92"/>
      <c r="BN166" s="68"/>
      <c r="BO166" s="55"/>
      <c r="BP166" s="25"/>
    </row>
    <row r="167" spans="34:68" x14ac:dyDescent="0.3">
      <c r="AH167" s="39"/>
      <c r="AK167" s="39"/>
      <c r="BG167" s="25"/>
      <c r="BH167" s="25"/>
      <c r="BI167" s="25"/>
      <c r="BJ167" s="25"/>
      <c r="BK167" s="25"/>
      <c r="BL167" s="25"/>
      <c r="BM167" s="25"/>
      <c r="BN167" s="25"/>
      <c r="BO167" s="25"/>
      <c r="BP167" s="25"/>
    </row>
    <row r="168" spans="34:68" x14ac:dyDescent="0.3">
      <c r="AH168" s="39"/>
      <c r="AK168" s="39"/>
      <c r="BG168" s="25"/>
      <c r="BH168" s="25"/>
      <c r="BI168" s="25"/>
      <c r="BJ168" s="25"/>
      <c r="BK168" s="25"/>
      <c r="BL168" s="25"/>
      <c r="BM168" s="25"/>
      <c r="BN168" s="25"/>
      <c r="BO168" s="25"/>
      <c r="BP168" s="25"/>
    </row>
    <row r="169" spans="34:68" x14ac:dyDescent="0.3">
      <c r="AH169" s="39"/>
      <c r="AK169" s="39"/>
      <c r="BG169" s="25"/>
      <c r="BH169" s="25"/>
      <c r="BI169" s="25"/>
      <c r="BJ169" s="25"/>
      <c r="BK169" s="25"/>
      <c r="BL169" s="25"/>
      <c r="BM169" s="25"/>
      <c r="BN169" s="25"/>
      <c r="BO169" s="25"/>
      <c r="BP169" s="25"/>
    </row>
    <row r="170" spans="34:68" x14ac:dyDescent="0.3">
      <c r="AH170" s="39"/>
      <c r="AK170" s="39"/>
      <c r="BG170" s="25"/>
      <c r="BH170" s="25"/>
      <c r="BI170" s="25"/>
      <c r="BJ170" s="25"/>
      <c r="BK170" s="25"/>
      <c r="BL170" s="25"/>
      <c r="BM170" s="25"/>
      <c r="BN170" s="25"/>
      <c r="BO170" s="25"/>
      <c r="BP170" s="25"/>
    </row>
    <row r="171" spans="34:68" x14ac:dyDescent="0.3">
      <c r="AH171" s="39"/>
      <c r="AK171" s="39"/>
      <c r="BG171" s="83"/>
      <c r="BH171" s="83"/>
      <c r="BI171" s="83"/>
      <c r="BJ171" s="83"/>
      <c r="BK171" s="83"/>
      <c r="BL171" s="83"/>
      <c r="BM171" s="83"/>
      <c r="BN171" s="83"/>
      <c r="BO171" s="83"/>
      <c r="BP171" s="25"/>
    </row>
    <row r="172" spans="34:68" x14ac:dyDescent="0.3">
      <c r="AH172" s="39"/>
      <c r="AK172" s="39"/>
      <c r="BG172" s="83"/>
      <c r="BH172" s="83"/>
      <c r="BI172" s="83"/>
      <c r="BJ172" s="83"/>
      <c r="BK172" s="83"/>
      <c r="BL172" s="83"/>
      <c r="BM172" s="83"/>
      <c r="BN172" s="83"/>
      <c r="BO172" s="83"/>
      <c r="BP172" s="25"/>
    </row>
    <row r="173" spans="34:68" x14ac:dyDescent="0.3">
      <c r="AH173" s="39"/>
      <c r="AK173" s="39"/>
      <c r="BG173" s="83"/>
      <c r="BH173" s="83"/>
      <c r="BI173" s="83"/>
      <c r="BJ173" s="83"/>
      <c r="BK173" s="83"/>
      <c r="BL173" s="83"/>
      <c r="BM173" s="83"/>
      <c r="BN173" s="83"/>
      <c r="BO173" s="83"/>
      <c r="BP173" s="25"/>
    </row>
    <row r="174" spans="34:68" x14ac:dyDescent="0.3">
      <c r="AH174" s="39"/>
      <c r="AK174" s="39"/>
      <c r="BG174" s="25"/>
      <c r="BH174" s="25"/>
      <c r="BI174" s="25"/>
      <c r="BJ174" s="25"/>
      <c r="BK174" s="25"/>
      <c r="BL174" s="25"/>
      <c r="BM174" s="25"/>
      <c r="BN174" s="25"/>
      <c r="BO174" s="25"/>
      <c r="BP174" s="25"/>
    </row>
    <row r="175" spans="34:68" x14ac:dyDescent="0.3">
      <c r="AH175" s="39"/>
      <c r="AK175" s="39"/>
      <c r="BG175" s="25"/>
      <c r="BH175" s="25"/>
      <c r="BI175" s="25"/>
      <c r="BJ175" s="25"/>
      <c r="BK175" s="25"/>
      <c r="BL175" s="25"/>
      <c r="BM175" s="25"/>
      <c r="BN175" s="25"/>
      <c r="BO175" s="25"/>
    </row>
    <row r="176" spans="34:68" x14ac:dyDescent="0.3">
      <c r="AH176" s="39"/>
      <c r="AK176" s="39"/>
      <c r="BG176" s="25"/>
      <c r="BH176" s="25"/>
      <c r="BI176" s="25"/>
      <c r="BJ176" s="25"/>
      <c r="BK176" s="25"/>
      <c r="BL176" s="25"/>
      <c r="BM176" s="25"/>
      <c r="BN176" s="25"/>
      <c r="BO176" s="25"/>
    </row>
    <row r="177" spans="34:67" x14ac:dyDescent="0.3">
      <c r="AH177" s="39"/>
      <c r="AK177" s="39"/>
      <c r="BG177" s="25"/>
      <c r="BH177" s="25"/>
      <c r="BI177" s="25"/>
      <c r="BJ177" s="25"/>
      <c r="BK177" s="25"/>
      <c r="BL177" s="25"/>
      <c r="BM177" s="25"/>
      <c r="BN177" s="25"/>
      <c r="BO177" s="25"/>
    </row>
    <row r="178" spans="34:67" x14ac:dyDescent="0.3">
      <c r="AH178" s="39"/>
      <c r="AK178" s="39"/>
      <c r="BG178" s="25"/>
      <c r="BH178" s="25"/>
      <c r="BI178" s="25"/>
      <c r="BJ178" s="25"/>
      <c r="BK178" s="25"/>
      <c r="BL178" s="25"/>
      <c r="BM178" s="25"/>
      <c r="BN178" s="25"/>
      <c r="BO178" s="25"/>
    </row>
    <row r="179" spans="34:67" x14ac:dyDescent="0.3">
      <c r="AH179" s="39"/>
      <c r="AK179" s="39"/>
      <c r="BG179" s="25"/>
      <c r="BH179" s="25"/>
      <c r="BI179" s="25"/>
      <c r="BJ179" s="25"/>
      <c r="BK179" s="25"/>
      <c r="BL179" s="25"/>
      <c r="BM179" s="25"/>
      <c r="BN179" s="25"/>
      <c r="BO179" s="25"/>
    </row>
    <row r="180" spans="34:67" x14ac:dyDescent="0.3">
      <c r="AH180" s="39"/>
      <c r="AK180" s="39"/>
      <c r="BG180" s="25"/>
      <c r="BH180" s="25"/>
      <c r="BI180" s="25"/>
      <c r="BJ180" s="25"/>
      <c r="BK180" s="25"/>
      <c r="BL180" s="25"/>
      <c r="BM180" s="25"/>
      <c r="BN180" s="25"/>
      <c r="BO180" s="25"/>
    </row>
    <row r="181" spans="34:67" x14ac:dyDescent="0.3">
      <c r="AH181" s="39"/>
      <c r="AK181" s="39"/>
      <c r="BG181" s="25"/>
      <c r="BH181" s="25"/>
      <c r="BI181" s="25"/>
      <c r="BJ181" s="25"/>
      <c r="BK181" s="25"/>
      <c r="BL181" s="25"/>
      <c r="BM181" s="25"/>
      <c r="BN181" s="25"/>
      <c r="BO181" s="25"/>
    </row>
    <row r="182" spans="34:67" x14ac:dyDescent="0.3">
      <c r="AH182" s="39"/>
      <c r="AK182" s="39"/>
      <c r="BG182" s="25"/>
      <c r="BH182" s="25"/>
      <c r="BI182" s="25"/>
      <c r="BJ182" s="25"/>
      <c r="BK182" s="25"/>
      <c r="BL182" s="25"/>
      <c r="BM182" s="25"/>
      <c r="BN182" s="25"/>
      <c r="BO182" s="25"/>
    </row>
    <row r="183" spans="34:67" x14ac:dyDescent="0.3">
      <c r="AH183" s="39"/>
      <c r="AK183" s="39"/>
      <c r="BG183" s="25"/>
      <c r="BH183" s="25"/>
      <c r="BI183" s="25"/>
      <c r="BJ183" s="25"/>
      <c r="BK183" s="25"/>
      <c r="BL183" s="25"/>
      <c r="BM183" s="25"/>
      <c r="BN183" s="25"/>
      <c r="BO183" s="25"/>
    </row>
    <row r="184" spans="34:67" x14ac:dyDescent="0.3">
      <c r="AH184" s="39"/>
      <c r="AK184" s="39"/>
      <c r="BG184" s="25"/>
      <c r="BH184" s="25"/>
      <c r="BI184" s="25"/>
      <c r="BJ184" s="25"/>
      <c r="BK184" s="25"/>
      <c r="BL184" s="25"/>
      <c r="BM184" s="25"/>
      <c r="BN184" s="25"/>
      <c r="BO184" s="25"/>
    </row>
    <row r="185" spans="34:67" x14ac:dyDescent="0.3">
      <c r="AH185" s="39"/>
      <c r="AK185" s="39"/>
      <c r="BG185" s="25"/>
      <c r="BH185" s="25"/>
      <c r="BI185" s="25"/>
      <c r="BJ185" s="25"/>
      <c r="BK185" s="25"/>
      <c r="BL185" s="25"/>
      <c r="BM185" s="25"/>
      <c r="BN185" s="25"/>
      <c r="BO185" s="25"/>
    </row>
    <row r="186" spans="34:67" x14ac:dyDescent="0.3">
      <c r="AH186" s="39"/>
      <c r="AK186" s="39"/>
      <c r="BG186" s="25"/>
      <c r="BH186" s="25"/>
      <c r="BI186" s="25"/>
      <c r="BJ186" s="25"/>
      <c r="BK186" s="25"/>
      <c r="BL186" s="25"/>
      <c r="BM186" s="25"/>
      <c r="BN186" s="25"/>
      <c r="BO186" s="25"/>
    </row>
    <row r="187" spans="34:67" x14ac:dyDescent="0.3">
      <c r="AH187" s="39"/>
      <c r="AK187" s="39"/>
      <c r="BG187" s="25"/>
      <c r="BH187" s="25"/>
      <c r="BI187" s="25"/>
      <c r="BJ187" s="25"/>
      <c r="BK187" s="25"/>
      <c r="BL187" s="25"/>
      <c r="BM187" s="25"/>
      <c r="BN187" s="25"/>
      <c r="BO187" s="25"/>
    </row>
    <row r="188" spans="34:67" x14ac:dyDescent="0.3">
      <c r="AH188" s="39"/>
      <c r="AK188" s="39"/>
      <c r="BG188" s="25"/>
      <c r="BH188" s="25"/>
      <c r="BI188" s="25"/>
      <c r="BJ188" s="25"/>
      <c r="BK188" s="25"/>
      <c r="BL188" s="25"/>
      <c r="BM188" s="25"/>
      <c r="BN188" s="25"/>
      <c r="BO188" s="25"/>
    </row>
    <row r="189" spans="34:67" x14ac:dyDescent="0.3">
      <c r="AH189" s="39"/>
      <c r="AK189" s="39"/>
      <c r="BG189" s="25"/>
      <c r="BH189" s="25"/>
      <c r="BI189" s="25"/>
      <c r="BJ189" s="25"/>
      <c r="BK189" s="25"/>
      <c r="BL189" s="25"/>
      <c r="BM189" s="25"/>
      <c r="BN189" s="25"/>
      <c r="BO189" s="25"/>
    </row>
    <row r="190" spans="34:67" x14ac:dyDescent="0.3">
      <c r="AH190" s="39"/>
      <c r="AK190" s="39"/>
      <c r="BG190" s="25"/>
      <c r="BH190" s="25"/>
      <c r="BI190" s="25"/>
      <c r="BJ190" s="25"/>
      <c r="BK190" s="25"/>
      <c r="BL190" s="25"/>
      <c r="BM190" s="25"/>
      <c r="BN190" s="25"/>
      <c r="BO190" s="25"/>
    </row>
    <row r="191" spans="34:67" x14ac:dyDescent="0.3">
      <c r="AH191" s="39"/>
      <c r="AK191" s="39"/>
      <c r="BG191" s="25"/>
      <c r="BH191" s="25"/>
      <c r="BI191" s="25"/>
      <c r="BJ191" s="25"/>
      <c r="BK191" s="25"/>
      <c r="BL191" s="25"/>
      <c r="BM191" s="25"/>
      <c r="BN191" s="25"/>
      <c r="BO191" s="25"/>
    </row>
    <row r="192" spans="34:67" x14ac:dyDescent="0.3">
      <c r="AH192" s="39"/>
      <c r="AK192" s="39"/>
      <c r="BG192" s="25"/>
      <c r="BH192" s="25"/>
      <c r="BI192" s="25"/>
      <c r="BJ192" s="25"/>
      <c r="BK192" s="25"/>
      <c r="BL192" s="25"/>
      <c r="BM192" s="25"/>
      <c r="BN192" s="25"/>
      <c r="BO192" s="25"/>
    </row>
    <row r="193" spans="34:67" x14ac:dyDescent="0.3">
      <c r="AH193" s="39"/>
      <c r="AK193" s="39"/>
      <c r="BG193" s="25"/>
      <c r="BH193" s="25"/>
      <c r="BI193" s="25"/>
      <c r="BJ193" s="25"/>
      <c r="BK193" s="25"/>
      <c r="BL193" s="25"/>
      <c r="BM193" s="25"/>
      <c r="BN193" s="25"/>
      <c r="BO193" s="25"/>
    </row>
    <row r="194" spans="34:67" x14ac:dyDescent="0.3">
      <c r="AH194" s="39"/>
      <c r="AK194" s="39"/>
      <c r="BG194" s="25"/>
      <c r="BH194" s="25"/>
      <c r="BI194" s="25"/>
      <c r="BJ194" s="25"/>
      <c r="BK194" s="25"/>
      <c r="BL194" s="25"/>
      <c r="BM194" s="25"/>
      <c r="BN194" s="25"/>
      <c r="BO194" s="25"/>
    </row>
    <row r="195" spans="34:67" x14ac:dyDescent="0.3">
      <c r="AH195" s="39"/>
      <c r="AK195" s="39"/>
      <c r="BG195" s="25"/>
      <c r="BH195" s="25"/>
      <c r="BI195" s="25"/>
      <c r="BJ195" s="25"/>
      <c r="BK195" s="25"/>
      <c r="BL195" s="25"/>
      <c r="BM195" s="25"/>
      <c r="BN195" s="25"/>
      <c r="BO195" s="25"/>
    </row>
    <row r="196" spans="34:67" x14ac:dyDescent="0.3">
      <c r="AH196" s="39"/>
      <c r="AK196" s="39"/>
      <c r="BG196" s="25"/>
      <c r="BH196" s="25"/>
      <c r="BI196" s="25"/>
      <c r="BJ196" s="25"/>
      <c r="BK196" s="25"/>
      <c r="BL196" s="25"/>
      <c r="BM196" s="25"/>
      <c r="BN196" s="25"/>
      <c r="BO196" s="25"/>
    </row>
    <row r="197" spans="34:67" x14ac:dyDescent="0.3">
      <c r="AH197" s="39"/>
      <c r="AK197" s="39"/>
      <c r="BG197" s="25"/>
      <c r="BH197" s="25"/>
      <c r="BI197" s="25"/>
      <c r="BJ197" s="25"/>
      <c r="BK197" s="25"/>
      <c r="BL197" s="25"/>
      <c r="BM197" s="25"/>
      <c r="BN197" s="25"/>
      <c r="BO197" s="25"/>
    </row>
    <row r="198" spans="34:67" x14ac:dyDescent="0.3">
      <c r="AH198" s="39"/>
      <c r="AK198" s="39"/>
      <c r="BG198" s="25"/>
      <c r="BH198" s="25"/>
      <c r="BI198" s="25"/>
      <c r="BJ198" s="25"/>
      <c r="BK198" s="25"/>
      <c r="BL198" s="25"/>
      <c r="BM198" s="25"/>
      <c r="BN198" s="25"/>
      <c r="BO198" s="25"/>
    </row>
    <row r="199" spans="34:67" x14ac:dyDescent="0.3">
      <c r="AH199" s="39"/>
      <c r="AK199" s="39"/>
      <c r="BG199" s="25"/>
      <c r="BH199" s="25"/>
      <c r="BI199" s="25"/>
      <c r="BJ199" s="25"/>
      <c r="BK199" s="25"/>
      <c r="BL199" s="25"/>
      <c r="BM199" s="25"/>
      <c r="BN199" s="25"/>
      <c r="BO199" s="25"/>
    </row>
    <row r="200" spans="34:67" x14ac:dyDescent="0.3">
      <c r="AH200" s="39"/>
      <c r="AK200" s="39"/>
      <c r="BG200" s="25"/>
      <c r="BH200" s="25"/>
      <c r="BI200" s="25"/>
      <c r="BJ200" s="25"/>
      <c r="BK200" s="25"/>
      <c r="BL200" s="25"/>
      <c r="BM200" s="25"/>
      <c r="BN200" s="25"/>
      <c r="BO200" s="25"/>
    </row>
    <row r="201" spans="34:67" x14ac:dyDescent="0.3">
      <c r="AH201" s="39"/>
      <c r="AK201" s="39"/>
      <c r="BG201" s="25"/>
      <c r="BH201" s="25"/>
      <c r="BI201" s="25"/>
      <c r="BJ201" s="25"/>
      <c r="BK201" s="25"/>
      <c r="BL201" s="25"/>
      <c r="BM201" s="25"/>
      <c r="BN201" s="25"/>
      <c r="BO201" s="25"/>
    </row>
    <row r="202" spans="34:67" x14ac:dyDescent="0.3">
      <c r="AH202" s="39"/>
      <c r="AK202" s="39"/>
      <c r="BG202" s="25"/>
      <c r="BH202" s="25"/>
      <c r="BI202" s="25"/>
      <c r="BJ202" s="25"/>
      <c r="BK202" s="25"/>
      <c r="BL202" s="25"/>
      <c r="BM202" s="25"/>
      <c r="BN202" s="25"/>
      <c r="BO202" s="25"/>
    </row>
    <row r="203" spans="34:67" x14ac:dyDescent="0.3">
      <c r="AH203" s="39"/>
      <c r="AK203" s="39"/>
      <c r="BG203" s="25"/>
      <c r="BH203" s="25"/>
      <c r="BI203" s="25"/>
      <c r="BJ203" s="25"/>
      <c r="BK203" s="25"/>
      <c r="BL203" s="25"/>
      <c r="BM203" s="25"/>
      <c r="BN203" s="25"/>
      <c r="BO203" s="25"/>
    </row>
    <row r="204" spans="34:67" x14ac:dyDescent="0.3">
      <c r="AH204" s="39"/>
      <c r="AK204" s="39"/>
      <c r="BG204" s="25"/>
      <c r="BH204" s="25"/>
      <c r="BI204" s="25"/>
      <c r="BJ204" s="25"/>
      <c r="BK204" s="25"/>
      <c r="BL204" s="25"/>
      <c r="BM204" s="25"/>
      <c r="BN204" s="25"/>
      <c r="BO204" s="25"/>
    </row>
    <row r="205" spans="34:67" x14ac:dyDescent="0.3">
      <c r="AH205" s="39"/>
      <c r="AK205" s="39"/>
      <c r="BG205" s="25"/>
      <c r="BH205" s="25"/>
      <c r="BI205" s="25"/>
      <c r="BJ205" s="25"/>
      <c r="BK205" s="25"/>
      <c r="BL205" s="25"/>
      <c r="BM205" s="25"/>
      <c r="BN205" s="25"/>
      <c r="BO205" s="25"/>
    </row>
    <row r="206" spans="34:67" x14ac:dyDescent="0.3">
      <c r="AH206" s="39"/>
      <c r="AK206" s="39"/>
    </row>
    <row r="207" spans="34:67" x14ac:dyDescent="0.3">
      <c r="AH207" s="39"/>
      <c r="AK207" s="39"/>
    </row>
    <row r="208" spans="34:67" x14ac:dyDescent="0.3">
      <c r="AH208" s="39"/>
      <c r="AK208" s="39"/>
    </row>
    <row r="209" spans="34:37" x14ac:dyDescent="0.3">
      <c r="AH209" s="39"/>
      <c r="AK209" s="39"/>
    </row>
    <row r="210" spans="34:37" x14ac:dyDescent="0.3">
      <c r="AH210" s="39"/>
      <c r="AK210" s="39"/>
    </row>
    <row r="211" spans="34:37" x14ac:dyDescent="0.3">
      <c r="AH211" s="39"/>
      <c r="AK211" s="39"/>
    </row>
    <row r="212" spans="34:37" x14ac:dyDescent="0.3">
      <c r="AH212" s="39"/>
      <c r="AK212" s="39"/>
    </row>
    <row r="213" spans="34:37" x14ac:dyDescent="0.3">
      <c r="AH213" s="39"/>
      <c r="AK213" s="39"/>
    </row>
    <row r="214" spans="34:37" x14ac:dyDescent="0.3">
      <c r="AH214" s="39"/>
      <c r="AK214" s="39"/>
    </row>
    <row r="215" spans="34:37" x14ac:dyDescent="0.3">
      <c r="AH215" s="39"/>
      <c r="AK215" s="39"/>
    </row>
    <row r="216" spans="34:37" x14ac:dyDescent="0.3">
      <c r="AH216" s="39"/>
      <c r="AK216" s="39"/>
    </row>
    <row r="217" spans="34:37" x14ac:dyDescent="0.3">
      <c r="AH217" s="39"/>
      <c r="AK217" s="39"/>
    </row>
    <row r="218" spans="34:37" x14ac:dyDescent="0.3">
      <c r="AH218" s="39"/>
      <c r="AK218" s="39"/>
    </row>
    <row r="219" spans="34:37" x14ac:dyDescent="0.3">
      <c r="AH219" s="39"/>
      <c r="AK219" s="39"/>
    </row>
    <row r="220" spans="34:37" x14ac:dyDescent="0.3">
      <c r="AH220" s="39"/>
      <c r="AK220" s="39"/>
    </row>
    <row r="221" spans="34:37" x14ac:dyDescent="0.3">
      <c r="AH221" s="39"/>
      <c r="AK221" s="39"/>
    </row>
    <row r="222" spans="34:37" x14ac:dyDescent="0.3">
      <c r="AH222" s="39"/>
      <c r="AK222" s="39"/>
    </row>
    <row r="223" spans="34:37" x14ac:dyDescent="0.3">
      <c r="AH223" s="39"/>
      <c r="AK223" s="39"/>
    </row>
    <row r="224" spans="34:37" x14ac:dyDescent="0.3">
      <c r="AH224" s="39"/>
      <c r="AK224" s="39"/>
    </row>
    <row r="225" spans="34:37" x14ac:dyDescent="0.3">
      <c r="AH225" s="39"/>
      <c r="AK225" s="39"/>
    </row>
    <row r="226" spans="34:37" x14ac:dyDescent="0.3">
      <c r="AH226" s="39"/>
      <c r="AK226" s="39"/>
    </row>
  </sheetData>
  <sheetProtection algorithmName="SHA-512" hashValue="S7QTY8HJv46SZkHbu0Ud05yHTd+da/+FcnjGtOO0o2TIJU2y/RH12us8w6i/Ym8OJcCcqDLG05r1BbxQ1DIg7g==" saltValue="qpdGwX8VpMtfbJWyPDpwGA==" spinCount="100000" sheet="1" scenarios="1"/>
  <protectedRanges>
    <protectedRange sqref="BA38:BD38 BC39" name="Front Wing"/>
    <protectedRange sqref="T34:T36 AD39:AD42 Z38:AE38" name="Crushed"/>
    <protectedRange sqref="AH8:AK1048576" name="Data"/>
    <protectedRange sqref="H39:H40 J41:J42 H43:H44" name="IA"/>
    <protectedRange sqref="BM51:BM54 BK49 BM47:BM48" name="Shear"/>
    <protectedRange sqref="AS39" name="Energy"/>
  </protectedRanges>
  <mergeCells count="80">
    <mergeCell ref="BM122:BN122"/>
    <mergeCell ref="BM124:BN124"/>
    <mergeCell ref="BM126:BN126"/>
    <mergeCell ref="BG90:BO90"/>
    <mergeCell ref="BG91:BO91"/>
    <mergeCell ref="BM96:BN96"/>
    <mergeCell ref="BI97:BL97"/>
    <mergeCell ref="BH98:BL98"/>
    <mergeCell ref="BI99:BL99"/>
    <mergeCell ref="BG89:BN89"/>
    <mergeCell ref="AW45:BA45"/>
    <mergeCell ref="BB45:BE45"/>
    <mergeCell ref="BM45:BN45"/>
    <mergeCell ref="AW46:BE46"/>
    <mergeCell ref="BM46:BN46"/>
    <mergeCell ref="AW47:BE47"/>
    <mergeCell ref="BM47:BN47"/>
    <mergeCell ref="BM48:BN48"/>
    <mergeCell ref="BK49:BN49"/>
    <mergeCell ref="BG81:BO81"/>
    <mergeCell ref="BM86:BN86"/>
    <mergeCell ref="BM88:BN88"/>
    <mergeCell ref="X37:AF37"/>
    <mergeCell ref="BG44:BO44"/>
    <mergeCell ref="D38:L38"/>
    <mergeCell ref="X38:Y38"/>
    <mergeCell ref="Z38:AE38"/>
    <mergeCell ref="AM38:AU38"/>
    <mergeCell ref="AX38:AZ38"/>
    <mergeCell ref="BA38:BD38"/>
    <mergeCell ref="H39:K39"/>
    <mergeCell ref="H40:K40"/>
    <mergeCell ref="H43:K43"/>
    <mergeCell ref="H44:K44"/>
    <mergeCell ref="AW44:BE44"/>
    <mergeCell ref="BI30:BO31"/>
    <mergeCell ref="D36:E36"/>
    <mergeCell ref="F36:H36"/>
    <mergeCell ref="I36:L36"/>
    <mergeCell ref="X36:AF36"/>
    <mergeCell ref="Z30:AF31"/>
    <mergeCell ref="AM30:AN31"/>
    <mergeCell ref="AO30:AU31"/>
    <mergeCell ref="N33:V33"/>
    <mergeCell ref="D35:E35"/>
    <mergeCell ref="F35:H35"/>
    <mergeCell ref="I35:L35"/>
    <mergeCell ref="AW29:BE29"/>
    <mergeCell ref="AW37:BE37"/>
    <mergeCell ref="AW30:AX31"/>
    <mergeCell ref="AY30:BE31"/>
    <mergeCell ref="BG30:BH31"/>
    <mergeCell ref="A21:C22"/>
    <mergeCell ref="AX21:BD22"/>
    <mergeCell ref="BH21:BN22"/>
    <mergeCell ref="A23:C30"/>
    <mergeCell ref="AX23:BD24"/>
    <mergeCell ref="BH23:BN24"/>
    <mergeCell ref="D29:L29"/>
    <mergeCell ref="N29:V29"/>
    <mergeCell ref="X29:AF29"/>
    <mergeCell ref="AM29:AU29"/>
    <mergeCell ref="BG29:BO29"/>
    <mergeCell ref="D30:E31"/>
    <mergeCell ref="F30:L31"/>
    <mergeCell ref="N30:O31"/>
    <mergeCell ref="P30:V31"/>
    <mergeCell ref="X30:Y31"/>
    <mergeCell ref="AW13:BE14"/>
    <mergeCell ref="BG13:BO14"/>
    <mergeCell ref="A14:C14"/>
    <mergeCell ref="A15:C15"/>
    <mergeCell ref="X15:AF16"/>
    <mergeCell ref="A16:C16"/>
    <mergeCell ref="AM13:AU14"/>
    <mergeCell ref="AH1:AK7"/>
    <mergeCell ref="D7:F7"/>
    <mergeCell ref="D13:L20"/>
    <mergeCell ref="N13:V18"/>
    <mergeCell ref="X13:AF14"/>
  </mergeCells>
  <conditionalFormatting sqref="A1:XFD45 A76:XFD1048576 A46:C75 F46:XFD75">
    <cfRule type="beginsWith" dxfId="17" priority="5" operator="beginsWith" text="REJECT">
      <formula>LEFT(A1,LEN("REJECT"))="REJECT"</formula>
    </cfRule>
    <cfRule type="beginsWith" dxfId="16" priority="6" operator="beginsWith" text="EQ">
      <formula>LEFT(A1,LEN("EQ"))="EQ"</formula>
    </cfRule>
    <cfRule type="beginsWith" dxfId="15" priority="7" operator="beginsWith" text="BLANK">
      <formula>LEFT(A1,LEN("BLANK"))="BLANK"</formula>
    </cfRule>
    <cfRule type="beginsWith" dxfId="14" priority="8" operator="beginsWith" text="CHECK">
      <formula>LEFT(A1,LEN("CHECK"))="CHECK"</formula>
    </cfRule>
  </conditionalFormatting>
  <conditionalFormatting sqref="D46:E46 D76:E76 D60 E65:E66 E57:E58 E61 E71:E72 D48:E48 D50:E50 D52:E52 D54:E54 E74:E75">
    <cfRule type="beginsWith" dxfId="13" priority="1" operator="beginsWith" text="REJECT">
      <formula>LEFT(D46,LEN("REJECT"))="REJECT"</formula>
    </cfRule>
    <cfRule type="beginsWith" dxfId="12" priority="2" operator="beginsWith" text="EQ">
      <formula>LEFT(D46,LEN("EQ"))="EQ"</formula>
    </cfRule>
    <cfRule type="beginsWith" dxfId="11" priority="3" operator="beginsWith" text="BLANK">
      <formula>LEFT(D46,LEN("BLANK"))="BLANK"</formula>
    </cfRule>
    <cfRule type="beginsWith" dxfId="10" priority="4" operator="beginsWith" text="CHECK">
      <formula>LEFT(D46,LEN("CHECK"))="CHECK"</formula>
    </cfRule>
  </conditionalFormatting>
  <dataValidations count="4">
    <dataValidation type="list" allowBlank="1" showInputMessage="1" showErrorMessage="1" sqref="BM47:BN47" xr:uid="{CE5A6C8D-C3B2-409F-BDC6-AC0DDD1DB7C7}">
      <formula1>"Welded, Bolted, Bonded"</formula1>
    </dataValidation>
    <dataValidation type="list" allowBlank="1" showInputMessage="1" showErrorMessage="1" sqref="H43:K43" xr:uid="{9B787810-0F68-40A3-BA88-55721CCE9B95}">
      <formula1>"Quasi Static, Dynamic"</formula1>
    </dataValidation>
    <dataValidation type="list" allowBlank="1" showInputMessage="1" showErrorMessage="1" sqref="BM48:BN49" xr:uid="{3B441CBF-5CCD-4740-83DB-5D4AF1D3107B}">
      <formula1>"No, Yes"</formula1>
    </dataValidation>
    <dataValidation type="list" allowBlank="1" showInputMessage="1" showErrorMessage="1" sqref="BA38:BD38" xr:uid="{E36A077F-83C4-4EF2-BE75-BB8287335262}">
      <formula1>"No Front Wing, Front Wing Physically Tested, Front Wing Calculation Required"</formula1>
    </dataValidation>
  </dataValidations>
  <pageMargins left="0.7" right="0.7" top="0.75" bottom="0.75" header="0.3" footer="0.3"/>
  <pageSetup paperSize="24"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5BB4-DD8C-487D-8A64-7F1718019835}">
  <dimension ref="A1:W276"/>
  <sheetViews>
    <sheetView workbookViewId="0">
      <selection activeCell="A20" sqref="A20:C20"/>
    </sheetView>
  </sheetViews>
  <sheetFormatPr baseColWidth="10" defaultColWidth="9.109375" defaultRowHeight="14.4" x14ac:dyDescent="0.3"/>
  <cols>
    <col min="1" max="16384" width="9.109375" style="16"/>
  </cols>
  <sheetData>
    <row r="1" spans="1:23" x14ac:dyDescent="0.3">
      <c r="A1" s="15"/>
      <c r="B1" s="15"/>
      <c r="C1" s="15"/>
      <c r="D1" s="347" t="s">
        <v>204</v>
      </c>
      <c r="E1" s="347"/>
      <c r="F1" s="347"/>
      <c r="G1" s="347"/>
      <c r="H1" s="347"/>
      <c r="I1" s="347"/>
      <c r="J1" s="347"/>
      <c r="K1" s="347"/>
      <c r="L1" s="347"/>
      <c r="M1" s="347"/>
      <c r="N1" s="347" t="s">
        <v>204</v>
      </c>
      <c r="O1" s="347"/>
      <c r="P1" s="347"/>
      <c r="Q1" s="347"/>
      <c r="R1" s="347"/>
      <c r="S1" s="347"/>
      <c r="T1" s="347"/>
      <c r="U1" s="347"/>
      <c r="V1" s="347"/>
      <c r="W1" s="347"/>
    </row>
    <row r="2" spans="1:23" x14ac:dyDescent="0.3">
      <c r="A2" s="348" t="str">
        <f>IF(OR(A4="YES",A4="NO"),"EQ","BLANK")</f>
        <v>BLANK</v>
      </c>
      <c r="B2" s="348"/>
      <c r="C2" s="348"/>
      <c r="D2" s="347"/>
      <c r="E2" s="347"/>
      <c r="F2" s="347"/>
      <c r="G2" s="347"/>
      <c r="H2" s="347"/>
      <c r="I2" s="347"/>
      <c r="J2" s="347"/>
      <c r="K2" s="347"/>
      <c r="L2" s="347"/>
      <c r="M2" s="347"/>
      <c r="N2" s="347"/>
      <c r="O2" s="347"/>
      <c r="P2" s="347"/>
      <c r="Q2" s="347"/>
      <c r="R2" s="347"/>
      <c r="S2" s="347"/>
      <c r="T2" s="347"/>
      <c r="U2" s="347"/>
      <c r="V2" s="347"/>
      <c r="W2" s="347"/>
    </row>
    <row r="3" spans="1:23" ht="15" customHeight="1" thickBot="1" x14ac:dyDescent="0.35">
      <c r="A3" s="349" t="s">
        <v>205</v>
      </c>
      <c r="B3" s="349"/>
      <c r="C3" s="349"/>
      <c r="D3" s="347" t="s">
        <v>204</v>
      </c>
      <c r="E3" s="347"/>
      <c r="F3" s="347"/>
      <c r="G3" s="347"/>
      <c r="H3" s="347"/>
      <c r="I3" s="347"/>
      <c r="J3" s="347"/>
      <c r="K3" s="347"/>
      <c r="L3" s="347"/>
      <c r="M3" s="347"/>
      <c r="N3" s="347" t="s">
        <v>204</v>
      </c>
      <c r="O3" s="347"/>
      <c r="P3" s="347"/>
      <c r="Q3" s="347"/>
      <c r="R3" s="347"/>
      <c r="S3" s="347"/>
      <c r="T3" s="347"/>
      <c r="U3" s="347"/>
      <c r="V3" s="347"/>
      <c r="W3" s="347"/>
    </row>
    <row r="4" spans="1:23" ht="15" thickBot="1" x14ac:dyDescent="0.35">
      <c r="A4" s="350" t="s">
        <v>163</v>
      </c>
      <c r="B4" s="351"/>
      <c r="C4" s="352"/>
      <c r="D4" s="347"/>
      <c r="E4" s="347"/>
      <c r="F4" s="347"/>
      <c r="G4" s="347"/>
      <c r="H4" s="347"/>
      <c r="I4" s="347"/>
      <c r="J4" s="347"/>
      <c r="K4" s="347"/>
      <c r="L4" s="347"/>
      <c r="M4" s="347"/>
      <c r="N4" s="347"/>
      <c r="O4" s="347"/>
      <c r="P4" s="347"/>
      <c r="Q4" s="347"/>
      <c r="R4" s="347"/>
      <c r="S4" s="347"/>
      <c r="T4" s="347"/>
      <c r="U4" s="347"/>
      <c r="V4" s="347"/>
      <c r="W4" s="347"/>
    </row>
    <row r="5" spans="1:23" x14ac:dyDescent="0.3">
      <c r="A5" s="353" t="str">
        <f>IF(A4="YES","PROVIDE DOCUMENTS","")</f>
        <v/>
      </c>
      <c r="B5" s="353"/>
      <c r="C5" s="353"/>
    </row>
    <row r="6" spans="1:23" x14ac:dyDescent="0.3">
      <c r="A6" s="348" t="str">
        <f>IF(OR(A8="YES",A8="NO"),"EQ","BLANK")</f>
        <v>BLANK</v>
      </c>
      <c r="B6" s="348"/>
      <c r="C6" s="348"/>
    </row>
    <row r="7" spans="1:23" ht="15" thickBot="1" x14ac:dyDescent="0.35">
      <c r="A7" s="349" t="s">
        <v>206</v>
      </c>
      <c r="B7" s="349"/>
      <c r="C7" s="349"/>
      <c r="G7" s="354" t="s">
        <v>207</v>
      </c>
      <c r="H7" s="354"/>
      <c r="I7" s="354"/>
      <c r="Q7" s="354" t="s">
        <v>207</v>
      </c>
      <c r="R7" s="354"/>
      <c r="S7" s="354"/>
    </row>
    <row r="8" spans="1:23" ht="15" customHeight="1" thickBot="1" x14ac:dyDescent="0.35">
      <c r="A8" s="350" t="s">
        <v>163</v>
      </c>
      <c r="B8" s="351"/>
      <c r="C8" s="352"/>
      <c r="G8" s="354"/>
      <c r="H8" s="354"/>
      <c r="I8" s="354"/>
      <c r="Q8" s="354"/>
      <c r="R8" s="354"/>
      <c r="S8" s="354"/>
    </row>
    <row r="9" spans="1:23" x14ac:dyDescent="0.3">
      <c r="A9" s="353" t="str">
        <f>IF(A8="YES","PROVIDE DOCUMENTS","")</f>
        <v/>
      </c>
      <c r="B9" s="353"/>
      <c r="C9" s="353"/>
      <c r="G9" s="355" t="s">
        <v>208</v>
      </c>
      <c r="H9" s="355"/>
      <c r="I9" s="355"/>
      <c r="Q9" s="355" t="s">
        <v>208</v>
      </c>
      <c r="R9" s="355"/>
      <c r="S9" s="355"/>
    </row>
    <row r="10" spans="1:23" x14ac:dyDescent="0.3">
      <c r="A10" s="348" t="str">
        <f>IF(OR(A12="YES",A12="NO"),"EQ","BLANK")</f>
        <v>BLANK</v>
      </c>
      <c r="B10" s="348"/>
      <c r="C10" s="348"/>
      <c r="G10" s="355"/>
      <c r="H10" s="355"/>
      <c r="I10" s="355"/>
      <c r="Q10" s="355"/>
      <c r="R10" s="355"/>
      <c r="S10" s="355"/>
    </row>
    <row r="11" spans="1:23" ht="15" thickBot="1" x14ac:dyDescent="0.35">
      <c r="A11" s="349" t="s">
        <v>209</v>
      </c>
      <c r="B11" s="349"/>
      <c r="C11" s="349"/>
      <c r="G11" s="355"/>
      <c r="H11" s="355"/>
      <c r="I11" s="355"/>
      <c r="Q11" s="355"/>
      <c r="R11" s="355"/>
      <c r="S11" s="355"/>
    </row>
    <row r="12" spans="1:23" ht="15" thickBot="1" x14ac:dyDescent="0.35">
      <c r="A12" s="350" t="s">
        <v>163</v>
      </c>
      <c r="B12" s="351"/>
      <c r="C12" s="352"/>
      <c r="G12" s="355"/>
      <c r="H12" s="355"/>
      <c r="I12" s="355"/>
      <c r="Q12" s="355"/>
      <c r="R12" s="355"/>
      <c r="S12" s="355"/>
    </row>
    <row r="13" spans="1:23" x14ac:dyDescent="0.3">
      <c r="A13" s="353" t="str">
        <f>IF(A12="YES","FIBER AND RESIN DOCS","")</f>
        <v/>
      </c>
      <c r="B13" s="353"/>
      <c r="C13" s="353"/>
      <c r="G13" s="355" t="s">
        <v>210</v>
      </c>
      <c r="H13" s="355"/>
      <c r="I13" s="355"/>
      <c r="Q13" s="355" t="s">
        <v>210</v>
      </c>
      <c r="R13" s="355"/>
      <c r="S13" s="355"/>
    </row>
    <row r="14" spans="1:23" x14ac:dyDescent="0.3">
      <c r="A14" s="348" t="str">
        <f>IF(OR(A16="YES",A16="NO"),"EQ","BLANK")</f>
        <v>BLANK</v>
      </c>
      <c r="B14" s="348"/>
      <c r="C14" s="348"/>
      <c r="G14" s="355"/>
      <c r="H14" s="355"/>
      <c r="I14" s="355"/>
      <c r="Q14" s="355"/>
      <c r="R14" s="355"/>
      <c r="S14" s="355"/>
    </row>
    <row r="15" spans="1:23" ht="15" thickBot="1" x14ac:dyDescent="0.35">
      <c r="A15" s="349" t="s">
        <v>211</v>
      </c>
      <c r="B15" s="349"/>
      <c r="C15" s="349"/>
      <c r="G15" s="355"/>
      <c r="H15" s="355"/>
      <c r="I15" s="355"/>
      <c r="Q15" s="355"/>
      <c r="R15" s="355"/>
      <c r="S15" s="355"/>
    </row>
    <row r="16" spans="1:23" ht="15" thickBot="1" x14ac:dyDescent="0.35">
      <c r="A16" s="350" t="s">
        <v>163</v>
      </c>
      <c r="B16" s="351"/>
      <c r="C16" s="352"/>
      <c r="G16" s="355"/>
      <c r="H16" s="355"/>
      <c r="I16" s="355"/>
      <c r="Q16" s="355"/>
      <c r="R16" s="355"/>
      <c r="S16" s="355"/>
    </row>
    <row r="17" spans="1:19" ht="15" customHeight="1" x14ac:dyDescent="0.3">
      <c r="A17" s="353" t="str">
        <f>IF(A16="YES","PROVIDE DOCUMENTS","")</f>
        <v/>
      </c>
      <c r="B17" s="353"/>
      <c r="C17" s="353"/>
      <c r="G17" s="356" t="s">
        <v>212</v>
      </c>
      <c r="H17" s="356"/>
      <c r="I17" s="356"/>
      <c r="Q17" s="356" t="s">
        <v>212</v>
      </c>
      <c r="R17" s="356"/>
      <c r="S17" s="356"/>
    </row>
    <row r="18" spans="1:19" ht="15" customHeight="1" x14ac:dyDescent="0.3">
      <c r="A18" s="348" t="str">
        <f>IF(OR(A20="YES",A20="NO"),"EQ","BLANK")</f>
        <v>BLANK</v>
      </c>
      <c r="B18" s="348"/>
      <c r="C18" s="348"/>
      <c r="G18" s="356"/>
      <c r="H18" s="356"/>
      <c r="I18" s="356"/>
      <c r="Q18" s="356"/>
      <c r="R18" s="356"/>
      <c r="S18" s="356"/>
    </row>
    <row r="19" spans="1:19" ht="15" customHeight="1" thickBot="1" x14ac:dyDescent="0.35">
      <c r="A19" s="349" t="s">
        <v>215</v>
      </c>
      <c r="B19" s="349"/>
      <c r="C19" s="349"/>
      <c r="G19" s="356"/>
      <c r="H19" s="356"/>
      <c r="I19" s="356"/>
      <c r="Q19" s="356"/>
      <c r="R19" s="356"/>
      <c r="S19" s="356"/>
    </row>
    <row r="20" spans="1:19" ht="15" customHeight="1" thickBot="1" x14ac:dyDescent="0.35">
      <c r="A20" s="350" t="s">
        <v>163</v>
      </c>
      <c r="B20" s="351"/>
      <c r="C20" s="352"/>
      <c r="G20" s="356"/>
      <c r="H20" s="356"/>
      <c r="I20" s="356"/>
      <c r="Q20" s="356"/>
      <c r="R20" s="356"/>
      <c r="S20" s="356"/>
    </row>
    <row r="21" spans="1:19" ht="15" customHeight="1" x14ac:dyDescent="0.3">
      <c r="A21" s="353" t="str">
        <f>IF(A20="YES","PROVIDE DOCUMENTS","")</f>
        <v/>
      </c>
      <c r="B21" s="353"/>
      <c r="C21" s="353"/>
      <c r="G21" s="355" t="s">
        <v>213</v>
      </c>
      <c r="H21" s="355"/>
      <c r="I21" s="355"/>
      <c r="Q21" s="355" t="s">
        <v>213</v>
      </c>
      <c r="R21" s="355"/>
      <c r="S21" s="355"/>
    </row>
    <row r="22" spans="1:19" ht="15" customHeight="1" x14ac:dyDescent="0.3">
      <c r="A22" s="14"/>
      <c r="B22" s="14"/>
      <c r="C22" s="14"/>
      <c r="G22" s="355"/>
      <c r="H22" s="355"/>
      <c r="I22" s="355"/>
      <c r="Q22" s="355"/>
      <c r="R22" s="355"/>
      <c r="S22" s="355"/>
    </row>
    <row r="23" spans="1:19" ht="15" customHeight="1" x14ac:dyDescent="0.3">
      <c r="A23" s="14"/>
      <c r="B23" s="18" t="s">
        <v>217</v>
      </c>
      <c r="C23" s="14"/>
      <c r="G23" s="355"/>
      <c r="H23" s="355"/>
      <c r="I23" s="355"/>
      <c r="Q23" s="355"/>
      <c r="R23" s="355"/>
      <c r="S23" s="355"/>
    </row>
    <row r="24" spans="1:19" ht="15" customHeight="1" x14ac:dyDescent="0.3">
      <c r="A24" s="14"/>
      <c r="B24" s="14" t="s">
        <v>216</v>
      </c>
      <c r="C24" s="14"/>
      <c r="G24" s="355"/>
      <c r="H24" s="355"/>
      <c r="I24" s="355"/>
      <c r="Q24" s="355"/>
      <c r="R24" s="355"/>
      <c r="S24" s="355"/>
    </row>
    <row r="25" spans="1:19" ht="15" customHeight="1" x14ac:dyDescent="0.3">
      <c r="A25" s="14"/>
      <c r="B25" s="14"/>
      <c r="C25" s="14"/>
      <c r="G25" s="355"/>
      <c r="H25" s="355"/>
      <c r="I25" s="355"/>
      <c r="Q25" s="355"/>
      <c r="R25" s="355"/>
      <c r="S25" s="355"/>
    </row>
    <row r="26" spans="1:19" ht="15" customHeight="1" x14ac:dyDescent="0.3">
      <c r="A26" s="359" t="str">
        <f>IF(COUNTIF(A1:C18,"BLANK"),"BLANK","EQ")</f>
        <v>BLANK</v>
      </c>
      <c r="B26" s="359"/>
      <c r="C26" s="359"/>
      <c r="G26" s="355"/>
      <c r="H26" s="355"/>
      <c r="I26" s="355"/>
      <c r="Q26" s="355"/>
      <c r="R26" s="355"/>
      <c r="S26" s="355"/>
    </row>
    <row r="27" spans="1:19" ht="15" customHeight="1" x14ac:dyDescent="0.3">
      <c r="A27" s="359"/>
      <c r="B27" s="359"/>
      <c r="C27" s="359"/>
      <c r="G27" s="355"/>
      <c r="H27" s="355"/>
      <c r="I27" s="355"/>
      <c r="Q27" s="355"/>
      <c r="R27" s="355"/>
      <c r="S27" s="355"/>
    </row>
    <row r="28" spans="1:19" ht="15" customHeight="1" x14ac:dyDescent="0.3">
      <c r="A28" s="359"/>
      <c r="B28" s="359"/>
      <c r="C28" s="359"/>
      <c r="G28" s="355"/>
      <c r="H28" s="355"/>
      <c r="I28" s="355"/>
      <c r="Q28" s="355"/>
      <c r="R28" s="355"/>
      <c r="S28" s="355"/>
    </row>
    <row r="29" spans="1:19" x14ac:dyDescent="0.3">
      <c r="A29" s="359"/>
      <c r="B29" s="359"/>
      <c r="C29" s="359"/>
      <c r="G29" s="355"/>
      <c r="H29" s="355"/>
      <c r="I29" s="355"/>
      <c r="Q29" s="355"/>
      <c r="R29" s="355"/>
      <c r="S29" s="355"/>
    </row>
    <row r="30" spans="1:19" x14ac:dyDescent="0.3">
      <c r="A30" s="359"/>
      <c r="B30" s="359"/>
      <c r="C30" s="359"/>
      <c r="G30" s="355"/>
      <c r="H30" s="355"/>
      <c r="I30" s="355"/>
      <c r="Q30" s="355"/>
      <c r="R30" s="355"/>
      <c r="S30" s="355"/>
    </row>
    <row r="31" spans="1:19" x14ac:dyDescent="0.3">
      <c r="A31" s="359"/>
      <c r="B31" s="359"/>
      <c r="C31" s="359"/>
      <c r="G31" s="355"/>
      <c r="H31" s="355"/>
      <c r="I31" s="355"/>
      <c r="Q31" s="355"/>
      <c r="R31" s="355"/>
      <c r="S31" s="355"/>
    </row>
    <row r="32" spans="1:19" x14ac:dyDescent="0.3">
      <c r="A32" s="359"/>
      <c r="B32" s="359"/>
      <c r="C32" s="359"/>
      <c r="G32" s="355"/>
      <c r="H32" s="355"/>
      <c r="I32" s="355"/>
      <c r="Q32" s="355"/>
      <c r="R32" s="355"/>
      <c r="S32" s="355"/>
    </row>
    <row r="33" spans="1:3" x14ac:dyDescent="0.3">
      <c r="A33" s="360"/>
      <c r="B33" s="360"/>
      <c r="C33" s="360"/>
    </row>
    <row r="34" spans="1:3" ht="15" customHeight="1" x14ac:dyDescent="0.3">
      <c r="A34" s="360"/>
      <c r="B34" s="360"/>
      <c r="C34" s="360"/>
    </row>
    <row r="35" spans="1:3" ht="15" customHeight="1" x14ac:dyDescent="0.3">
      <c r="A35" s="15"/>
      <c r="B35" s="15"/>
      <c r="C35" s="15"/>
    </row>
    <row r="36" spans="1:3" ht="15" customHeight="1" x14ac:dyDescent="0.3">
      <c r="A36" s="361">
        <f>'F.3.1-4 Tube Chassis'!$M$1</f>
        <v>2020</v>
      </c>
      <c r="B36" s="361"/>
      <c r="C36" s="361"/>
    </row>
    <row r="37" spans="1:3" ht="15" customHeight="1" x14ac:dyDescent="0.3">
      <c r="A37" s="362">
        <f>'F.3.1-4 Tube Chassis'!$C$1</f>
        <v>0</v>
      </c>
      <c r="B37" s="362"/>
      <c r="C37" s="362"/>
    </row>
    <row r="38" spans="1:3" ht="15" customHeight="1" x14ac:dyDescent="0.3">
      <c r="A38" s="357">
        <f>'F.3.1-4 Tube Chassis'!$C$2</f>
        <v>0</v>
      </c>
      <c r="B38" s="357"/>
      <c r="C38" s="357"/>
    </row>
    <row r="39" spans="1:3" ht="15" customHeight="1" x14ac:dyDescent="0.3">
      <c r="A39" s="13" t="str">
        <f>IF('F.3.1-4 Tube Chassis'!$D$4,'F.3.1-4 Tube Chassis'!$D$3,"")</f>
        <v/>
      </c>
      <c r="B39" s="13" t="str">
        <f>IF('F.3.1-4 Tube Chassis'!$F$4,'F.3.1-4 Tube Chassis'!$F$3,"")</f>
        <v/>
      </c>
      <c r="C39" s="13" t="str">
        <f>IF('F.3.1-4 Tube Chassis'!$H$4,'F.3.1-4 Tube Chassis'!$H$3,"")</f>
        <v/>
      </c>
    </row>
    <row r="40" spans="1:3" ht="15" customHeight="1" x14ac:dyDescent="0.3">
      <c r="A40" s="13" t="str">
        <f>IF('F.3.1-4 Tube Chassis'!$D$4,'F.3.1-4 Tube Chassis'!$D$4,"")</f>
        <v/>
      </c>
      <c r="B40" s="13" t="str">
        <f>IF('F.3.1-4 Tube Chassis'!$F$4,'F.3.1-4 Tube Chassis'!$F$4,"")</f>
        <v/>
      </c>
      <c r="C40" s="13" t="str">
        <f>IF('F.3.1-4 Tube Chassis'!$H$4,'F.3.1-4 Tube Chassis'!$H$4,"")</f>
        <v/>
      </c>
    </row>
    <row r="41" spans="1:3" ht="15" customHeight="1" x14ac:dyDescent="0.3">
      <c r="A41" s="13" t="str">
        <f>IF('F.3.1-4 Tube Chassis'!$E$8="All Steel Tube","Steel","Comp.")</f>
        <v>Comp.</v>
      </c>
      <c r="B41" s="13" t="str">
        <f>IF('F.3.1-4 Tube Chassis'!$G$8="IC - Internal Combustion","IC","EV")</f>
        <v>EV</v>
      </c>
      <c r="C41" s="13" t="str">
        <f>IF('F.3.1-4 Tube Chassis'!$G$8="IC - Internal Combustion","",
IF('F.3.1-4 Tube Chassis'!$G$8="EV - Other Equivalence","Comp Acc","Sheet Acc"))</f>
        <v>Sheet Acc</v>
      </c>
    </row>
    <row r="42" spans="1:3" ht="15" customHeight="1" x14ac:dyDescent="0.3">
      <c r="A42" s="13"/>
      <c r="B42" s="13"/>
      <c r="C42" s="13"/>
    </row>
    <row r="43" spans="1:3" ht="15" customHeight="1" x14ac:dyDescent="0.3">
      <c r="A43" s="358" t="s">
        <v>214</v>
      </c>
      <c r="B43" s="358"/>
      <c r="C43" s="358"/>
    </row>
    <row r="44" spans="1:3" ht="15" customHeight="1" x14ac:dyDescent="0.3">
      <c r="A44" s="358"/>
      <c r="B44" s="358"/>
      <c r="C44" s="358"/>
    </row>
    <row r="45" spans="1:3" ht="15" customHeight="1" x14ac:dyDescent="0.3">
      <c r="A45" s="358"/>
      <c r="B45" s="358"/>
      <c r="C45" s="358"/>
    </row>
    <row r="46" spans="1:3" ht="15" customHeight="1" x14ac:dyDescent="0.3">
      <c r="A46" s="358"/>
      <c r="B46" s="358"/>
      <c r="C46" s="358"/>
    </row>
    <row r="47" spans="1:3" ht="15" customHeight="1" x14ac:dyDescent="0.3">
      <c r="A47" s="358"/>
      <c r="B47" s="358"/>
      <c r="C47" s="358"/>
    </row>
    <row r="48" spans="1:3" ht="15" customHeight="1" x14ac:dyDescent="0.3">
      <c r="A48" s="358"/>
      <c r="B48" s="358"/>
      <c r="C48" s="358"/>
    </row>
    <row r="49" spans="1:3" ht="15" customHeight="1" x14ac:dyDescent="0.3">
      <c r="A49" s="358"/>
      <c r="B49" s="358"/>
      <c r="C49" s="358"/>
    </row>
    <row r="50" spans="1:3" ht="15" customHeight="1" x14ac:dyDescent="0.3">
      <c r="A50" s="358"/>
      <c r="B50" s="358"/>
      <c r="C50" s="358"/>
    </row>
    <row r="51" spans="1:3" ht="15" customHeight="1" x14ac:dyDescent="0.3">
      <c r="A51" s="358"/>
      <c r="B51" s="358"/>
      <c r="C51" s="358"/>
    </row>
    <row r="52" spans="1:3" ht="15" customHeight="1" x14ac:dyDescent="0.3">
      <c r="A52" s="358"/>
      <c r="B52" s="358"/>
      <c r="C52" s="358"/>
    </row>
    <row r="53" spans="1:3" ht="15" customHeight="1" x14ac:dyDescent="0.3">
      <c r="A53" s="358"/>
      <c r="B53" s="358"/>
      <c r="C53" s="358"/>
    </row>
    <row r="54" spans="1:3" ht="15" customHeight="1" x14ac:dyDescent="0.3">
      <c r="A54" s="358"/>
      <c r="B54" s="358"/>
      <c r="C54" s="358"/>
    </row>
    <row r="55" spans="1:3" ht="15" customHeight="1" x14ac:dyDescent="0.3">
      <c r="A55" s="358"/>
      <c r="B55" s="358"/>
      <c r="C55" s="358"/>
    </row>
    <row r="56" spans="1:3" ht="15" customHeight="1" x14ac:dyDescent="0.3">
      <c r="A56" s="358"/>
      <c r="B56" s="358"/>
      <c r="C56" s="358"/>
    </row>
    <row r="57" spans="1:3" ht="15" customHeight="1" x14ac:dyDescent="0.3">
      <c r="A57" s="358"/>
      <c r="B57" s="358"/>
      <c r="C57" s="358"/>
    </row>
    <row r="58" spans="1:3" ht="15" customHeight="1" x14ac:dyDescent="0.3">
      <c r="A58" s="358"/>
      <c r="B58" s="358"/>
      <c r="C58" s="358"/>
    </row>
    <row r="59" spans="1:3" ht="15" customHeight="1" x14ac:dyDescent="0.3">
      <c r="A59" s="358"/>
      <c r="B59" s="358"/>
      <c r="C59" s="358"/>
    </row>
    <row r="60" spans="1:3" ht="15" customHeight="1" x14ac:dyDescent="0.3">
      <c r="A60" s="358"/>
      <c r="B60" s="358"/>
      <c r="C60" s="358"/>
    </row>
    <row r="61" spans="1:3" ht="15" customHeight="1" x14ac:dyDescent="0.3">
      <c r="A61" s="17"/>
      <c r="B61" s="17"/>
      <c r="C61" s="17"/>
    </row>
    <row r="62" spans="1:3" ht="15" customHeight="1" x14ac:dyDescent="0.3">
      <c r="A62" s="17"/>
      <c r="B62" s="17"/>
      <c r="C62" s="17"/>
    </row>
    <row r="63" spans="1:3" ht="15" customHeight="1" x14ac:dyDescent="0.3">
      <c r="A63" s="15"/>
      <c r="B63" s="15"/>
      <c r="C63" s="15"/>
    </row>
    <row r="64" spans="1:3" ht="15" customHeight="1" x14ac:dyDescent="0.3">
      <c r="A64" s="15"/>
      <c r="B64" s="15"/>
      <c r="C64" s="15"/>
    </row>
    <row r="65" spans="1:3" ht="15" customHeight="1" x14ac:dyDescent="0.3">
      <c r="A65" s="15"/>
      <c r="B65" s="15"/>
      <c r="C65" s="15"/>
    </row>
    <row r="66" spans="1:3" ht="15" customHeight="1" x14ac:dyDescent="0.3">
      <c r="A66" s="15"/>
      <c r="B66" s="15"/>
      <c r="C66" s="15"/>
    </row>
    <row r="67" spans="1:3" ht="15" customHeight="1" x14ac:dyDescent="0.3">
      <c r="A67" s="15"/>
      <c r="B67" s="15"/>
      <c r="C67" s="15"/>
    </row>
    <row r="68" spans="1:3" ht="15" customHeight="1" x14ac:dyDescent="0.3">
      <c r="A68" s="15"/>
      <c r="B68" s="15"/>
      <c r="C68" s="15"/>
    </row>
    <row r="69" spans="1:3" ht="15" customHeight="1" x14ac:dyDescent="0.3">
      <c r="A69" s="15"/>
      <c r="B69" s="15"/>
      <c r="C69" s="15"/>
    </row>
    <row r="70" spans="1:3" ht="15" customHeight="1" x14ac:dyDescent="0.3">
      <c r="A70" s="15"/>
      <c r="B70" s="15"/>
      <c r="C70" s="15"/>
    </row>
    <row r="71" spans="1:3" ht="15" customHeight="1" x14ac:dyDescent="0.3">
      <c r="A71" s="15"/>
      <c r="B71" s="15"/>
      <c r="C71" s="15"/>
    </row>
    <row r="72" spans="1:3" ht="15" customHeight="1" x14ac:dyDescent="0.3">
      <c r="A72" s="15"/>
      <c r="B72" s="15"/>
      <c r="C72" s="15"/>
    </row>
    <row r="73" spans="1:3" ht="15" customHeight="1" x14ac:dyDescent="0.3">
      <c r="A73" s="15"/>
      <c r="B73" s="15"/>
      <c r="C73" s="15"/>
    </row>
    <row r="74" spans="1:3" ht="15" customHeight="1" x14ac:dyDescent="0.3">
      <c r="A74" s="15"/>
      <c r="B74" s="15"/>
      <c r="C74" s="15"/>
    </row>
    <row r="75" spans="1:3" x14ac:dyDescent="0.3">
      <c r="A75" s="15"/>
      <c r="B75" s="15"/>
      <c r="C75" s="15"/>
    </row>
    <row r="76" spans="1:3" x14ac:dyDescent="0.3">
      <c r="A76" s="15"/>
      <c r="B76" s="15"/>
      <c r="C76" s="15"/>
    </row>
    <row r="77" spans="1:3" x14ac:dyDescent="0.3">
      <c r="A77" s="15"/>
      <c r="B77" s="15"/>
      <c r="C77" s="15"/>
    </row>
    <row r="78" spans="1:3" x14ac:dyDescent="0.3">
      <c r="A78" s="15"/>
      <c r="B78" s="15"/>
      <c r="C78" s="15"/>
    </row>
    <row r="79" spans="1:3" x14ac:dyDescent="0.3">
      <c r="A79" s="15"/>
      <c r="B79" s="15"/>
      <c r="C79" s="15"/>
    </row>
    <row r="80" spans="1:3" x14ac:dyDescent="0.3">
      <c r="A80" s="15"/>
      <c r="B80" s="15"/>
      <c r="C80" s="15"/>
    </row>
    <row r="81" spans="1:3" x14ac:dyDescent="0.3">
      <c r="A81" s="15"/>
      <c r="B81" s="15"/>
      <c r="C81" s="15"/>
    </row>
    <row r="82" spans="1:3" x14ac:dyDescent="0.3">
      <c r="A82" s="15"/>
      <c r="B82" s="15"/>
      <c r="C82" s="15"/>
    </row>
    <row r="83" spans="1:3" x14ac:dyDescent="0.3">
      <c r="A83" s="15"/>
      <c r="B83" s="15"/>
      <c r="C83" s="15"/>
    </row>
    <row r="84" spans="1:3" x14ac:dyDescent="0.3">
      <c r="A84" s="15"/>
      <c r="B84" s="15"/>
      <c r="C84" s="15"/>
    </row>
    <row r="85" spans="1:3" x14ac:dyDescent="0.3">
      <c r="A85" s="15"/>
      <c r="B85" s="15"/>
      <c r="C85" s="15"/>
    </row>
    <row r="86" spans="1:3" x14ac:dyDescent="0.3">
      <c r="A86" s="15"/>
      <c r="B86" s="15"/>
      <c r="C86" s="15"/>
    </row>
    <row r="87" spans="1:3" x14ac:dyDescent="0.3">
      <c r="A87" s="15"/>
      <c r="B87" s="15"/>
      <c r="C87" s="15"/>
    </row>
    <row r="88" spans="1:3" x14ac:dyDescent="0.3">
      <c r="A88" s="15"/>
      <c r="B88" s="15"/>
      <c r="C88" s="15"/>
    </row>
    <row r="89" spans="1:3" x14ac:dyDescent="0.3">
      <c r="A89" s="15"/>
      <c r="B89" s="15"/>
      <c r="C89" s="15"/>
    </row>
    <row r="90" spans="1:3" x14ac:dyDescent="0.3">
      <c r="A90" s="15"/>
      <c r="B90" s="15"/>
      <c r="C90" s="15"/>
    </row>
    <row r="91" spans="1:3" x14ac:dyDescent="0.3">
      <c r="A91" s="15"/>
      <c r="B91" s="15"/>
      <c r="C91" s="15"/>
    </row>
    <row r="92" spans="1:3" x14ac:dyDescent="0.3">
      <c r="A92" s="15"/>
      <c r="B92" s="15"/>
      <c r="C92" s="15"/>
    </row>
    <row r="93" spans="1:3" x14ac:dyDescent="0.3">
      <c r="A93" s="15"/>
      <c r="B93" s="15"/>
      <c r="C93" s="15"/>
    </row>
    <row r="94" spans="1:3" x14ac:dyDescent="0.3">
      <c r="A94" s="15"/>
      <c r="B94" s="15"/>
      <c r="C94" s="15"/>
    </row>
    <row r="95" spans="1:3" x14ac:dyDescent="0.3">
      <c r="A95" s="15"/>
      <c r="B95" s="15"/>
      <c r="C95" s="15"/>
    </row>
    <row r="96" spans="1:3" x14ac:dyDescent="0.3">
      <c r="A96" s="15"/>
      <c r="B96" s="15"/>
      <c r="C96" s="15"/>
    </row>
    <row r="97" spans="1:3" x14ac:dyDescent="0.3">
      <c r="A97" s="15"/>
      <c r="B97" s="15"/>
      <c r="C97" s="15"/>
    </row>
    <row r="98" spans="1:3" x14ac:dyDescent="0.3">
      <c r="A98" s="15"/>
      <c r="B98" s="15"/>
      <c r="C98" s="15"/>
    </row>
    <row r="99" spans="1:3" x14ac:dyDescent="0.3">
      <c r="A99" s="15"/>
      <c r="B99" s="15"/>
      <c r="C99" s="15"/>
    </row>
    <row r="100" spans="1:3" x14ac:dyDescent="0.3">
      <c r="A100" s="15"/>
      <c r="B100" s="15"/>
      <c r="C100" s="15"/>
    </row>
    <row r="101" spans="1:3" x14ac:dyDescent="0.3">
      <c r="A101" s="15"/>
      <c r="B101" s="15"/>
      <c r="C101" s="15"/>
    </row>
    <row r="102" spans="1:3" x14ac:dyDescent="0.3">
      <c r="A102" s="15"/>
      <c r="B102" s="15"/>
      <c r="C102" s="15"/>
    </row>
    <row r="103" spans="1:3" x14ac:dyDescent="0.3">
      <c r="A103" s="15"/>
      <c r="B103" s="15"/>
      <c r="C103" s="15"/>
    </row>
    <row r="104" spans="1:3" x14ac:dyDescent="0.3">
      <c r="A104" s="15"/>
      <c r="B104" s="15"/>
      <c r="C104" s="15"/>
    </row>
    <row r="105" spans="1:3" x14ac:dyDescent="0.3">
      <c r="A105" s="15"/>
      <c r="B105" s="15"/>
      <c r="C105" s="15"/>
    </row>
    <row r="106" spans="1:3" x14ac:dyDescent="0.3">
      <c r="A106" s="15"/>
      <c r="B106" s="15"/>
      <c r="C106" s="15"/>
    </row>
    <row r="107" spans="1:3" x14ac:dyDescent="0.3">
      <c r="A107" s="15"/>
      <c r="B107" s="15"/>
      <c r="C107" s="15"/>
    </row>
    <row r="108" spans="1:3" x14ac:dyDescent="0.3">
      <c r="A108" s="15"/>
      <c r="B108" s="15"/>
      <c r="C108" s="15"/>
    </row>
    <row r="109" spans="1:3" x14ac:dyDescent="0.3">
      <c r="A109" s="15"/>
      <c r="B109" s="15"/>
      <c r="C109" s="15"/>
    </row>
    <row r="110" spans="1:3" x14ac:dyDescent="0.3">
      <c r="A110" s="15"/>
      <c r="B110" s="15"/>
      <c r="C110" s="15"/>
    </row>
    <row r="111" spans="1:3" x14ac:dyDescent="0.3">
      <c r="A111" s="15"/>
      <c r="B111" s="15"/>
      <c r="C111" s="15"/>
    </row>
    <row r="112" spans="1:3" x14ac:dyDescent="0.3">
      <c r="A112" s="15"/>
      <c r="B112" s="15"/>
      <c r="C112" s="15"/>
    </row>
    <row r="113" spans="1:3" x14ac:dyDescent="0.3">
      <c r="A113" s="15"/>
      <c r="B113" s="15"/>
      <c r="C113" s="15"/>
    </row>
    <row r="114" spans="1:3" x14ac:dyDescent="0.3">
      <c r="A114" s="15"/>
      <c r="B114" s="15"/>
      <c r="C114" s="15"/>
    </row>
    <row r="115" spans="1:3" x14ac:dyDescent="0.3">
      <c r="A115" s="15"/>
      <c r="B115" s="15"/>
      <c r="C115" s="15"/>
    </row>
    <row r="116" spans="1:3" x14ac:dyDescent="0.3">
      <c r="A116" s="15"/>
      <c r="B116" s="15"/>
      <c r="C116" s="15"/>
    </row>
    <row r="117" spans="1:3" x14ac:dyDescent="0.3">
      <c r="A117" s="15"/>
      <c r="B117" s="15"/>
      <c r="C117" s="15"/>
    </row>
    <row r="118" spans="1:3" x14ac:dyDescent="0.3">
      <c r="A118" s="15"/>
      <c r="B118" s="15"/>
      <c r="C118" s="15"/>
    </row>
    <row r="119" spans="1:3" x14ac:dyDescent="0.3">
      <c r="A119" s="15"/>
      <c r="B119" s="15"/>
      <c r="C119" s="15"/>
    </row>
    <row r="120" spans="1:3" x14ac:dyDescent="0.3">
      <c r="A120" s="15"/>
      <c r="B120" s="15"/>
      <c r="C120" s="15"/>
    </row>
    <row r="121" spans="1:3" x14ac:dyDescent="0.3">
      <c r="A121" s="15"/>
      <c r="B121" s="15"/>
      <c r="C121" s="15"/>
    </row>
    <row r="122" spans="1:3" x14ac:dyDescent="0.3">
      <c r="A122" s="15"/>
      <c r="B122" s="15"/>
      <c r="C122" s="15"/>
    </row>
    <row r="123" spans="1:3" x14ac:dyDescent="0.3">
      <c r="A123" s="15"/>
      <c r="B123" s="15"/>
      <c r="C123" s="15"/>
    </row>
    <row r="124" spans="1:3" x14ac:dyDescent="0.3">
      <c r="A124" s="15"/>
      <c r="B124" s="15"/>
      <c r="C124" s="15"/>
    </row>
    <row r="125" spans="1:3" x14ac:dyDescent="0.3">
      <c r="A125" s="15"/>
      <c r="B125" s="15"/>
      <c r="C125" s="15"/>
    </row>
    <row r="126" spans="1:3" x14ac:dyDescent="0.3">
      <c r="A126" s="15"/>
      <c r="B126" s="15"/>
      <c r="C126" s="15"/>
    </row>
    <row r="127" spans="1:3" x14ac:dyDescent="0.3">
      <c r="A127" s="15"/>
      <c r="B127" s="15"/>
      <c r="C127" s="15"/>
    </row>
    <row r="128" spans="1:3" x14ac:dyDescent="0.3">
      <c r="A128" s="15"/>
      <c r="B128" s="15"/>
      <c r="C128" s="15"/>
    </row>
    <row r="129" spans="1:3" x14ac:dyDescent="0.3">
      <c r="A129" s="15"/>
      <c r="B129" s="15"/>
      <c r="C129" s="15"/>
    </row>
    <row r="130" spans="1:3" x14ac:dyDescent="0.3">
      <c r="A130" s="15"/>
      <c r="B130" s="15"/>
      <c r="C130" s="15"/>
    </row>
    <row r="131" spans="1:3" x14ac:dyDescent="0.3">
      <c r="A131" s="15"/>
      <c r="B131" s="15"/>
      <c r="C131" s="15"/>
    </row>
    <row r="132" spans="1:3" x14ac:dyDescent="0.3">
      <c r="A132" s="15"/>
      <c r="B132" s="15"/>
      <c r="C132" s="15"/>
    </row>
    <row r="133" spans="1:3" x14ac:dyDescent="0.3">
      <c r="A133" s="15"/>
      <c r="B133" s="15"/>
      <c r="C133" s="15"/>
    </row>
    <row r="134" spans="1:3" x14ac:dyDescent="0.3">
      <c r="A134" s="15"/>
      <c r="B134" s="15"/>
      <c r="C134" s="15"/>
    </row>
    <row r="135" spans="1:3" x14ac:dyDescent="0.3">
      <c r="A135" s="15"/>
      <c r="B135" s="15"/>
      <c r="C135" s="15"/>
    </row>
    <row r="136" spans="1:3" x14ac:dyDescent="0.3">
      <c r="A136" s="15"/>
      <c r="B136" s="15"/>
      <c r="C136" s="15"/>
    </row>
    <row r="137" spans="1:3" x14ac:dyDescent="0.3">
      <c r="A137" s="15"/>
      <c r="B137" s="15"/>
      <c r="C137" s="15"/>
    </row>
    <row r="138" spans="1:3" x14ac:dyDescent="0.3">
      <c r="A138" s="15"/>
      <c r="B138" s="15"/>
      <c r="C138" s="15"/>
    </row>
    <row r="139" spans="1:3" x14ac:dyDescent="0.3">
      <c r="A139" s="15"/>
      <c r="B139" s="15"/>
      <c r="C139" s="15"/>
    </row>
    <row r="140" spans="1:3" x14ac:dyDescent="0.3">
      <c r="A140" s="15"/>
      <c r="B140" s="15"/>
      <c r="C140" s="15"/>
    </row>
    <row r="141" spans="1:3" x14ac:dyDescent="0.3">
      <c r="A141" s="15"/>
      <c r="B141" s="15"/>
      <c r="C141" s="15"/>
    </row>
    <row r="142" spans="1:3" x14ac:dyDescent="0.3">
      <c r="A142" s="15"/>
      <c r="B142" s="15"/>
      <c r="C142" s="15"/>
    </row>
    <row r="143" spans="1:3" x14ac:dyDescent="0.3">
      <c r="A143" s="15"/>
      <c r="B143" s="15"/>
      <c r="C143" s="15"/>
    </row>
    <row r="144" spans="1:3" x14ac:dyDescent="0.3">
      <c r="A144" s="15"/>
      <c r="B144" s="15"/>
      <c r="C144" s="15"/>
    </row>
    <row r="145" spans="1:3" x14ac:dyDescent="0.3">
      <c r="A145" s="15"/>
      <c r="B145" s="15"/>
      <c r="C145" s="15"/>
    </row>
    <row r="146" spans="1:3" x14ac:dyDescent="0.3">
      <c r="A146" s="15"/>
      <c r="B146" s="15"/>
      <c r="C146" s="15"/>
    </row>
    <row r="147" spans="1:3" x14ac:dyDescent="0.3">
      <c r="A147" s="15"/>
      <c r="B147" s="15"/>
      <c r="C147" s="15"/>
    </row>
    <row r="148" spans="1:3" x14ac:dyDescent="0.3">
      <c r="A148" s="15"/>
      <c r="B148" s="15"/>
      <c r="C148" s="15"/>
    </row>
    <row r="149" spans="1:3" x14ac:dyDescent="0.3">
      <c r="A149" s="15"/>
      <c r="B149" s="15"/>
      <c r="C149" s="15"/>
    </row>
    <row r="150" spans="1:3" x14ac:dyDescent="0.3">
      <c r="A150" s="15"/>
      <c r="B150" s="15"/>
      <c r="C150" s="15"/>
    </row>
    <row r="151" spans="1:3" x14ac:dyDescent="0.3">
      <c r="A151" s="15"/>
      <c r="B151" s="15"/>
      <c r="C151" s="15"/>
    </row>
    <row r="152" spans="1:3" x14ac:dyDescent="0.3">
      <c r="A152" s="15"/>
      <c r="B152" s="15"/>
      <c r="C152" s="15"/>
    </row>
    <row r="153" spans="1:3" x14ac:dyDescent="0.3">
      <c r="A153" s="15"/>
      <c r="B153" s="15"/>
      <c r="C153" s="15"/>
    </row>
    <row r="154" spans="1:3" x14ac:dyDescent="0.3">
      <c r="A154" s="15"/>
      <c r="B154" s="15"/>
      <c r="C154" s="15"/>
    </row>
    <row r="155" spans="1:3" x14ac:dyDescent="0.3">
      <c r="A155" s="15"/>
      <c r="B155" s="15"/>
      <c r="C155" s="15"/>
    </row>
    <row r="156" spans="1:3" x14ac:dyDescent="0.3">
      <c r="A156" s="15"/>
      <c r="B156" s="15"/>
      <c r="C156" s="15"/>
    </row>
    <row r="157" spans="1:3" x14ac:dyDescent="0.3">
      <c r="A157" s="15"/>
      <c r="B157" s="15"/>
      <c r="C157" s="15"/>
    </row>
    <row r="158" spans="1:3" x14ac:dyDescent="0.3">
      <c r="A158" s="15"/>
      <c r="B158" s="15"/>
      <c r="C158" s="15"/>
    </row>
    <row r="159" spans="1:3" x14ac:dyDescent="0.3">
      <c r="A159" s="15"/>
      <c r="B159" s="15"/>
      <c r="C159" s="15"/>
    </row>
    <row r="160" spans="1:3" x14ac:dyDescent="0.3">
      <c r="A160" s="15"/>
      <c r="B160" s="15"/>
      <c r="C160" s="15"/>
    </row>
    <row r="161" spans="1:3" x14ac:dyDescent="0.3">
      <c r="A161" s="15"/>
      <c r="B161" s="15"/>
      <c r="C161" s="15"/>
    </row>
    <row r="162" spans="1:3" x14ac:dyDescent="0.3">
      <c r="A162" s="15"/>
      <c r="B162" s="15"/>
      <c r="C162" s="15"/>
    </row>
    <row r="163" spans="1:3" x14ac:dyDescent="0.3">
      <c r="A163" s="15"/>
      <c r="B163" s="15"/>
      <c r="C163" s="15"/>
    </row>
    <row r="164" spans="1:3" x14ac:dyDescent="0.3">
      <c r="A164" s="15"/>
      <c r="B164" s="15"/>
      <c r="C164" s="15"/>
    </row>
    <row r="165" spans="1:3" x14ac:dyDescent="0.3">
      <c r="A165" s="15"/>
      <c r="B165" s="15"/>
      <c r="C165" s="15"/>
    </row>
    <row r="166" spans="1:3" x14ac:dyDescent="0.3">
      <c r="A166" s="15"/>
      <c r="B166" s="15"/>
      <c r="C166" s="15"/>
    </row>
    <row r="167" spans="1:3" x14ac:dyDescent="0.3">
      <c r="A167" s="15"/>
      <c r="B167" s="15"/>
      <c r="C167" s="15"/>
    </row>
    <row r="168" spans="1:3" x14ac:dyDescent="0.3">
      <c r="A168" s="15"/>
      <c r="B168" s="15"/>
      <c r="C168" s="15"/>
    </row>
    <row r="169" spans="1:3" x14ac:dyDescent="0.3">
      <c r="A169" s="15"/>
      <c r="B169" s="15"/>
      <c r="C169" s="15"/>
    </row>
    <row r="170" spans="1:3" x14ac:dyDescent="0.3">
      <c r="A170" s="15"/>
      <c r="B170" s="15"/>
      <c r="C170" s="15"/>
    </row>
    <row r="171" spans="1:3" x14ac:dyDescent="0.3">
      <c r="A171" s="15"/>
      <c r="B171" s="15"/>
      <c r="C171" s="15"/>
    </row>
    <row r="172" spans="1:3" x14ac:dyDescent="0.3">
      <c r="A172" s="15"/>
      <c r="B172" s="15"/>
      <c r="C172" s="15"/>
    </row>
    <row r="173" spans="1:3" x14ac:dyDescent="0.3">
      <c r="A173" s="15"/>
      <c r="B173" s="15"/>
      <c r="C173" s="15"/>
    </row>
    <row r="174" spans="1:3" x14ac:dyDescent="0.3">
      <c r="A174" s="15"/>
      <c r="B174" s="15"/>
      <c r="C174" s="15"/>
    </row>
    <row r="175" spans="1:3" x14ac:dyDescent="0.3">
      <c r="A175" s="15"/>
      <c r="B175" s="15"/>
      <c r="C175" s="15"/>
    </row>
    <row r="176" spans="1:3" x14ac:dyDescent="0.3">
      <c r="A176" s="15"/>
      <c r="B176" s="15"/>
      <c r="C176" s="15"/>
    </row>
    <row r="177" spans="1:3" x14ac:dyDescent="0.3">
      <c r="A177" s="15"/>
      <c r="B177" s="15"/>
      <c r="C177" s="15"/>
    </row>
    <row r="178" spans="1:3" x14ac:dyDescent="0.3">
      <c r="A178" s="15"/>
      <c r="B178" s="15"/>
      <c r="C178" s="15"/>
    </row>
    <row r="179" spans="1:3" x14ac:dyDescent="0.3">
      <c r="A179" s="15"/>
      <c r="B179" s="15"/>
      <c r="C179" s="15"/>
    </row>
    <row r="180" spans="1:3" x14ac:dyDescent="0.3">
      <c r="A180" s="15"/>
      <c r="B180" s="15"/>
      <c r="C180" s="15"/>
    </row>
    <row r="181" spans="1:3" x14ac:dyDescent="0.3">
      <c r="A181" s="15"/>
      <c r="B181" s="15"/>
      <c r="C181" s="15"/>
    </row>
    <row r="182" spans="1:3" x14ac:dyDescent="0.3">
      <c r="A182" s="15"/>
      <c r="B182" s="15"/>
      <c r="C182" s="15"/>
    </row>
    <row r="183" spans="1:3" x14ac:dyDescent="0.3">
      <c r="A183" s="15"/>
      <c r="B183" s="15"/>
      <c r="C183" s="15"/>
    </row>
    <row r="184" spans="1:3" x14ac:dyDescent="0.3">
      <c r="A184" s="15"/>
      <c r="B184" s="15"/>
      <c r="C184" s="15"/>
    </row>
    <row r="185" spans="1:3" x14ac:dyDescent="0.3">
      <c r="A185" s="15"/>
      <c r="B185" s="15"/>
      <c r="C185" s="15"/>
    </row>
    <row r="186" spans="1:3" x14ac:dyDescent="0.3">
      <c r="A186" s="15"/>
      <c r="B186" s="15"/>
      <c r="C186" s="15"/>
    </row>
    <row r="187" spans="1:3" x14ac:dyDescent="0.3">
      <c r="A187" s="15"/>
      <c r="B187" s="15"/>
      <c r="C187" s="15"/>
    </row>
    <row r="188" spans="1:3" x14ac:dyDescent="0.3">
      <c r="A188" s="15"/>
      <c r="B188" s="15"/>
      <c r="C188" s="15"/>
    </row>
    <row r="189" spans="1:3" x14ac:dyDescent="0.3">
      <c r="A189" s="15"/>
      <c r="B189" s="15"/>
      <c r="C189" s="15"/>
    </row>
    <row r="190" spans="1:3" x14ac:dyDescent="0.3">
      <c r="A190" s="15"/>
      <c r="B190" s="15"/>
      <c r="C190" s="15"/>
    </row>
    <row r="191" spans="1:3" x14ac:dyDescent="0.3">
      <c r="A191" s="15"/>
      <c r="B191" s="15"/>
      <c r="C191" s="15"/>
    </row>
    <row r="192" spans="1:3" x14ac:dyDescent="0.3">
      <c r="A192" s="15"/>
      <c r="B192" s="15"/>
      <c r="C192" s="15"/>
    </row>
    <row r="193" spans="1:3" x14ac:dyDescent="0.3">
      <c r="A193" s="15"/>
      <c r="B193" s="15"/>
      <c r="C193" s="15"/>
    </row>
    <row r="194" spans="1:3" x14ac:dyDescent="0.3">
      <c r="A194" s="15"/>
      <c r="B194" s="15"/>
      <c r="C194" s="15"/>
    </row>
    <row r="195" spans="1:3" x14ac:dyDescent="0.3">
      <c r="A195" s="15"/>
      <c r="B195" s="15"/>
      <c r="C195" s="15"/>
    </row>
    <row r="196" spans="1:3" x14ac:dyDescent="0.3">
      <c r="A196" s="15"/>
      <c r="B196" s="15"/>
      <c r="C196" s="15"/>
    </row>
    <row r="197" spans="1:3" x14ac:dyDescent="0.3">
      <c r="A197" s="15"/>
      <c r="B197" s="15"/>
      <c r="C197" s="15"/>
    </row>
    <row r="198" spans="1:3" x14ac:dyDescent="0.3">
      <c r="A198" s="15"/>
      <c r="B198" s="15"/>
      <c r="C198" s="15"/>
    </row>
    <row r="199" spans="1:3" x14ac:dyDescent="0.3">
      <c r="A199" s="15"/>
      <c r="B199" s="15"/>
      <c r="C199" s="15"/>
    </row>
    <row r="200" spans="1:3" x14ac:dyDescent="0.3">
      <c r="A200" s="15"/>
      <c r="B200" s="15"/>
      <c r="C200" s="15"/>
    </row>
    <row r="201" spans="1:3" x14ac:dyDescent="0.3">
      <c r="A201" s="15"/>
      <c r="B201" s="15"/>
      <c r="C201" s="15"/>
    </row>
    <row r="202" spans="1:3" x14ac:dyDescent="0.3">
      <c r="A202" s="15"/>
      <c r="B202" s="15"/>
      <c r="C202" s="15"/>
    </row>
    <row r="203" spans="1:3" x14ac:dyDescent="0.3">
      <c r="A203" s="15"/>
      <c r="B203" s="15"/>
      <c r="C203" s="15"/>
    </row>
    <row r="204" spans="1:3" x14ac:dyDescent="0.3">
      <c r="A204" s="15"/>
      <c r="B204" s="15"/>
      <c r="C204" s="15"/>
    </row>
    <row r="205" spans="1:3" x14ac:dyDescent="0.3">
      <c r="A205" s="15"/>
      <c r="B205" s="15"/>
      <c r="C205" s="15"/>
    </row>
    <row r="206" spans="1:3" x14ac:dyDescent="0.3">
      <c r="A206" s="15"/>
      <c r="B206" s="15"/>
      <c r="C206" s="15"/>
    </row>
    <row r="207" spans="1:3" x14ac:dyDescent="0.3">
      <c r="A207" s="15"/>
      <c r="B207" s="15"/>
      <c r="C207" s="15"/>
    </row>
    <row r="208" spans="1:3" x14ac:dyDescent="0.3">
      <c r="A208" s="15"/>
      <c r="B208" s="15"/>
      <c r="C208" s="15"/>
    </row>
    <row r="209" spans="1:3" x14ac:dyDescent="0.3">
      <c r="A209" s="15"/>
      <c r="B209" s="15"/>
      <c r="C209" s="15"/>
    </row>
    <row r="210" spans="1:3" x14ac:dyDescent="0.3">
      <c r="A210" s="15"/>
      <c r="B210" s="15"/>
      <c r="C210" s="15"/>
    </row>
    <row r="211" spans="1:3" x14ac:dyDescent="0.3">
      <c r="A211" s="15"/>
      <c r="B211" s="15"/>
      <c r="C211" s="15"/>
    </row>
    <row r="212" spans="1:3" x14ac:dyDescent="0.3">
      <c r="A212" s="15"/>
      <c r="B212" s="15"/>
      <c r="C212" s="15"/>
    </row>
    <row r="213" spans="1:3" x14ac:dyDescent="0.3">
      <c r="A213" s="15"/>
      <c r="B213" s="15"/>
      <c r="C213" s="15"/>
    </row>
    <row r="214" spans="1:3" x14ac:dyDescent="0.3">
      <c r="A214" s="15"/>
      <c r="B214" s="15"/>
      <c r="C214" s="15"/>
    </row>
    <row r="215" spans="1:3" x14ac:dyDescent="0.3">
      <c r="A215" s="15"/>
      <c r="B215" s="15"/>
      <c r="C215" s="15"/>
    </row>
    <row r="216" spans="1:3" x14ac:dyDescent="0.3">
      <c r="A216" s="15"/>
      <c r="B216" s="15"/>
      <c r="C216" s="15"/>
    </row>
    <row r="217" spans="1:3" x14ac:dyDescent="0.3">
      <c r="A217" s="15"/>
      <c r="B217" s="15"/>
      <c r="C217" s="15"/>
    </row>
    <row r="218" spans="1:3" x14ac:dyDescent="0.3">
      <c r="A218" s="15"/>
      <c r="B218" s="15"/>
      <c r="C218" s="15"/>
    </row>
    <row r="219" spans="1:3" x14ac:dyDescent="0.3">
      <c r="A219" s="15"/>
      <c r="B219" s="15"/>
      <c r="C219" s="15"/>
    </row>
    <row r="220" spans="1:3" x14ac:dyDescent="0.3">
      <c r="A220" s="15"/>
      <c r="B220" s="15"/>
      <c r="C220" s="15"/>
    </row>
    <row r="221" spans="1:3" x14ac:dyDescent="0.3">
      <c r="A221" s="15"/>
      <c r="B221" s="15"/>
      <c r="C221" s="15"/>
    </row>
    <row r="222" spans="1:3" x14ac:dyDescent="0.3">
      <c r="A222" s="15"/>
      <c r="B222" s="15"/>
      <c r="C222" s="15"/>
    </row>
    <row r="223" spans="1:3" x14ac:dyDescent="0.3">
      <c r="A223" s="15"/>
      <c r="B223" s="15"/>
      <c r="C223" s="15"/>
    </row>
    <row r="224" spans="1:3" x14ac:dyDescent="0.3">
      <c r="A224" s="15"/>
      <c r="B224" s="15"/>
      <c r="C224" s="15"/>
    </row>
    <row r="225" spans="1:3" x14ac:dyDescent="0.3">
      <c r="A225" s="15"/>
      <c r="B225" s="15"/>
      <c r="C225" s="15"/>
    </row>
    <row r="226" spans="1:3" x14ac:dyDescent="0.3">
      <c r="A226" s="15"/>
      <c r="B226" s="15"/>
      <c r="C226" s="15"/>
    </row>
    <row r="227" spans="1:3" x14ac:dyDescent="0.3">
      <c r="A227" s="15"/>
      <c r="B227" s="15"/>
      <c r="C227" s="15"/>
    </row>
    <row r="228" spans="1:3" x14ac:dyDescent="0.3">
      <c r="A228" s="15"/>
      <c r="B228" s="15"/>
      <c r="C228" s="15"/>
    </row>
    <row r="229" spans="1:3" x14ac:dyDescent="0.3">
      <c r="A229" s="15"/>
      <c r="B229" s="15"/>
      <c r="C229" s="15"/>
    </row>
    <row r="230" spans="1:3" x14ac:dyDescent="0.3">
      <c r="A230" s="15"/>
      <c r="B230" s="15"/>
      <c r="C230" s="15"/>
    </row>
    <row r="231" spans="1:3" x14ac:dyDescent="0.3">
      <c r="A231" s="15"/>
      <c r="B231" s="15"/>
      <c r="C231" s="15"/>
    </row>
    <row r="232" spans="1:3" x14ac:dyDescent="0.3">
      <c r="A232" s="15"/>
      <c r="B232" s="15"/>
      <c r="C232" s="15"/>
    </row>
    <row r="233" spans="1:3" x14ac:dyDescent="0.3">
      <c r="A233" s="15"/>
      <c r="B233" s="15"/>
      <c r="C233" s="15"/>
    </row>
    <row r="234" spans="1:3" x14ac:dyDescent="0.3">
      <c r="A234" s="15"/>
      <c r="B234" s="15"/>
      <c r="C234" s="15"/>
    </row>
    <row r="235" spans="1:3" x14ac:dyDescent="0.3">
      <c r="A235" s="15"/>
      <c r="B235" s="15"/>
      <c r="C235" s="15"/>
    </row>
    <row r="236" spans="1:3" x14ac:dyDescent="0.3">
      <c r="A236" s="15"/>
      <c r="B236" s="15"/>
      <c r="C236" s="15"/>
    </row>
    <row r="237" spans="1:3" x14ac:dyDescent="0.3">
      <c r="A237" s="15"/>
      <c r="B237" s="15"/>
      <c r="C237" s="15"/>
    </row>
    <row r="238" spans="1:3" x14ac:dyDescent="0.3">
      <c r="A238" s="15"/>
      <c r="B238" s="15"/>
      <c r="C238" s="15"/>
    </row>
    <row r="239" spans="1:3" x14ac:dyDescent="0.3">
      <c r="A239" s="15"/>
      <c r="B239" s="15"/>
      <c r="C239" s="15"/>
    </row>
    <row r="240" spans="1:3" x14ac:dyDescent="0.3">
      <c r="A240" s="15"/>
      <c r="B240" s="15"/>
      <c r="C240" s="15"/>
    </row>
    <row r="241" spans="1:3" x14ac:dyDescent="0.3">
      <c r="A241" s="15"/>
      <c r="B241" s="15"/>
      <c r="C241" s="15"/>
    </row>
    <row r="242" spans="1:3" x14ac:dyDescent="0.3">
      <c r="A242" s="15"/>
      <c r="B242" s="15"/>
      <c r="C242" s="15"/>
    </row>
    <row r="243" spans="1:3" x14ac:dyDescent="0.3">
      <c r="A243" s="15"/>
      <c r="B243" s="15"/>
      <c r="C243" s="15"/>
    </row>
    <row r="244" spans="1:3" x14ac:dyDescent="0.3">
      <c r="A244" s="15"/>
      <c r="B244" s="15"/>
      <c r="C244" s="15"/>
    </row>
    <row r="245" spans="1:3" x14ac:dyDescent="0.3">
      <c r="A245" s="15"/>
      <c r="B245" s="15"/>
      <c r="C245" s="15"/>
    </row>
    <row r="246" spans="1:3" x14ac:dyDescent="0.3">
      <c r="A246" s="15"/>
      <c r="B246" s="15"/>
      <c r="C246" s="15"/>
    </row>
    <row r="247" spans="1:3" x14ac:dyDescent="0.3">
      <c r="A247" s="15"/>
      <c r="B247" s="15"/>
      <c r="C247" s="15"/>
    </row>
    <row r="248" spans="1:3" x14ac:dyDescent="0.3">
      <c r="A248" s="15"/>
      <c r="B248" s="15"/>
      <c r="C248" s="15"/>
    </row>
    <row r="249" spans="1:3" x14ac:dyDescent="0.3">
      <c r="A249" s="15"/>
      <c r="B249" s="15"/>
      <c r="C249" s="15"/>
    </row>
    <row r="250" spans="1:3" x14ac:dyDescent="0.3">
      <c r="A250" s="15"/>
      <c r="B250" s="15"/>
      <c r="C250" s="15"/>
    </row>
    <row r="251" spans="1:3" x14ac:dyDescent="0.3">
      <c r="A251" s="15"/>
      <c r="B251" s="15"/>
      <c r="C251" s="15"/>
    </row>
    <row r="252" spans="1:3" x14ac:dyDescent="0.3">
      <c r="A252" s="15"/>
      <c r="B252" s="15"/>
      <c r="C252" s="15"/>
    </row>
    <row r="253" spans="1:3" x14ac:dyDescent="0.3">
      <c r="A253" s="15"/>
      <c r="B253" s="15"/>
      <c r="C253" s="15"/>
    </row>
    <row r="254" spans="1:3" x14ac:dyDescent="0.3">
      <c r="A254" s="15"/>
      <c r="B254" s="15"/>
      <c r="C254" s="15"/>
    </row>
    <row r="255" spans="1:3" x14ac:dyDescent="0.3">
      <c r="A255" s="15"/>
      <c r="B255" s="15"/>
      <c r="C255" s="15"/>
    </row>
    <row r="256" spans="1:3" x14ac:dyDescent="0.3">
      <c r="A256" s="15"/>
      <c r="B256" s="15"/>
      <c r="C256" s="15"/>
    </row>
    <row r="257" spans="1:3" x14ac:dyDescent="0.3">
      <c r="A257" s="15"/>
      <c r="B257" s="15"/>
      <c r="C257" s="15"/>
    </row>
    <row r="258" spans="1:3" x14ac:dyDescent="0.3">
      <c r="A258" s="15"/>
      <c r="B258" s="15"/>
      <c r="C258" s="15"/>
    </row>
    <row r="259" spans="1:3" x14ac:dyDescent="0.3">
      <c r="A259" s="15"/>
      <c r="B259" s="15"/>
      <c r="C259" s="15"/>
    </row>
    <row r="260" spans="1:3" x14ac:dyDescent="0.3">
      <c r="A260" s="15"/>
      <c r="B260" s="15"/>
      <c r="C260" s="15"/>
    </row>
    <row r="261" spans="1:3" x14ac:dyDescent="0.3">
      <c r="A261" s="15"/>
      <c r="B261" s="15"/>
      <c r="C261" s="15"/>
    </row>
    <row r="262" spans="1:3" x14ac:dyDescent="0.3">
      <c r="A262" s="15"/>
      <c r="B262" s="15"/>
      <c r="C262" s="15"/>
    </row>
    <row r="263" spans="1:3" x14ac:dyDescent="0.3">
      <c r="A263" s="15"/>
      <c r="B263" s="15"/>
      <c r="C263" s="15"/>
    </row>
    <row r="264" spans="1:3" x14ac:dyDescent="0.3">
      <c r="A264" s="15"/>
      <c r="B264" s="15"/>
      <c r="C264" s="15"/>
    </row>
    <row r="265" spans="1:3" x14ac:dyDescent="0.3">
      <c r="A265" s="15"/>
      <c r="B265" s="15"/>
      <c r="C265" s="15"/>
    </row>
    <row r="266" spans="1:3" x14ac:dyDescent="0.3">
      <c r="A266" s="15"/>
      <c r="B266" s="15"/>
      <c r="C266" s="15"/>
    </row>
    <row r="267" spans="1:3" x14ac:dyDescent="0.3">
      <c r="A267" s="15"/>
      <c r="B267" s="15"/>
      <c r="C267" s="15"/>
    </row>
    <row r="268" spans="1:3" x14ac:dyDescent="0.3">
      <c r="A268" s="15"/>
      <c r="B268" s="15"/>
      <c r="C268" s="15"/>
    </row>
    <row r="269" spans="1:3" x14ac:dyDescent="0.3">
      <c r="A269" s="15"/>
      <c r="B269" s="15"/>
      <c r="C269" s="15"/>
    </row>
    <row r="270" spans="1:3" x14ac:dyDescent="0.3">
      <c r="A270" s="15"/>
      <c r="B270" s="15"/>
      <c r="C270" s="15"/>
    </row>
    <row r="271" spans="1:3" x14ac:dyDescent="0.3">
      <c r="A271" s="15"/>
      <c r="B271" s="15"/>
      <c r="C271" s="15"/>
    </row>
    <row r="272" spans="1:3" x14ac:dyDescent="0.3">
      <c r="A272" s="15"/>
      <c r="B272" s="15"/>
      <c r="C272" s="15"/>
    </row>
    <row r="273" spans="1:3" x14ac:dyDescent="0.3">
      <c r="A273" s="15"/>
      <c r="B273" s="15"/>
      <c r="C273" s="15"/>
    </row>
    <row r="274" spans="1:3" x14ac:dyDescent="0.3">
      <c r="A274" s="15"/>
      <c r="B274" s="15"/>
      <c r="C274" s="15"/>
    </row>
    <row r="275" spans="1:3" x14ac:dyDescent="0.3">
      <c r="A275" s="15"/>
      <c r="B275" s="15"/>
      <c r="C275" s="15"/>
    </row>
    <row r="276" spans="1:3" x14ac:dyDescent="0.3">
      <c r="A276" s="15"/>
      <c r="B276" s="15"/>
      <c r="C276" s="15"/>
    </row>
  </sheetData>
  <sheetProtection algorithmName="SHA-512" hashValue="NpN7MXknMftYyud1c6pE+WvWjkj88sJINbaSj5zBCUdur3twf9nfa/8kGurBkQo1nF8KheieAe3VLW2K0iVJsA==" saltValue="NVpXbMw97BOINxlGYOnKqw==" spinCount="100000" sheet="1" scenarios="1"/>
  <protectedRanges>
    <protectedRange sqref="A4 A8 A12 A16 A20" name="Sheet Control"/>
  </protectedRanges>
  <mergeCells count="39">
    <mergeCell ref="A38:C38"/>
    <mergeCell ref="A43:C60"/>
    <mergeCell ref="A21:C21"/>
    <mergeCell ref="G21:I32"/>
    <mergeCell ref="Q21:S32"/>
    <mergeCell ref="A26:C34"/>
    <mergeCell ref="A36:C36"/>
    <mergeCell ref="A37:C37"/>
    <mergeCell ref="A17:C17"/>
    <mergeCell ref="G17:I20"/>
    <mergeCell ref="Q17:S20"/>
    <mergeCell ref="A18:C18"/>
    <mergeCell ref="A19:C19"/>
    <mergeCell ref="A20:C20"/>
    <mergeCell ref="A13:C13"/>
    <mergeCell ref="G13:I16"/>
    <mergeCell ref="Q13:S16"/>
    <mergeCell ref="A14:C14"/>
    <mergeCell ref="A15:C15"/>
    <mergeCell ref="A16:C16"/>
    <mergeCell ref="A9:C9"/>
    <mergeCell ref="G9:I12"/>
    <mergeCell ref="Q9:S12"/>
    <mergeCell ref="A10:C10"/>
    <mergeCell ref="A11:C11"/>
    <mergeCell ref="A12:C12"/>
    <mergeCell ref="A5:C5"/>
    <mergeCell ref="A6:C6"/>
    <mergeCell ref="A7:C7"/>
    <mergeCell ref="G7:I8"/>
    <mergeCell ref="Q7:S8"/>
    <mergeCell ref="A8:C8"/>
    <mergeCell ref="D1:M2"/>
    <mergeCell ref="N1:W2"/>
    <mergeCell ref="A2:C2"/>
    <mergeCell ref="A3:C3"/>
    <mergeCell ref="D3:M4"/>
    <mergeCell ref="N3:W4"/>
    <mergeCell ref="A4:C4"/>
  </mergeCells>
  <conditionalFormatting sqref="A1:XFD1048576">
    <cfRule type="beginsWith" dxfId="9" priority="1" operator="beginsWith" text="REJECT">
      <formula>LEFT(A1,LEN("REJECT"))="REJECT"</formula>
    </cfRule>
    <cfRule type="beginsWith" dxfId="8" priority="2" operator="beginsWith" text="EQ">
      <formula>LEFT(A1,LEN("EQ"))="EQ"</formula>
    </cfRule>
    <cfRule type="beginsWith" dxfId="7" priority="3" operator="beginsWith" text="BLANK">
      <formula>LEFT(A1,LEN("BLANK"))="BLANK"</formula>
    </cfRule>
  </conditionalFormatting>
  <dataValidations count="1">
    <dataValidation type="list" allowBlank="1" showInputMessage="1" showErrorMessage="1" sqref="A4:C4 A8:C8 A12:C12 A16:C16 A20:C20" xr:uid="{04BD6ACE-677E-43D5-98F5-A9F1E782F478}">
      <formula1>"Select Drop Down, Yes, 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8FE9-F7F5-4B8C-AFA6-0B24CEF95C94}">
  <dimension ref="A1:BA68"/>
  <sheetViews>
    <sheetView zoomScale="75" zoomScaleNormal="75" workbookViewId="0">
      <selection activeCell="A9" sqref="A9:C9"/>
    </sheetView>
  </sheetViews>
  <sheetFormatPr baseColWidth="10" defaultColWidth="9.109375" defaultRowHeight="14.4" x14ac:dyDescent="0.3"/>
  <cols>
    <col min="1" max="5" width="9.109375" style="81"/>
    <col min="6" max="6" width="9.109375" style="81" customWidth="1"/>
    <col min="7" max="9" width="9.109375" style="81"/>
    <col min="10" max="10" width="9.109375" style="81" customWidth="1"/>
    <col min="11" max="16384" width="9.109375" style="81"/>
  </cols>
  <sheetData>
    <row r="1" spans="1:53" ht="15" customHeight="1" x14ac:dyDescent="0.3">
      <c r="A1" s="382"/>
      <c r="B1" s="382"/>
      <c r="C1" s="382"/>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108"/>
      <c r="B2" s="108"/>
      <c r="C2" s="108"/>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x14ac:dyDescent="0.3">
      <c r="A3" s="112"/>
      <c r="B3" s="112"/>
      <c r="C3" s="112"/>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x14ac:dyDescent="0.3">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76" t="str">
        <f>IF(OR(A9="YES",A9="NO"),"EQ","BLANK")</f>
        <v>BLANK</v>
      </c>
      <c r="B6" s="376"/>
      <c r="C6" s="376"/>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83" t="s">
        <v>494</v>
      </c>
      <c r="B7" s="383"/>
      <c r="C7" s="383"/>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thickBot="1" x14ac:dyDescent="0.35">
      <c r="A8" s="384"/>
      <c r="B8" s="384"/>
      <c r="C8" s="384"/>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thickBot="1" x14ac:dyDescent="0.35">
      <c r="A9" s="379" t="s">
        <v>163</v>
      </c>
      <c r="B9" s="380"/>
      <c r="C9" s="381"/>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76" t="str">
        <f>IF(OR(A15="YES",A15="NO"),"EQ","BLANK")</f>
        <v>BLANK</v>
      </c>
      <c r="B12" s="376"/>
      <c r="C12" s="376"/>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83" t="s">
        <v>495</v>
      </c>
      <c r="B13" s="383"/>
      <c r="C13" s="383"/>
      <c r="D13" s="239" t="s">
        <v>496</v>
      </c>
      <c r="E13" s="239"/>
      <c r="F13" s="239"/>
      <c r="G13" s="239"/>
      <c r="H13" s="239"/>
      <c r="I13" s="239"/>
      <c r="J13" s="239"/>
      <c r="K13" s="239"/>
      <c r="L13" s="239"/>
      <c r="M13" s="20"/>
      <c r="N13" s="239" t="s">
        <v>496</v>
      </c>
      <c r="O13" s="239"/>
      <c r="P13" s="239"/>
      <c r="Q13" s="239"/>
      <c r="R13" s="239"/>
      <c r="S13" s="239"/>
      <c r="T13" s="239"/>
      <c r="U13" s="239"/>
      <c r="V13" s="239"/>
      <c r="W13" s="20"/>
      <c r="X13" s="239" t="s">
        <v>496</v>
      </c>
      <c r="Y13" s="239"/>
      <c r="Z13" s="239"/>
      <c r="AA13" s="239"/>
      <c r="AB13" s="239"/>
      <c r="AC13" s="239"/>
      <c r="AD13" s="239"/>
      <c r="AE13" s="239"/>
      <c r="AF13" s="239"/>
      <c r="AG13" s="20"/>
      <c r="AH13" s="239" t="s">
        <v>496</v>
      </c>
      <c r="AI13" s="239"/>
      <c r="AJ13" s="239"/>
      <c r="AK13" s="239"/>
      <c r="AL13" s="239"/>
      <c r="AM13" s="239"/>
      <c r="AN13" s="239"/>
      <c r="AO13" s="239"/>
      <c r="AP13" s="239"/>
      <c r="AQ13" s="20"/>
      <c r="AR13" s="239" t="s">
        <v>496</v>
      </c>
      <c r="AS13" s="239"/>
      <c r="AT13" s="239"/>
      <c r="AU13" s="239"/>
      <c r="AV13" s="239"/>
      <c r="AW13" s="239"/>
      <c r="AX13" s="239"/>
      <c r="AY13" s="239"/>
      <c r="AZ13" s="239"/>
      <c r="BA13" s="20"/>
    </row>
    <row r="14" spans="1:53" ht="15" customHeight="1" thickBot="1" x14ac:dyDescent="0.35">
      <c r="A14" s="384"/>
      <c r="B14" s="384"/>
      <c r="C14" s="384"/>
      <c r="D14" s="239"/>
      <c r="E14" s="239"/>
      <c r="F14" s="239"/>
      <c r="G14" s="239"/>
      <c r="H14" s="239"/>
      <c r="I14" s="239"/>
      <c r="J14" s="239"/>
      <c r="K14" s="239"/>
      <c r="L14" s="239"/>
      <c r="M14" s="20"/>
      <c r="N14" s="239"/>
      <c r="O14" s="239"/>
      <c r="P14" s="239"/>
      <c r="Q14" s="239"/>
      <c r="R14" s="239"/>
      <c r="S14" s="239"/>
      <c r="T14" s="239"/>
      <c r="U14" s="239"/>
      <c r="V14" s="239"/>
      <c r="W14" s="20"/>
      <c r="X14" s="239"/>
      <c r="Y14" s="239"/>
      <c r="Z14" s="239"/>
      <c r="AA14" s="239"/>
      <c r="AB14" s="239"/>
      <c r="AC14" s="239"/>
      <c r="AD14" s="239"/>
      <c r="AE14" s="239"/>
      <c r="AF14" s="239"/>
      <c r="AG14" s="20"/>
      <c r="AH14" s="239"/>
      <c r="AI14" s="239"/>
      <c r="AJ14" s="239"/>
      <c r="AK14" s="239"/>
      <c r="AL14" s="239"/>
      <c r="AM14" s="239"/>
      <c r="AN14" s="239"/>
      <c r="AO14" s="239"/>
      <c r="AP14" s="239"/>
      <c r="AQ14" s="20"/>
      <c r="AR14" s="239"/>
      <c r="AS14" s="239"/>
      <c r="AT14" s="239"/>
      <c r="AU14" s="239"/>
      <c r="AV14" s="239"/>
      <c r="AW14" s="239"/>
      <c r="AX14" s="239"/>
      <c r="AY14" s="239"/>
      <c r="AZ14" s="239"/>
      <c r="BA14" s="20"/>
    </row>
    <row r="15" spans="1:53" ht="15" customHeight="1" thickBot="1" x14ac:dyDescent="0.35">
      <c r="A15" s="379" t="s">
        <v>163</v>
      </c>
      <c r="B15" s="380"/>
      <c r="C15" s="381"/>
      <c r="D15" s="26"/>
      <c r="E15" s="26"/>
      <c r="F15" s="26"/>
      <c r="G15" s="26"/>
      <c r="H15" s="26"/>
      <c r="I15" s="26"/>
      <c r="J15" s="26"/>
      <c r="K15" s="26"/>
      <c r="L15" s="26"/>
      <c r="M15" s="20"/>
      <c r="N15" s="109"/>
      <c r="O15" s="110"/>
      <c r="P15" s="111"/>
      <c r="Q15" s="111"/>
      <c r="R15" s="111"/>
      <c r="S15" s="111"/>
      <c r="T15" s="111"/>
      <c r="U15" s="111"/>
      <c r="V15" s="111"/>
      <c r="W15" s="20"/>
      <c r="X15" s="26"/>
      <c r="Y15" s="26"/>
      <c r="Z15" s="26"/>
      <c r="AA15" s="26"/>
      <c r="AB15" s="26"/>
      <c r="AC15" s="26"/>
      <c r="AD15" s="26"/>
      <c r="AE15" s="26"/>
      <c r="AF15" s="26"/>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7"/>
      <c r="B16" s="37"/>
      <c r="C16" s="37"/>
      <c r="D16" s="26"/>
      <c r="E16" s="26"/>
      <c r="F16" s="26"/>
      <c r="G16" s="26"/>
      <c r="H16" s="26"/>
      <c r="I16" s="26"/>
      <c r="J16" s="26"/>
      <c r="K16" s="26"/>
      <c r="L16" s="26"/>
      <c r="M16" s="20"/>
      <c r="N16" s="109"/>
      <c r="O16" s="110"/>
      <c r="P16" s="111"/>
      <c r="Q16" s="111"/>
      <c r="R16" s="111"/>
      <c r="S16" s="111"/>
      <c r="T16" s="111"/>
      <c r="U16" s="111"/>
      <c r="V16" s="111"/>
      <c r="W16" s="20"/>
      <c r="X16" s="26"/>
      <c r="Y16" s="26"/>
      <c r="Z16" s="26"/>
      <c r="AA16" s="26"/>
      <c r="AB16" s="26"/>
      <c r="AC16" s="26"/>
      <c r="AD16" s="26"/>
      <c r="AE16" s="26"/>
      <c r="AF16" s="26"/>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76" t="str">
        <f>IF(COUNTIF(A7:A16,"YES"),"FILL OUT THIS TAB.",IF(COUNTIF(A7:A16,"Select Drop Down"),"","NO ACTION NEEDED."))</f>
        <v/>
      </c>
      <c r="B17" s="376"/>
      <c r="C17" s="376"/>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77" t="str">
        <f>'F.3.1-4 Tube Chassis'!D25</f>
        <v>mm</v>
      </c>
      <c r="B19" s="377"/>
      <c r="C19" s="377"/>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7"/>
      <c r="B20" s="377"/>
      <c r="C20" s="377"/>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8" t="str">
        <f>IF(OR(COUNTIF(A6:C12,"BLANK"),COUNTIF(D30:AS31,"BLANK")),"BLANK",IF(COUNTIF(D30:AS31,"REJECT"),"REJECT",IF(COUNTIF(D30:AS31,"CHECK"),"CHECK",IF(AND(A9="No",A15="No"),"N/A","EQ"))))</f>
        <v>BLANK</v>
      </c>
      <c r="B22" s="378"/>
      <c r="C22" s="378"/>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8"/>
      <c r="B23" s="378"/>
      <c r="C23" s="378"/>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8"/>
      <c r="B24" s="378"/>
      <c r="C24" s="378"/>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8"/>
      <c r="B25" s="378"/>
      <c r="C25" s="378"/>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8"/>
      <c r="B26" s="378"/>
      <c r="C26" s="378"/>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8"/>
      <c r="B27" s="378"/>
      <c r="C27" s="378"/>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8"/>
      <c r="B28" s="378"/>
      <c r="C28" s="378"/>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8"/>
      <c r="B29" s="378"/>
      <c r="C29" s="378"/>
      <c r="D29" s="375" t="s">
        <v>165</v>
      </c>
      <c r="E29" s="375"/>
      <c r="F29" s="375"/>
      <c r="G29" s="375"/>
      <c r="H29" s="375"/>
      <c r="I29" s="375"/>
      <c r="J29" s="375"/>
      <c r="K29" s="375"/>
      <c r="L29" s="375"/>
      <c r="M29" s="107"/>
      <c r="N29" s="375" t="s">
        <v>165</v>
      </c>
      <c r="O29" s="375"/>
      <c r="P29" s="375"/>
      <c r="Q29" s="375"/>
      <c r="R29" s="375"/>
      <c r="S29" s="375"/>
      <c r="T29" s="375"/>
      <c r="U29" s="375"/>
      <c r="V29" s="375"/>
      <c r="W29" s="107"/>
      <c r="X29" s="375" t="s">
        <v>165</v>
      </c>
      <c r="Y29" s="375"/>
      <c r="Z29" s="375"/>
      <c r="AA29" s="375"/>
      <c r="AB29" s="375"/>
      <c r="AC29" s="375"/>
      <c r="AD29" s="375"/>
      <c r="AE29" s="375"/>
      <c r="AF29" s="375"/>
      <c r="AG29" s="107"/>
      <c r="AH29" s="375" t="s">
        <v>165</v>
      </c>
      <c r="AI29" s="375"/>
      <c r="AJ29" s="375"/>
      <c r="AK29" s="375"/>
      <c r="AL29" s="375"/>
      <c r="AM29" s="375"/>
      <c r="AN29" s="375"/>
      <c r="AO29" s="375"/>
      <c r="AP29" s="375"/>
      <c r="AQ29" s="107"/>
      <c r="AR29" s="375" t="s">
        <v>165</v>
      </c>
      <c r="AS29" s="375"/>
      <c r="AT29" s="375"/>
      <c r="AU29" s="375"/>
      <c r="AV29" s="375"/>
      <c r="AW29" s="375"/>
      <c r="AX29" s="375"/>
      <c r="AY29" s="375"/>
      <c r="AZ29" s="375"/>
      <c r="BA29" s="107"/>
    </row>
    <row r="30" spans="1:53" ht="15" customHeight="1" x14ac:dyDescent="0.3">
      <c r="A30" s="378"/>
      <c r="B30" s="378"/>
      <c r="C30" s="378"/>
      <c r="D30" s="374" t="str">
        <f>IF(COUNTIF(D33:L55,"BLANK"),"BLANK",IF(COUNTIF(D33:L55,"REJECT"),"REJECT",IF(COUNTIF(D33:L55,"CHECK"),"CHECK","EQ")))</f>
        <v>EQ</v>
      </c>
      <c r="E30" s="374"/>
      <c r="F30" s="374" t="s">
        <v>497</v>
      </c>
      <c r="G30" s="374"/>
      <c r="H30" s="374"/>
      <c r="I30" s="374"/>
      <c r="J30" s="374"/>
      <c r="K30" s="374"/>
      <c r="L30" s="374"/>
      <c r="N30" s="374" t="str">
        <f>IF(COUNTIF(N33:V55,"BLANK"),"BLANK",IF(COUNTIF(N33:V55,"REJECT"),"REJECT",IF(COUNTIF(N33:V55,"CHECK"),"CHECK","EQ")))</f>
        <v>EQ</v>
      </c>
      <c r="O30" s="374"/>
      <c r="P30" s="374" t="s">
        <v>497</v>
      </c>
      <c r="Q30" s="374"/>
      <c r="R30" s="374"/>
      <c r="S30" s="374"/>
      <c r="T30" s="374"/>
      <c r="U30" s="374"/>
      <c r="V30" s="374"/>
      <c r="X30" s="374" t="str">
        <f>IF(COUNTIF(X33:AF55,"BLANK"),"BLANK",IF(COUNTIF(X33:AF55,"REJECT"),"REJECT",IF(COUNTIF(X33:AF55,"CHECK"),"CHECK","EQ")))</f>
        <v>EQ</v>
      </c>
      <c r="Y30" s="374"/>
      <c r="Z30" s="374" t="s">
        <v>497</v>
      </c>
      <c r="AA30" s="374"/>
      <c r="AB30" s="374"/>
      <c r="AC30" s="374"/>
      <c r="AD30" s="374"/>
      <c r="AE30" s="374"/>
      <c r="AF30" s="374"/>
      <c r="AH30" s="374" t="str">
        <f>IF(COUNTIF(AH33:AP55,"BLANK"),"BLANK",IF(COUNTIF(AH33:AP55,"REJECT"),"REJECT",IF(COUNTIF(AH33:AP55,"CHECK"),"CHECK","EQ")))</f>
        <v>EQ</v>
      </c>
      <c r="AI30" s="374"/>
      <c r="AJ30" s="374" t="s">
        <v>497</v>
      </c>
      <c r="AK30" s="374"/>
      <c r="AL30" s="374"/>
      <c r="AM30" s="374"/>
      <c r="AN30" s="374"/>
      <c r="AO30" s="374"/>
      <c r="AP30" s="374"/>
      <c r="AR30" s="374" t="str">
        <f>IF(COUNTIF(AR33:AZ55,"BLANK"),"BLANK",IF(COUNTIF(AR33:AZ55,"REJECT"),"REJECT",IF(COUNTIF(AR33:AZ55,"CHECK"),"CHECK","EQ")))</f>
        <v>EQ</v>
      </c>
      <c r="AS30" s="374"/>
      <c r="AT30" s="374" t="s">
        <v>497</v>
      </c>
      <c r="AU30" s="374"/>
      <c r="AV30" s="374"/>
      <c r="AW30" s="374"/>
      <c r="AX30" s="374"/>
      <c r="AY30" s="374"/>
      <c r="AZ30" s="374"/>
    </row>
    <row r="31" spans="1:53" ht="15" customHeight="1" x14ac:dyDescent="0.3">
      <c r="D31" s="374"/>
      <c r="E31" s="374"/>
      <c r="F31" s="374"/>
      <c r="G31" s="374"/>
      <c r="H31" s="374"/>
      <c r="I31" s="374"/>
      <c r="J31" s="374"/>
      <c r="K31" s="374"/>
      <c r="L31" s="374"/>
      <c r="N31" s="374"/>
      <c r="O31" s="374"/>
      <c r="P31" s="374"/>
      <c r="Q31" s="374"/>
      <c r="R31" s="374"/>
      <c r="S31" s="374"/>
      <c r="T31" s="374"/>
      <c r="U31" s="374"/>
      <c r="V31" s="374"/>
      <c r="X31" s="374"/>
      <c r="Y31" s="374"/>
      <c r="Z31" s="374"/>
      <c r="AA31" s="374"/>
      <c r="AB31" s="374"/>
      <c r="AC31" s="374"/>
      <c r="AD31" s="374"/>
      <c r="AE31" s="374"/>
      <c r="AF31" s="374"/>
      <c r="AH31" s="374"/>
      <c r="AI31" s="374"/>
      <c r="AJ31" s="374"/>
      <c r="AK31" s="374"/>
      <c r="AL31" s="374"/>
      <c r="AM31" s="374"/>
      <c r="AN31" s="374"/>
      <c r="AO31" s="374"/>
      <c r="AP31" s="374"/>
      <c r="AR31" s="374"/>
      <c r="AS31" s="374"/>
      <c r="AT31" s="374"/>
      <c r="AU31" s="374"/>
      <c r="AV31" s="374"/>
      <c r="AW31" s="374"/>
      <c r="AX31" s="374"/>
      <c r="AY31" s="374"/>
      <c r="AZ31" s="374"/>
    </row>
    <row r="32" spans="1:53" ht="15" customHeight="1" x14ac:dyDescent="0.3">
      <c r="A32" s="320">
        <f>'F.3.1-4 Tube Chassis'!$M$1</f>
        <v>2020</v>
      </c>
      <c r="B32" s="320"/>
      <c r="C32" s="320"/>
      <c r="D32" s="371" t="str">
        <f>IF($A$19="mm","Note: Young's Modulus is given in MPa, not Gpa.","")</f>
        <v>Note: Young's Modulus is given in MPa, not Gpa.</v>
      </c>
      <c r="E32" s="371"/>
      <c r="F32" s="371"/>
      <c r="G32" s="371"/>
      <c r="H32" s="371"/>
      <c r="I32" s="371"/>
      <c r="J32" s="371"/>
      <c r="K32" s="371"/>
      <c r="L32" s="371"/>
      <c r="N32" s="371" t="str">
        <f>IF($A$19="mm","Note: Young's Modulus is given in MPa, not Gpa.","")</f>
        <v>Note: Young's Modulus is given in MPa, not Gpa.</v>
      </c>
      <c r="O32" s="371"/>
      <c r="P32" s="371"/>
      <c r="Q32" s="371"/>
      <c r="R32" s="371"/>
      <c r="S32" s="371"/>
      <c r="T32" s="371"/>
      <c r="U32" s="371"/>
      <c r="V32" s="371"/>
      <c r="X32" s="371" t="str">
        <f>IF($A$19="mm","Note: Young's Modulus is given in MPa, not Gpa.","")</f>
        <v>Note: Young's Modulus is given in MPa, not Gpa.</v>
      </c>
      <c r="Y32" s="371"/>
      <c r="Z32" s="371"/>
      <c r="AA32" s="371"/>
      <c r="AB32" s="371"/>
      <c r="AC32" s="371"/>
      <c r="AD32" s="371"/>
      <c r="AE32" s="371"/>
      <c r="AF32" s="371"/>
      <c r="AH32" s="371" t="str">
        <f>IF($A$19="mm","Note: Young's Modulus is given in MPa, not Gpa.","")</f>
        <v>Note: Young's Modulus is given in MPa, not Gpa.</v>
      </c>
      <c r="AI32" s="371"/>
      <c r="AJ32" s="371"/>
      <c r="AK32" s="371"/>
      <c r="AL32" s="371"/>
      <c r="AM32" s="371"/>
      <c r="AN32" s="371"/>
      <c r="AO32" s="371"/>
      <c r="AP32" s="371"/>
      <c r="AR32" s="371" t="str">
        <f>IF($A$19="mm","Note: Young's Modulus is given in MPa, not Gpa.","")</f>
        <v>Note: Young's Modulus is given in MPa, not Gpa.</v>
      </c>
      <c r="AS32" s="371"/>
      <c r="AT32" s="371"/>
      <c r="AU32" s="371"/>
      <c r="AV32" s="371"/>
      <c r="AW32" s="371"/>
      <c r="AX32" s="371"/>
      <c r="AY32" s="371"/>
      <c r="AZ32" s="371"/>
    </row>
    <row r="33" spans="1:52" ht="15" customHeight="1" x14ac:dyDescent="0.3">
      <c r="A33" s="321">
        <f>'F.3.1-4 Tube Chassis'!$C$1</f>
        <v>0</v>
      </c>
      <c r="B33" s="321"/>
      <c r="C33" s="321"/>
      <c r="D33" s="373" t="str">
        <f>IF(COUNTIF(L35:L55,"BLANK"),"BLANK",IF(OR(SUMPRODUCT(--ISERROR(L35:L55))&gt;0,COUNTIF(L35:L55,"REJECT")),"REJECT",IF(COUNTIF(L35:L55,"CHECK"),"CHECK","EQ")))</f>
        <v>EQ</v>
      </c>
      <c r="E33" s="373"/>
      <c r="F33" s="373"/>
      <c r="G33" s="373"/>
      <c r="H33" s="373"/>
      <c r="I33" s="373"/>
      <c r="J33" s="373"/>
      <c r="K33" s="373"/>
      <c r="L33" s="373"/>
      <c r="N33" s="373" t="str">
        <f>IF(COUNTIF(V35:V55,"BLANK"),"BLANK",IF(OR(SUMPRODUCT(--ISERROR(V35:V55))&gt;0,COUNTIF(V35:V55,"REJECT")),"REJECT",IF(COUNTIF(V35:V55,"CHECK"),"CHECK","EQ")))</f>
        <v>EQ</v>
      </c>
      <c r="O33" s="373"/>
      <c r="P33" s="373"/>
      <c r="Q33" s="373"/>
      <c r="R33" s="373"/>
      <c r="S33" s="373"/>
      <c r="T33" s="373"/>
      <c r="U33" s="373"/>
      <c r="V33" s="373"/>
      <c r="X33" s="373" t="str">
        <f>IF(COUNTIF(AF35:AF55,"BLANK"),"BLANK",IF(OR(SUMPRODUCT(--ISERROR(AF35:AF55))&gt;0,COUNTIF(AF35:AF55,"REJECT")),"REJECT",IF(COUNTIF(AF35:AF55,"CHECK"),"CHECK","EQ")))</f>
        <v>EQ</v>
      </c>
      <c r="Y33" s="373"/>
      <c r="Z33" s="373"/>
      <c r="AA33" s="373"/>
      <c r="AB33" s="373"/>
      <c r="AC33" s="373"/>
      <c r="AD33" s="373"/>
      <c r="AE33" s="373"/>
      <c r="AF33" s="373"/>
      <c r="AH33" s="373" t="str">
        <f>IF(COUNTIF(AP35:AP55,"BLANK"),"BLANK",IF(OR(SUMPRODUCT(--ISERROR(AP35:AP55))&gt;0,COUNTIF(AP35:AP55,"REJECT")),"REJECT",IF(COUNTIF(AP35:AP55,"CHECK"),"CHECK","EQ")))</f>
        <v>EQ</v>
      </c>
      <c r="AI33" s="373"/>
      <c r="AJ33" s="373"/>
      <c r="AK33" s="373"/>
      <c r="AL33" s="373"/>
      <c r="AM33" s="373"/>
      <c r="AN33" s="373"/>
      <c r="AO33" s="373"/>
      <c r="AP33" s="373"/>
      <c r="AR33" s="373" t="str">
        <f>IF(COUNTIF(AZ35:AZ55,"BLANK"),"BLANK",IF(OR(SUMPRODUCT(--ISERROR(AZ35:AZ55))&gt;0,COUNTIF(AZ35:AZ55,"REJECT")),"REJECT",IF(COUNTIF(AZ35:AZ55,"CHECK"),"CHECK","EQ")))</f>
        <v>EQ</v>
      </c>
      <c r="AS33" s="373"/>
      <c r="AT33" s="373"/>
      <c r="AU33" s="373"/>
      <c r="AV33" s="373"/>
      <c r="AW33" s="373"/>
      <c r="AX33" s="373"/>
      <c r="AY33" s="373"/>
      <c r="AZ33" s="373"/>
    </row>
    <row r="34" spans="1:52" ht="15" customHeight="1" x14ac:dyDescent="0.3">
      <c r="A34" s="310">
        <f>'F.3.1-4 Tube Chassis'!$C$2</f>
        <v>0</v>
      </c>
      <c r="B34" s="310"/>
      <c r="C34" s="310"/>
      <c r="D34" s="121"/>
      <c r="E34" s="121"/>
      <c r="F34" s="121"/>
      <c r="G34" s="121"/>
      <c r="H34" s="121"/>
      <c r="I34" s="122" t="s">
        <v>304</v>
      </c>
      <c r="J34" s="371" t="s">
        <v>498</v>
      </c>
      <c r="K34" s="372"/>
      <c r="L34" s="121" t="s">
        <v>89</v>
      </c>
      <c r="N34" s="121"/>
      <c r="O34" s="121"/>
      <c r="P34" s="121"/>
      <c r="Q34" s="121"/>
      <c r="R34" s="121"/>
      <c r="S34" s="122" t="s">
        <v>304</v>
      </c>
      <c r="T34" s="371" t="s">
        <v>498</v>
      </c>
      <c r="U34" s="372"/>
      <c r="V34" s="121" t="s">
        <v>89</v>
      </c>
      <c r="X34" s="121"/>
      <c r="Y34" s="121"/>
      <c r="Z34" s="121"/>
      <c r="AA34" s="121"/>
      <c r="AB34" s="121"/>
      <c r="AC34" s="122" t="s">
        <v>304</v>
      </c>
      <c r="AD34" s="371" t="s">
        <v>498</v>
      </c>
      <c r="AE34" s="372"/>
      <c r="AF34" s="121" t="s">
        <v>89</v>
      </c>
      <c r="AH34" s="121"/>
      <c r="AI34" s="121"/>
      <c r="AJ34" s="121"/>
      <c r="AK34" s="121"/>
      <c r="AL34" s="121"/>
      <c r="AM34" s="122" t="s">
        <v>304</v>
      </c>
      <c r="AN34" s="371" t="s">
        <v>498</v>
      </c>
      <c r="AO34" s="372"/>
      <c r="AP34" s="121" t="s">
        <v>89</v>
      </c>
      <c r="AR34" s="121"/>
      <c r="AS34" s="121"/>
      <c r="AT34" s="121"/>
      <c r="AU34" s="121"/>
      <c r="AV34" s="121"/>
      <c r="AW34" s="122" t="s">
        <v>304</v>
      </c>
      <c r="AX34" s="371" t="s">
        <v>498</v>
      </c>
      <c r="AY34" s="372"/>
      <c r="AZ34" s="121" t="s">
        <v>89</v>
      </c>
    </row>
    <row r="35" spans="1:52" ht="15" customHeight="1" x14ac:dyDescent="0.3">
      <c r="A35" s="37" t="str">
        <f>IF('F.3.1-4 Tube Chassis'!$D$4,'F.3.1-4 Tube Chassis'!$D$3,"")</f>
        <v/>
      </c>
      <c r="B35" s="37" t="str">
        <f>IF('F.3.1-4 Tube Chassis'!$F$4,'F.3.1-4 Tube Chassis'!$F$3,"")</f>
        <v/>
      </c>
      <c r="C35" s="37" t="str">
        <f>IF('F.3.1-4 Tube Chassis'!$H$4,'F.3.1-4 Tube Chassis'!$H$3,"")</f>
        <v/>
      </c>
      <c r="D35" s="121"/>
      <c r="E35" s="121"/>
      <c r="F35" s="121"/>
      <c r="G35" s="121"/>
      <c r="H35" s="121"/>
      <c r="I35" s="123" t="s">
        <v>492</v>
      </c>
      <c r="J35" s="369" t="s">
        <v>499</v>
      </c>
      <c r="K35" s="370"/>
      <c r="L35" s="121" t="s">
        <v>89</v>
      </c>
      <c r="N35" s="121"/>
      <c r="O35" s="121"/>
      <c r="P35" s="121"/>
      <c r="Q35" s="121"/>
      <c r="R35" s="121"/>
      <c r="S35" s="123" t="s">
        <v>492</v>
      </c>
      <c r="T35" s="369" t="s">
        <v>499</v>
      </c>
      <c r="U35" s="370"/>
      <c r="V35" s="121" t="s">
        <v>89</v>
      </c>
      <c r="X35" s="121"/>
      <c r="Y35" s="121"/>
      <c r="Z35" s="121"/>
      <c r="AA35" s="121"/>
      <c r="AB35" s="121"/>
      <c r="AC35" s="123" t="s">
        <v>492</v>
      </c>
      <c r="AD35" s="369" t="s">
        <v>499</v>
      </c>
      <c r="AE35" s="370"/>
      <c r="AF35" s="121" t="s">
        <v>89</v>
      </c>
      <c r="AH35" s="121"/>
      <c r="AI35" s="121"/>
      <c r="AJ35" s="121"/>
      <c r="AK35" s="121"/>
      <c r="AL35" s="121"/>
      <c r="AM35" s="123" t="s">
        <v>492</v>
      </c>
      <c r="AN35" s="369" t="s">
        <v>499</v>
      </c>
      <c r="AO35" s="370"/>
      <c r="AP35" s="121" t="s">
        <v>89</v>
      </c>
      <c r="AR35" s="121"/>
      <c r="AS35" s="121"/>
      <c r="AT35" s="121"/>
      <c r="AU35" s="121"/>
      <c r="AV35" s="121"/>
      <c r="AW35" s="123" t="s">
        <v>492</v>
      </c>
      <c r="AX35" s="369" t="s">
        <v>499</v>
      </c>
      <c r="AY35" s="370"/>
      <c r="AZ35" s="121" t="s">
        <v>89</v>
      </c>
    </row>
    <row r="36" spans="1:52" ht="15" customHeight="1" thickBot="1" x14ac:dyDescent="0.35">
      <c r="A36" s="37" t="str">
        <f>IF('F.3.1-4 Tube Chassis'!$D$4,'F.3.1-4 Tube Chassis'!$D$4,"")</f>
        <v/>
      </c>
      <c r="B36" s="37" t="str">
        <f>IF('F.3.1-4 Tube Chassis'!$F$4,'F.3.1-4 Tube Chassis'!$F$4,"")</f>
        <v/>
      </c>
      <c r="C36" s="37" t="str">
        <f>IF('F.3.1-4 Tube Chassis'!$H$4,'F.3.1-4 Tube Chassis'!$H$4,"")</f>
        <v/>
      </c>
      <c r="D36" s="121"/>
      <c r="E36" s="121"/>
      <c r="F36" s="121"/>
      <c r="G36" s="121"/>
      <c r="H36" s="121"/>
      <c r="I36" s="123" t="s">
        <v>301</v>
      </c>
      <c r="J36" s="369" t="s">
        <v>500</v>
      </c>
      <c r="K36" s="370"/>
      <c r="L36" s="121" t="s">
        <v>89</v>
      </c>
      <c r="N36" s="121"/>
      <c r="O36" s="121"/>
      <c r="P36" s="121"/>
      <c r="Q36" s="121"/>
      <c r="R36" s="121"/>
      <c r="S36" s="123" t="s">
        <v>301</v>
      </c>
      <c r="T36" s="369" t="s">
        <v>500</v>
      </c>
      <c r="U36" s="370"/>
      <c r="V36" s="121" t="s">
        <v>89</v>
      </c>
      <c r="X36" s="121"/>
      <c r="Y36" s="121"/>
      <c r="Z36" s="121"/>
      <c r="AA36" s="121"/>
      <c r="AB36" s="121"/>
      <c r="AC36" s="123" t="s">
        <v>301</v>
      </c>
      <c r="AD36" s="369" t="s">
        <v>500</v>
      </c>
      <c r="AE36" s="370"/>
      <c r="AF36" s="121" t="s">
        <v>89</v>
      </c>
      <c r="AH36" s="121"/>
      <c r="AI36" s="121"/>
      <c r="AJ36" s="121"/>
      <c r="AK36" s="121"/>
      <c r="AL36" s="121"/>
      <c r="AM36" s="123" t="s">
        <v>301</v>
      </c>
      <c r="AN36" s="369" t="s">
        <v>500</v>
      </c>
      <c r="AO36" s="370"/>
      <c r="AP36" s="121" t="s">
        <v>89</v>
      </c>
      <c r="AR36" s="121"/>
      <c r="AS36" s="121"/>
      <c r="AT36" s="121"/>
      <c r="AU36" s="121"/>
      <c r="AV36" s="121"/>
      <c r="AW36" s="123" t="s">
        <v>301</v>
      </c>
      <c r="AX36" s="369" t="s">
        <v>500</v>
      </c>
      <c r="AY36" s="370"/>
      <c r="AZ36" s="121" t="s">
        <v>89</v>
      </c>
    </row>
    <row r="37" spans="1:52" ht="15" customHeight="1" thickBot="1" x14ac:dyDescent="0.35">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1"/>
      <c r="E37" s="363" t="s">
        <v>501</v>
      </c>
      <c r="F37" s="363"/>
      <c r="G37" s="363"/>
      <c r="H37" s="363"/>
      <c r="I37" s="124" t="s">
        <v>160</v>
      </c>
      <c r="J37" s="367" t="s">
        <v>160</v>
      </c>
      <c r="K37" s="368"/>
      <c r="L37" s="121" t="str">
        <f>IF(J37="","BLANK","EQ")</f>
        <v>EQ</v>
      </c>
      <c r="N37" s="121"/>
      <c r="O37" s="363" t="s">
        <v>501</v>
      </c>
      <c r="P37" s="363"/>
      <c r="Q37" s="363"/>
      <c r="R37" s="363"/>
      <c r="S37" s="124" t="s">
        <v>160</v>
      </c>
      <c r="T37" s="367" t="s">
        <v>160</v>
      </c>
      <c r="U37" s="368"/>
      <c r="V37" s="121" t="str">
        <f>IF(T37="","BLANK","EQ")</f>
        <v>EQ</v>
      </c>
      <c r="X37" s="121"/>
      <c r="Y37" s="363" t="s">
        <v>501</v>
      </c>
      <c r="Z37" s="363"/>
      <c r="AA37" s="363"/>
      <c r="AB37" s="363"/>
      <c r="AC37" s="124" t="s">
        <v>160</v>
      </c>
      <c r="AD37" s="367" t="s">
        <v>160</v>
      </c>
      <c r="AE37" s="368"/>
      <c r="AF37" s="121" t="str">
        <f>IF(AD37="","BLANK","EQ")</f>
        <v>EQ</v>
      </c>
      <c r="AH37" s="121"/>
      <c r="AI37" s="363" t="s">
        <v>501</v>
      </c>
      <c r="AJ37" s="363"/>
      <c r="AK37" s="363"/>
      <c r="AL37" s="363"/>
      <c r="AM37" s="124" t="s">
        <v>160</v>
      </c>
      <c r="AN37" s="367" t="s">
        <v>160</v>
      </c>
      <c r="AO37" s="368"/>
      <c r="AP37" s="121" t="str">
        <f>IF(AN37="","BLANK","EQ")</f>
        <v>EQ</v>
      </c>
      <c r="AR37" s="121"/>
      <c r="AS37" s="363" t="s">
        <v>501</v>
      </c>
      <c r="AT37" s="363"/>
      <c r="AU37" s="363"/>
      <c r="AV37" s="363"/>
      <c r="AW37" s="124" t="s">
        <v>160</v>
      </c>
      <c r="AX37" s="367" t="s">
        <v>160</v>
      </c>
      <c r="AY37" s="368"/>
      <c r="AZ37" s="121" t="str">
        <f>IF(AX37="","BLANK","EQ")</f>
        <v>EQ</v>
      </c>
    </row>
    <row r="38" spans="1:52" ht="15" customHeight="1" thickBot="1" x14ac:dyDescent="0.35">
      <c r="E38" s="363" t="s">
        <v>502</v>
      </c>
      <c r="F38" s="363"/>
      <c r="G38" s="363"/>
      <c r="H38" s="363"/>
      <c r="I38" s="125" t="s">
        <v>335</v>
      </c>
      <c r="J38" s="126" t="s">
        <v>3</v>
      </c>
      <c r="L38" s="121" t="str">
        <f>IF(OR(I38="",J38=""),"BLANK","EQ")</f>
        <v>EQ</v>
      </c>
      <c r="O38" s="363" t="s">
        <v>502</v>
      </c>
      <c r="P38" s="363"/>
      <c r="Q38" s="363"/>
      <c r="R38" s="363"/>
      <c r="S38" s="125" t="s">
        <v>335</v>
      </c>
      <c r="T38" s="125" t="s">
        <v>3</v>
      </c>
      <c r="V38" s="121" t="str">
        <f>IF(OR(S38="",T38=""),"BLANK","EQ")</f>
        <v>EQ</v>
      </c>
      <c r="Y38" s="363" t="s">
        <v>502</v>
      </c>
      <c r="Z38" s="363"/>
      <c r="AA38" s="363"/>
      <c r="AB38" s="363"/>
      <c r="AC38" s="125" t="s">
        <v>335</v>
      </c>
      <c r="AD38" s="126" t="s">
        <v>3</v>
      </c>
      <c r="AF38" s="121" t="str">
        <f>IF(OR(AC38="",AD38=""),"BLANK","EQ")</f>
        <v>EQ</v>
      </c>
      <c r="AI38" s="363" t="s">
        <v>502</v>
      </c>
      <c r="AJ38" s="363"/>
      <c r="AK38" s="363"/>
      <c r="AL38" s="363"/>
      <c r="AM38" s="125" t="s">
        <v>335</v>
      </c>
      <c r="AN38" s="126" t="s">
        <v>3</v>
      </c>
      <c r="AP38" s="121" t="str">
        <f>IF(OR(AM38="",AN38=""),"BLANK","EQ")</f>
        <v>EQ</v>
      </c>
      <c r="AS38" s="363" t="s">
        <v>502</v>
      </c>
      <c r="AT38" s="363"/>
      <c r="AU38" s="363"/>
      <c r="AV38" s="363"/>
      <c r="AW38" s="125" t="s">
        <v>335</v>
      </c>
      <c r="AX38" s="126" t="s">
        <v>3</v>
      </c>
      <c r="AZ38" s="121" t="str">
        <f>IF(OR(AW38="",AX38=""),"BLANK","EQ")</f>
        <v>EQ</v>
      </c>
    </row>
    <row r="39" spans="1:52" ht="15" customHeight="1" x14ac:dyDescent="0.3">
      <c r="A39" s="366" t="s">
        <v>526</v>
      </c>
      <c r="B39" s="366"/>
      <c r="C39" s="366"/>
      <c r="D39" s="84" t="s">
        <v>489</v>
      </c>
      <c r="E39" s="363" t="s">
        <v>23</v>
      </c>
      <c r="F39" s="363"/>
      <c r="G39" s="363"/>
      <c r="H39" s="363"/>
      <c r="I39" s="121">
        <f>IF($A$19="mm",
IF(I38="Size A",2,1.2),
IF(I38="Size A",0.079,0.047))</f>
        <v>2</v>
      </c>
      <c r="J39" s="127"/>
      <c r="K39" s="128" t="str">
        <f>IF($A$19="mm","mm","in")</f>
        <v>mm</v>
      </c>
      <c r="L39" s="121" t="str">
        <f>IF(AND(NOT($A$17="FILL OUT THIS TAB."),J$39="",J$40=""),"EQ",IF(J39="","BLANK",IF(J39&gt;I39,"EQ","REJECT")))</f>
        <v>EQ</v>
      </c>
      <c r="N39" s="84" t="s">
        <v>489</v>
      </c>
      <c r="O39" s="363" t="s">
        <v>23</v>
      </c>
      <c r="P39" s="363"/>
      <c r="Q39" s="363"/>
      <c r="R39" s="363"/>
      <c r="S39" s="121">
        <f>IF($A$19="mm",
IF(S38="Size A",2,1.2),
IF(S38="Size A",0.079,0.047))</f>
        <v>2</v>
      </c>
      <c r="T39" s="129"/>
      <c r="U39" s="128" t="str">
        <f>IF($A$19="mm","mm","in")</f>
        <v>mm</v>
      </c>
      <c r="V39" s="121" t="str">
        <f>IF(AND(T$39="",T$40=""),"EQ",IF(T39="","BLANK",IF(T39&gt;=S39,"EQ","REJECT")))</f>
        <v>EQ</v>
      </c>
      <c r="X39" s="84" t="s">
        <v>489</v>
      </c>
      <c r="Y39" s="363" t="s">
        <v>23</v>
      </c>
      <c r="Z39" s="363"/>
      <c r="AA39" s="363"/>
      <c r="AB39" s="363"/>
      <c r="AC39" s="121">
        <f>IF($A$19="mm",
IF(AC38="Size A",2,1.2),
IF(AC38="Size A",0.079,0.047))</f>
        <v>2</v>
      </c>
      <c r="AD39" s="130"/>
      <c r="AE39" s="128" t="str">
        <f>IF($A$19="mm","mm","in")</f>
        <v>mm</v>
      </c>
      <c r="AF39" s="121" t="str">
        <f>IF(AND(AD$39="",AD$40=""),"EQ",IF(AD39="","BLANK",IF(AD39&gt;=AC39,"EQ","REJECT")))</f>
        <v>EQ</v>
      </c>
      <c r="AH39" s="84" t="s">
        <v>489</v>
      </c>
      <c r="AI39" s="363" t="s">
        <v>23</v>
      </c>
      <c r="AJ39" s="363"/>
      <c r="AK39" s="363"/>
      <c r="AL39" s="363"/>
      <c r="AM39" s="121">
        <f>IF($A$19="mm",
IF(AM38="Size A",2,1.2),
IF(AM38="Size A",0.079,0.047))</f>
        <v>2</v>
      </c>
      <c r="AN39" s="130"/>
      <c r="AO39" s="128" t="str">
        <f>IF($A$19="mm","mm","in")</f>
        <v>mm</v>
      </c>
      <c r="AP39" s="121" t="str">
        <f>IF(AND(AN$39="",AN$40=""),"EQ",IF(AN39="","BLANK",IF(AN39&gt;=AM39,"EQ","REJECT")))</f>
        <v>EQ</v>
      </c>
      <c r="AR39" s="84" t="s">
        <v>489</v>
      </c>
      <c r="AS39" s="363" t="s">
        <v>23</v>
      </c>
      <c r="AT39" s="363"/>
      <c r="AU39" s="363"/>
      <c r="AV39" s="363"/>
      <c r="AW39" s="121">
        <f>IF($A$19="mm",
IF(AW38="Size A",2,1.2),
IF(AW38="Size A",0.079,0.047))</f>
        <v>2</v>
      </c>
      <c r="AX39" s="130"/>
      <c r="AY39" s="128" t="str">
        <f>IF($A$19="mm","mm","in")</f>
        <v>mm</v>
      </c>
      <c r="AZ39" s="121" t="str">
        <f>IF(AND(AX$39="",AX$40=""),"EQ",IF(AX39="","BLANK",IF(AX39&gt;=AW39,"EQ","REJECT")))</f>
        <v>EQ</v>
      </c>
    </row>
    <row r="40" spans="1:52" ht="15" customHeight="1" x14ac:dyDescent="0.3">
      <c r="A40" s="366"/>
      <c r="B40" s="366"/>
      <c r="C40" s="366"/>
      <c r="D40" s="61"/>
      <c r="E40" s="363" t="str">
        <f>IF(J38="Round","Outer Diameter:","Square side:")</f>
        <v>Outer Diameter:</v>
      </c>
      <c r="F40" s="363"/>
      <c r="G40" s="363"/>
      <c r="H40" s="363"/>
      <c r="I40" s="121">
        <f>IF($A$19="mm",25,0.984)</f>
        <v>25</v>
      </c>
      <c r="J40" s="130"/>
      <c r="K40" s="128" t="str">
        <f>IF($A$19="mm","mm","in")</f>
        <v>mm</v>
      </c>
      <c r="L40" s="121" t="str">
        <f>IF(AND(NOT($A$17="FILL OUT THIS TAB."),J$39="",J$40=""),"EQ",IF(J40="","BLANK",IF(J40&gt;I40,"EQ","REJECT")))</f>
        <v>EQ</v>
      </c>
      <c r="N40" s="61"/>
      <c r="O40" s="363" t="str">
        <f>IF(T38="Round","Outer Diameter:","Square side:")</f>
        <v>Outer Diameter:</v>
      </c>
      <c r="P40" s="363"/>
      <c r="Q40" s="363"/>
      <c r="R40" s="363"/>
      <c r="S40" s="121">
        <f>IF($A$19="mm",25,0.984)</f>
        <v>25</v>
      </c>
      <c r="T40" s="130"/>
      <c r="U40" s="128" t="str">
        <f>IF($A$19="mm","mm","in")</f>
        <v>mm</v>
      </c>
      <c r="V40" s="121" t="str">
        <f>IF(AND(T$39="",T$40=""),"EQ",IF(T40="","BLANK",IF(T40&gt;=S40,"EQ","REJECT")))</f>
        <v>EQ</v>
      </c>
      <c r="X40" s="61"/>
      <c r="Y40" s="363" t="str">
        <f>IF(AD38="Round","Outer Diameter:","Square side:")</f>
        <v>Outer Diameter:</v>
      </c>
      <c r="Z40" s="363"/>
      <c r="AA40" s="363"/>
      <c r="AB40" s="363"/>
      <c r="AC40" s="121">
        <f>IF($A$19="mm",25,0.984)</f>
        <v>25</v>
      </c>
      <c r="AD40" s="130"/>
      <c r="AE40" s="128" t="str">
        <f>IF($A$19="mm","mm","in")</f>
        <v>mm</v>
      </c>
      <c r="AF40" s="121" t="str">
        <f>IF(AND(AD$39="",AD$40=""),"EQ",IF(AD40="","BLANK",IF(AD40&gt;=AC40,"EQ","REJECT")))</f>
        <v>EQ</v>
      </c>
      <c r="AH40" s="61"/>
      <c r="AI40" s="363" t="str">
        <f>IF(AN38="Round","Outer Diameter:","Square side:")</f>
        <v>Outer Diameter:</v>
      </c>
      <c r="AJ40" s="363"/>
      <c r="AK40" s="363"/>
      <c r="AL40" s="363"/>
      <c r="AM40" s="121">
        <f>IF($A$19="mm",25,0.984)</f>
        <v>25</v>
      </c>
      <c r="AN40" s="130"/>
      <c r="AO40" s="128" t="str">
        <f>IF($A$19="mm","mm","in")</f>
        <v>mm</v>
      </c>
      <c r="AP40" s="121" t="str">
        <f>IF(AND(AN$39="",AN$40=""),"EQ",IF(AN40="","BLANK",IF(AN40&gt;=AM40,"EQ","REJECT")))</f>
        <v>EQ</v>
      </c>
      <c r="AR40" s="61"/>
      <c r="AS40" s="363" t="str">
        <f>IF(AX38="Round","Outer Diameter:","Square side:")</f>
        <v>Outer Diameter:</v>
      </c>
      <c r="AT40" s="363"/>
      <c r="AU40" s="363"/>
      <c r="AV40" s="363"/>
      <c r="AW40" s="121">
        <f>IF($A$19="mm",25,0.984)</f>
        <v>25</v>
      </c>
      <c r="AX40" s="130"/>
      <c r="AY40" s="128" t="str">
        <f>IF($A$19="mm","mm","in")</f>
        <v>mm</v>
      </c>
      <c r="AZ40" s="121" t="str">
        <f>IF(AND(AX$39="",AX$40=""),"EQ",IF(AX40="","BLANK",IF(AX40&gt;=AW40,"EQ","REJECT")))</f>
        <v>EQ</v>
      </c>
    </row>
    <row r="41" spans="1:52" ht="15" customHeight="1" x14ac:dyDescent="0.3">
      <c r="A41" s="366"/>
      <c r="B41" s="366"/>
      <c r="C41" s="366"/>
      <c r="D41" s="61"/>
      <c r="E41" s="363" t="s">
        <v>503</v>
      </c>
      <c r="F41" s="363"/>
      <c r="G41" s="363"/>
      <c r="H41" s="363"/>
      <c r="I41" s="131">
        <f>IF(I38="Size A",173,
IF(I38="Size B",114,
IF(I38="Size C",91,126)))
*IF($A$19="mm",1,1/(25.4^2))</f>
        <v>173</v>
      </c>
      <c r="J41" s="132" t="s">
        <v>504</v>
      </c>
      <c r="K41" s="128" t="s">
        <v>307</v>
      </c>
      <c r="L41" s="121" t="s">
        <v>89</v>
      </c>
      <c r="N41" s="61"/>
      <c r="O41" s="363" t="s">
        <v>503</v>
      </c>
      <c r="P41" s="363"/>
      <c r="Q41" s="363"/>
      <c r="R41" s="363"/>
      <c r="S41" s="131">
        <f>IF(S38="Size A",173,
IF(S38="Size B",114,
IF(S38="Size C",91,126)))*IF($A$19="mm",1,1/(25.4^2))</f>
        <v>173</v>
      </c>
      <c r="T41" s="132" t="s">
        <v>504</v>
      </c>
      <c r="U41" s="128" t="str">
        <f>IF($A$19="mm","mm^2","in^2")</f>
        <v>mm^2</v>
      </c>
      <c r="V41" s="121" t="s">
        <v>89</v>
      </c>
      <c r="X41" s="61"/>
      <c r="Y41" s="363" t="s">
        <v>503</v>
      </c>
      <c r="Z41" s="363"/>
      <c r="AA41" s="363"/>
      <c r="AB41" s="363"/>
      <c r="AC41" s="131">
        <f>IF(AC38="Size A",173,
IF(AC38="Size B",114,
IF(AC38="Size C",91,126)))*IF($A$19="mm",1,1/(25.4^2))</f>
        <v>173</v>
      </c>
      <c r="AD41" s="132" t="s">
        <v>504</v>
      </c>
      <c r="AE41" s="128" t="str">
        <f>IF($A$19="mm","mm^2","in^2")</f>
        <v>mm^2</v>
      </c>
      <c r="AF41" s="121" t="s">
        <v>89</v>
      </c>
      <c r="AH41" s="61"/>
      <c r="AI41" s="363" t="s">
        <v>503</v>
      </c>
      <c r="AJ41" s="363"/>
      <c r="AK41" s="363"/>
      <c r="AL41" s="363"/>
      <c r="AM41" s="131">
        <f>IF(AM38="Size A",173,
IF(AM38="Size B",114,
IF(AM38="Size C",91,126)))*IF($A$19="mm",1,1/(25.4^2))</f>
        <v>173</v>
      </c>
      <c r="AN41" s="132" t="s">
        <v>504</v>
      </c>
      <c r="AO41" s="128" t="str">
        <f>IF($A$19="mm","mm^2","in^2")</f>
        <v>mm^2</v>
      </c>
      <c r="AP41" s="121" t="s">
        <v>89</v>
      </c>
      <c r="AR41" s="61"/>
      <c r="AS41" s="363" t="s">
        <v>503</v>
      </c>
      <c r="AT41" s="363"/>
      <c r="AU41" s="363"/>
      <c r="AV41" s="363"/>
      <c r="AW41" s="131">
        <f>IF(AW38="Size A",173,
IF(AW38="Size B",114,
IF(AW38="Size C",91,126)))*IF($A$19="mm",1,1/(25.4^2))</f>
        <v>173</v>
      </c>
      <c r="AX41" s="132" t="s">
        <v>504</v>
      </c>
      <c r="AY41" s="128" t="str">
        <f>IF($A$19="mm","mm^2","in^2")</f>
        <v>mm^2</v>
      </c>
      <c r="AZ41" s="121" t="s">
        <v>89</v>
      </c>
    </row>
    <row r="42" spans="1:52" ht="15" customHeight="1" x14ac:dyDescent="0.3">
      <c r="A42" s="366"/>
      <c r="B42" s="366"/>
      <c r="C42" s="366"/>
      <c r="D42" s="133"/>
      <c r="E42" s="363" t="s">
        <v>505</v>
      </c>
      <c r="F42" s="363"/>
      <c r="G42" s="363"/>
      <c r="H42" s="363"/>
      <c r="I42" s="131">
        <f>IF(I38="Size A",11320,
IF(I38="Size B",8509,
IF(I38="Size C",6695,18015)))
*IF($A$19="mm",1,1/(25.4^4))</f>
        <v>11320</v>
      </c>
      <c r="J42" s="132" t="s">
        <v>504</v>
      </c>
      <c r="K42" s="128" t="s">
        <v>308</v>
      </c>
      <c r="L42" s="121" t="s">
        <v>89</v>
      </c>
      <c r="N42" s="133"/>
      <c r="O42" s="363" t="s">
        <v>505</v>
      </c>
      <c r="P42" s="363"/>
      <c r="Q42" s="363"/>
      <c r="R42" s="363"/>
      <c r="S42" s="131">
        <f>IF(S38="Size A",11320,
IF(S38="Size B",8509,
IF(S38="Size C",6695,18015)))*IF($A$19="mm",1,1/(25.4^4))</f>
        <v>11320</v>
      </c>
      <c r="T42" s="132" t="s">
        <v>504</v>
      </c>
      <c r="U42" s="128" t="str">
        <f>IF($A$19="mm","mm^4","in^4")</f>
        <v>mm^4</v>
      </c>
      <c r="V42" s="121" t="s">
        <v>89</v>
      </c>
      <c r="X42" s="133"/>
      <c r="Y42" s="363" t="s">
        <v>505</v>
      </c>
      <c r="Z42" s="363"/>
      <c r="AA42" s="363"/>
      <c r="AB42" s="363"/>
      <c r="AC42" s="131">
        <f>IF(AC38="Size A",11320,
IF(AC38="Size B",8509,
IF(AC38="Size C",6695,18015)))*IF($A$19="mm",1,1/(25.4^4))</f>
        <v>11320</v>
      </c>
      <c r="AD42" s="132" t="s">
        <v>504</v>
      </c>
      <c r="AE42" s="128" t="str">
        <f>IF($A$19="mm","mm^4","in^4")</f>
        <v>mm^4</v>
      </c>
      <c r="AF42" s="121" t="s">
        <v>89</v>
      </c>
      <c r="AH42" s="133"/>
      <c r="AI42" s="363" t="s">
        <v>505</v>
      </c>
      <c r="AJ42" s="363"/>
      <c r="AK42" s="363"/>
      <c r="AL42" s="363"/>
      <c r="AM42" s="131">
        <f>IF(AM38="Size A",11320,
IF(AM38="Size B",8509,
IF(AM38="Size C",6695,18015)))*IF($A$19="mm",1,1/(25.4^4))</f>
        <v>11320</v>
      </c>
      <c r="AN42" s="132" t="s">
        <v>504</v>
      </c>
      <c r="AO42" s="128" t="str">
        <f>IF($A$19="mm","mm^4","in^4")</f>
        <v>mm^4</v>
      </c>
      <c r="AP42" s="121" t="s">
        <v>89</v>
      </c>
      <c r="AR42" s="133"/>
      <c r="AS42" s="363" t="s">
        <v>505</v>
      </c>
      <c r="AT42" s="363"/>
      <c r="AU42" s="363"/>
      <c r="AV42" s="363"/>
      <c r="AW42" s="131">
        <f>IF(AW38="Size A",11320,
IF(AW38="Size B",8509,
IF(AW38="Size C",6695,18015)))*IF($A$19="mm",1,1/(25.4^4))</f>
        <v>11320</v>
      </c>
      <c r="AX42" s="132" t="s">
        <v>504</v>
      </c>
      <c r="AY42" s="128" t="str">
        <f>IF($A$19="mm","mm^4","in^4")</f>
        <v>mm^4</v>
      </c>
      <c r="AZ42" s="121" t="s">
        <v>89</v>
      </c>
    </row>
    <row r="43" spans="1:52" ht="15" customHeight="1" x14ac:dyDescent="0.3">
      <c r="A43" s="366"/>
      <c r="B43" s="366"/>
      <c r="C43" s="366"/>
      <c r="D43" s="133"/>
      <c r="E43" s="363" t="s">
        <v>506</v>
      </c>
      <c r="F43" s="363"/>
      <c r="G43" s="363"/>
      <c r="H43" s="363"/>
      <c r="I43" s="363"/>
      <c r="J43" s="134"/>
      <c r="K43" s="128" t="str">
        <f>IF($A$19="mm","mm^2","in^2")</f>
        <v>mm^2</v>
      </c>
      <c r="L43" s="121" t="str">
        <f>IF(AND(NOT($A$17="FILL OUT THIS TAB."),J$39="",J$40="",J$43="",J$44="",J$45="",J$46=""),"EQ",IF(J43="","BLANK","EQ"))</f>
        <v>EQ</v>
      </c>
      <c r="N43" s="133"/>
      <c r="O43" s="363" t="s">
        <v>506</v>
      </c>
      <c r="P43" s="363"/>
      <c r="Q43" s="363"/>
      <c r="R43" s="363"/>
      <c r="S43" s="363"/>
      <c r="T43" s="134"/>
      <c r="U43" s="128" t="str">
        <f>IF($A$19="mm","mm^2","in^2")</f>
        <v>mm^2</v>
      </c>
      <c r="V43" s="121" t="str">
        <f>IF(AND(T$39="",T$40="",T$43="",T$44="",T$45="",T$46=""),"EQ",IF(T43="","BLANK","EQ"))</f>
        <v>EQ</v>
      </c>
      <c r="X43" s="133"/>
      <c r="Y43" s="363" t="s">
        <v>506</v>
      </c>
      <c r="Z43" s="363"/>
      <c r="AA43" s="363"/>
      <c r="AB43" s="363"/>
      <c r="AC43" s="363"/>
      <c r="AD43" s="134"/>
      <c r="AE43" s="128" t="str">
        <f>IF($A$19="mm","mm^2","in^2")</f>
        <v>mm^2</v>
      </c>
      <c r="AF43" s="121" t="str">
        <f>IF(AND(AD$39="",AD$40="",AD$43="",AD$44="",AD$45="",AD$46=""),"EQ",IF(AD43="","BLANK","EQ"))</f>
        <v>EQ</v>
      </c>
      <c r="AH43" s="133"/>
      <c r="AI43" s="363" t="s">
        <v>506</v>
      </c>
      <c r="AJ43" s="363"/>
      <c r="AK43" s="363"/>
      <c r="AL43" s="363"/>
      <c r="AM43" s="363"/>
      <c r="AN43" s="134"/>
      <c r="AO43" s="128" t="str">
        <f>IF($A$19="mm","mm^2","in^2")</f>
        <v>mm^2</v>
      </c>
      <c r="AP43" s="121" t="str">
        <f>IF(AND(AN$39="",AN$40="",AN$43="",AN$44="",AN$45="",AN$46=""),"EQ",IF(AN43="","BLANK","EQ"))</f>
        <v>EQ</v>
      </c>
      <c r="AR43" s="133"/>
      <c r="AS43" s="363" t="s">
        <v>506</v>
      </c>
      <c r="AT43" s="363"/>
      <c r="AU43" s="363"/>
      <c r="AV43" s="363"/>
      <c r="AW43" s="363"/>
      <c r="AX43" s="134"/>
      <c r="AY43" s="128" t="str">
        <f>IF($A$19="mm","mm^2","in^2")</f>
        <v>mm^2</v>
      </c>
      <c r="AZ43" s="121" t="str">
        <f>IF(AND(AX$39="",AX$40="",AX$43="",AX$44="",AX$45="",AX$46=""),"EQ",IF(AX43="","BLANK","EQ"))</f>
        <v>EQ</v>
      </c>
    </row>
    <row r="44" spans="1:52" ht="15" customHeight="1" x14ac:dyDescent="0.3">
      <c r="A44" s="366"/>
      <c r="B44" s="366"/>
      <c r="C44" s="366"/>
      <c r="D44" s="133"/>
      <c r="E44" s="363" t="s">
        <v>507</v>
      </c>
      <c r="F44" s="363"/>
      <c r="G44" s="363"/>
      <c r="H44" s="363"/>
      <c r="I44" s="363"/>
      <c r="J44" s="134"/>
      <c r="K44" s="128" t="str">
        <f>IF($A$19="mm","mm^4","in^4")</f>
        <v>mm^4</v>
      </c>
      <c r="L44" s="121" t="str">
        <f>IF(AND(NOT($A$17="FILL OUT THIS TAB."),J$39="",J$40="",J$43="",J$44="",J$45="",J$46=""),"EQ",IF(J44="","BLANK","EQ"))</f>
        <v>EQ</v>
      </c>
      <c r="N44" s="133"/>
      <c r="O44" s="363" t="s">
        <v>507</v>
      </c>
      <c r="P44" s="363"/>
      <c r="Q44" s="363"/>
      <c r="R44" s="363"/>
      <c r="S44" s="363"/>
      <c r="T44" s="134"/>
      <c r="U44" s="128" t="str">
        <f>IF($A$19="mm","mm^4","in^4")</f>
        <v>mm^4</v>
      </c>
      <c r="V44" s="121" t="str">
        <f>IF(AND(T$39="",T$40="",T$43="",T$44="",T$45="",T$46=""),"EQ",IF(T44="","BLANK","EQ"))</f>
        <v>EQ</v>
      </c>
      <c r="X44" s="133"/>
      <c r="Y44" s="363" t="s">
        <v>507</v>
      </c>
      <c r="Z44" s="363"/>
      <c r="AA44" s="363"/>
      <c r="AB44" s="363"/>
      <c r="AC44" s="363"/>
      <c r="AD44" s="134"/>
      <c r="AE44" s="128" t="str">
        <f>IF($A$19="mm","mm^4","in^4")</f>
        <v>mm^4</v>
      </c>
      <c r="AF44" s="121" t="str">
        <f>IF(AND(AD$39="",AD$40="",AD$43="",AD$44="",AD$45="",AD$46=""),"EQ",IF(AD44="","BLANK","EQ"))</f>
        <v>EQ</v>
      </c>
      <c r="AH44" s="133"/>
      <c r="AI44" s="363" t="s">
        <v>507</v>
      </c>
      <c r="AJ44" s="363"/>
      <c r="AK44" s="363"/>
      <c r="AL44" s="363"/>
      <c r="AM44" s="363"/>
      <c r="AN44" s="134"/>
      <c r="AO44" s="128" t="str">
        <f>IF($A$19="mm","mm^4","in^4")</f>
        <v>mm^4</v>
      </c>
      <c r="AP44" s="121" t="str">
        <f>IF(AND(AN$39="",AN$40="",AN$43="",AN$44="",AN$45="",AN$46=""),"EQ",IF(AN44="","BLANK","EQ"))</f>
        <v>EQ</v>
      </c>
      <c r="AR44" s="133"/>
      <c r="AS44" s="363" t="s">
        <v>507</v>
      </c>
      <c r="AT44" s="363"/>
      <c r="AU44" s="363"/>
      <c r="AV44" s="363"/>
      <c r="AW44" s="363"/>
      <c r="AX44" s="134"/>
      <c r="AY44" s="128" t="str">
        <f>IF($A$19="mm","mm^4","in^4")</f>
        <v>mm^4</v>
      </c>
      <c r="AZ44" s="121" t="str">
        <f>IF(AND(AX$39="",AX$40="",AX$43="",AX$44="",AX$45="",AX$46=""),"EQ",IF(AX44="","BLANK","EQ"))</f>
        <v>EQ</v>
      </c>
    </row>
    <row r="45" spans="1:52" ht="15" customHeight="1" x14ac:dyDescent="0.3">
      <c r="A45" s="366"/>
      <c r="B45" s="366"/>
      <c r="C45" s="366"/>
      <c r="D45" s="133"/>
      <c r="E45" s="363" t="s">
        <v>508</v>
      </c>
      <c r="F45" s="363"/>
      <c r="G45" s="363"/>
      <c r="H45" s="363"/>
      <c r="I45" s="363"/>
      <c r="J45" s="134"/>
      <c r="K45" s="128" t="str">
        <f>IF($A$19="mm","mm^2","in^2")</f>
        <v>mm^2</v>
      </c>
      <c r="L45" s="121" t="str">
        <f>IF(AND(NOT($A$17="FILL OUT THIS TAB."),J$39="",J$40="",J$43="",J$44="",J$45="",J$46=""),"EQ",IF(J45="","BLANK","EQ"))</f>
        <v>EQ</v>
      </c>
      <c r="N45" s="133"/>
      <c r="O45" s="363" t="s">
        <v>508</v>
      </c>
      <c r="P45" s="363"/>
      <c r="Q45" s="363"/>
      <c r="R45" s="363"/>
      <c r="S45" s="363"/>
      <c r="T45" s="134"/>
      <c r="U45" s="128" t="str">
        <f>IF($A$19="mm","mm^2","in^2")</f>
        <v>mm^2</v>
      </c>
      <c r="V45" s="121" t="str">
        <f>IF(AND(T$39="",T$40="",T$43="",T$44="",T$45="",T$46=""),"EQ",IF(T45="","BLANK",IF(T45&lt;S41,"EQ","REJECT")))</f>
        <v>EQ</v>
      </c>
      <c r="X45" s="133"/>
      <c r="Y45" s="363" t="s">
        <v>508</v>
      </c>
      <c r="Z45" s="363"/>
      <c r="AA45" s="363"/>
      <c r="AB45" s="363"/>
      <c r="AC45" s="363"/>
      <c r="AD45" s="134"/>
      <c r="AE45" s="128" t="str">
        <f>IF($A$19="mm","mm^2","in^2")</f>
        <v>mm^2</v>
      </c>
      <c r="AF45" s="121" t="str">
        <f>IF(AND(AD$39="",AD$40="",AD$43="",AD$44="",AD$45="",AD$46=""),"EQ",IF(AD45="","BLANK",IF(AD45&lt;AC41,"EQ","REJECT")))</f>
        <v>EQ</v>
      </c>
      <c r="AH45" s="133"/>
      <c r="AI45" s="363" t="s">
        <v>508</v>
      </c>
      <c r="AJ45" s="363"/>
      <c r="AK45" s="363"/>
      <c r="AL45" s="363"/>
      <c r="AM45" s="363"/>
      <c r="AN45" s="134"/>
      <c r="AO45" s="128" t="str">
        <f>IF($A$19="mm","mm^2","in^2")</f>
        <v>mm^2</v>
      </c>
      <c r="AP45" s="121" t="str">
        <f>IF(AND(AN$39="",AN$40="",AN$43="",AN$44="",AN$45="",AN$46=""),"EQ",IF(AN45="","BLANK",IF(AN45&lt;AM41,"EQ","REJECT")))</f>
        <v>EQ</v>
      </c>
      <c r="AR45" s="133"/>
      <c r="AS45" s="363" t="s">
        <v>508</v>
      </c>
      <c r="AT45" s="363"/>
      <c r="AU45" s="363"/>
      <c r="AV45" s="363"/>
      <c r="AW45" s="363"/>
      <c r="AX45" s="134"/>
      <c r="AY45" s="128" t="str">
        <f>IF($A$19="mm","mm^2","in^2")</f>
        <v>mm^2</v>
      </c>
      <c r="AZ45" s="121" t="str">
        <f>IF(AND(AX$39="",AX$40="",AX$43="",AX$44="",AX$45="",AX$46=""),"EQ",IF(AX45="","BLANK",IF(AX45&lt;AW41,"EQ","REJECT")))</f>
        <v>EQ</v>
      </c>
    </row>
    <row r="46" spans="1:52" ht="15" customHeight="1" x14ac:dyDescent="0.3">
      <c r="A46" s="366"/>
      <c r="B46" s="366"/>
      <c r="C46" s="366"/>
      <c r="D46" s="133"/>
      <c r="E46" s="363" t="s">
        <v>509</v>
      </c>
      <c r="F46" s="363"/>
      <c r="G46" s="363"/>
      <c r="H46" s="363"/>
      <c r="I46" s="363"/>
      <c r="J46" s="130"/>
      <c r="K46" s="128" t="str">
        <f>IF($A$19="mm","mm^4","in^4")</f>
        <v>mm^4</v>
      </c>
      <c r="L46" s="121" t="str">
        <f>IF(AND(NOT($A$17="FILL OUT THIS TAB."),J$39="",J$40="",J$43="",J$44="",J$45="",J$46=""),"EQ",IF(J46="","BLANK","EQ"))</f>
        <v>EQ</v>
      </c>
      <c r="N46" s="133"/>
      <c r="O46" s="363" t="s">
        <v>509</v>
      </c>
      <c r="P46" s="363"/>
      <c r="Q46" s="363"/>
      <c r="R46" s="363"/>
      <c r="S46" s="363"/>
      <c r="T46" s="130"/>
      <c r="U46" s="128" t="str">
        <f>IF($A$19="mm","mm^4","in^4")</f>
        <v>mm^4</v>
      </c>
      <c r="V46" s="121" t="str">
        <f>IF(AND(T$39="",T$40="",T$43="",T$44="",T$45="",T$46=""),"EQ",IF(T46="","BLANK",IF(T46&lt;S42,"EQ","REJECT")))</f>
        <v>EQ</v>
      </c>
      <c r="X46" s="133"/>
      <c r="Y46" s="363" t="s">
        <v>509</v>
      </c>
      <c r="Z46" s="363"/>
      <c r="AA46" s="363"/>
      <c r="AB46" s="363"/>
      <c r="AC46" s="363"/>
      <c r="AD46" s="130"/>
      <c r="AE46" s="128" t="str">
        <f>IF($A$19="mm","mm^4","in^4")</f>
        <v>mm^4</v>
      </c>
      <c r="AF46" s="121" t="str">
        <f>IF(AND(AD$39="",AD$40="",AD$43="",AD$44="",AD$45="",AD$46=""),"EQ",IF(AD46="","BLANK",IF(AD46&lt;AC42,"EQ","REJECT")))</f>
        <v>EQ</v>
      </c>
      <c r="AH46" s="133"/>
      <c r="AI46" s="363" t="s">
        <v>509</v>
      </c>
      <c r="AJ46" s="363"/>
      <c r="AK46" s="363"/>
      <c r="AL46" s="363"/>
      <c r="AM46" s="363"/>
      <c r="AN46" s="130"/>
      <c r="AO46" s="128" t="str">
        <f>IF($A$19="mm","mm^4","in^4")</f>
        <v>mm^4</v>
      </c>
      <c r="AP46" s="121" t="str">
        <f>IF(AND(AN$39="",AN$40="",AN$43="",AN$44="",AN$45="",AN$46=""),"EQ",IF(AN46="","BLANK",IF(AN46&lt;AM42,"EQ","REJECT")))</f>
        <v>EQ</v>
      </c>
      <c r="AR46" s="133"/>
      <c r="AS46" s="363" t="s">
        <v>509</v>
      </c>
      <c r="AT46" s="363"/>
      <c r="AU46" s="363"/>
      <c r="AV46" s="363"/>
      <c r="AW46" s="363"/>
      <c r="AX46" s="130"/>
      <c r="AY46" s="128" t="str">
        <f>IF($A$19="mm","mm^4","in^4")</f>
        <v>mm^4</v>
      </c>
      <c r="AZ46" s="121" t="str">
        <f>IF(AND(AX$39="",AX$40="",AX$43="",AX$44="",AX$45="",AX$46=""),"EQ",IF(AX46="","BLANK",IF(AX46&lt;AW42,"EQ","REJECT")))</f>
        <v>EQ</v>
      </c>
    </row>
    <row r="47" spans="1:52" ht="15.75" customHeight="1" x14ac:dyDescent="0.3">
      <c r="A47" s="366"/>
      <c r="B47" s="366"/>
      <c r="C47" s="366"/>
      <c r="D47" s="122" t="str">
        <f>IF(J37="Steel","F.3.4.3","F.3.5.3")</f>
        <v>F.3.4.3</v>
      </c>
      <c r="E47" s="363" t="s">
        <v>510</v>
      </c>
      <c r="F47" s="363"/>
      <c r="G47" s="363"/>
      <c r="H47" s="363"/>
      <c r="I47" s="131">
        <f>IF($A$19="mm",200*10^9,29000*10^3)</f>
        <v>200000000000</v>
      </c>
      <c r="J47" s="131">
        <f>IF(J37="Welded Aluminum",$A$3,IF($A$19="mm",200*10^9,29000*10^3))</f>
        <v>200000000000</v>
      </c>
      <c r="K47" s="128" t="str">
        <f>IF($A$19="mm","Pa","psi")</f>
        <v>Pa</v>
      </c>
      <c r="L47" s="121" t="str">
        <f>IF(J47=0,"BLANK","EQ")</f>
        <v>EQ</v>
      </c>
      <c r="N47" s="122" t="str">
        <f>IF(T37="Steel","F.3.4.3","F.3.5.3")</f>
        <v>F.3.4.3</v>
      </c>
      <c r="O47" s="363" t="s">
        <v>510</v>
      </c>
      <c r="P47" s="363"/>
      <c r="Q47" s="363"/>
      <c r="R47" s="363"/>
      <c r="S47" s="131">
        <f>IF($A$19="mm",200*10^9,29000*10^3)</f>
        <v>200000000000</v>
      </c>
      <c r="T47" s="131">
        <f>IF(T37="Welded Aluminum",$A$3,IF($A$19="mm",200*10^9,29000*10^3))</f>
        <v>200000000000</v>
      </c>
      <c r="U47" s="128" t="str">
        <f>IF($A$19="mm","Pa","psi")</f>
        <v>Pa</v>
      </c>
      <c r="V47" s="121" t="str">
        <f>IF(T47=0,"BLANK","EQ")</f>
        <v>EQ</v>
      </c>
      <c r="X47" s="122" t="str">
        <f>IF(AD37="Steel","F.3.4.3","F.3.5.3")</f>
        <v>F.3.4.3</v>
      </c>
      <c r="Y47" s="363" t="s">
        <v>510</v>
      </c>
      <c r="Z47" s="363"/>
      <c r="AA47" s="363"/>
      <c r="AB47" s="363"/>
      <c r="AC47" s="131">
        <f>IF($A$19="mm",200*10^9,29000*10^3)</f>
        <v>200000000000</v>
      </c>
      <c r="AD47" s="131">
        <f>IF(AD37="Welded Aluminum",$A$3,IF($A$19="mm",200*10^9,29000*10^3))</f>
        <v>200000000000</v>
      </c>
      <c r="AE47" s="128" t="str">
        <f>IF($A$19="mm","Pa","psi")</f>
        <v>Pa</v>
      </c>
      <c r="AF47" s="121" t="str">
        <f>IF(AD47=0,"BLANK","EQ")</f>
        <v>EQ</v>
      </c>
      <c r="AH47" s="122" t="str">
        <f>IF(AN37="Steel","F.3.4.3","F.3.5.3")</f>
        <v>F.3.4.3</v>
      </c>
      <c r="AI47" s="363" t="s">
        <v>510</v>
      </c>
      <c r="AJ47" s="363"/>
      <c r="AK47" s="363"/>
      <c r="AL47" s="363"/>
      <c r="AM47" s="131">
        <f>IF($A$19="mm",200*10^9,29000*10^3)</f>
        <v>200000000000</v>
      </c>
      <c r="AN47" s="131">
        <f>IF(AN37="Welded Aluminum",$A$3,IF($A$19="mm",200*10^9,29000*10^3))</f>
        <v>200000000000</v>
      </c>
      <c r="AO47" s="128" t="str">
        <f>IF($A$19="mm","Pa","psi")</f>
        <v>Pa</v>
      </c>
      <c r="AP47" s="121" t="str">
        <f>IF(AN47=0,"BLANK","EQ")</f>
        <v>EQ</v>
      </c>
      <c r="AR47" s="122" t="str">
        <f>IF(AX37="Steel","F.3.4.3","F.3.5.3")</f>
        <v>F.3.4.3</v>
      </c>
      <c r="AS47" s="363" t="s">
        <v>510</v>
      </c>
      <c r="AT47" s="363"/>
      <c r="AU47" s="363"/>
      <c r="AV47" s="363"/>
      <c r="AW47" s="131">
        <f>IF($A$19="mm",200*10^9,29000*10^3)</f>
        <v>200000000000</v>
      </c>
      <c r="AX47" s="131">
        <f>IF(AX37="Welded Aluminum",$A$3,IF($A$19="mm",200*10^9,29000*10^3))</f>
        <v>200000000000</v>
      </c>
      <c r="AY47" s="128" t="str">
        <f>IF($A$19="mm","Pa","psi")</f>
        <v>Pa</v>
      </c>
      <c r="AZ47" s="121" t="str">
        <f>IF(AX47=0,"BLANK","EQ")</f>
        <v>EQ</v>
      </c>
    </row>
    <row r="48" spans="1:52" x14ac:dyDescent="0.3">
      <c r="A48" s="366"/>
      <c r="B48" s="366"/>
      <c r="C48" s="366"/>
      <c r="D48" s="133"/>
      <c r="E48" s="363" t="s">
        <v>511</v>
      </c>
      <c r="F48" s="363"/>
      <c r="G48" s="363"/>
      <c r="H48" s="363"/>
      <c r="I48" s="131">
        <f>IF($A$19="mm",305*10^6,44.2*10^3)</f>
        <v>305000000</v>
      </c>
      <c r="J48" s="131">
        <f>IF(J37="Welded Aluminum",$B$3,IF($A$19="mm",180*10^6,26*10^3))</f>
        <v>180000000</v>
      </c>
      <c r="K48" s="128" t="str">
        <f>IF($A$19="mm","Pa","psi")</f>
        <v>Pa</v>
      </c>
      <c r="L48" s="121" t="str">
        <f>IF(J48=0,"BLANK","EQ")</f>
        <v>EQ</v>
      </c>
      <c r="N48" s="133"/>
      <c r="O48" s="363" t="s">
        <v>511</v>
      </c>
      <c r="P48" s="363"/>
      <c r="Q48" s="363"/>
      <c r="R48" s="363"/>
      <c r="S48" s="131">
        <f>IF($A$19="mm",305*10^6,44.2*10^3)</f>
        <v>305000000</v>
      </c>
      <c r="T48" s="131">
        <f>IF(T37="Welded Aluminum",$B$3,IF($A$19="mm",180*10^6,26*10^3))</f>
        <v>180000000</v>
      </c>
      <c r="U48" s="128" t="str">
        <f>IF($A$19="mm","Pa","psi")</f>
        <v>Pa</v>
      </c>
      <c r="V48" s="121" t="str">
        <f>IF(T48=0,"BLANK","EQ")</f>
        <v>EQ</v>
      </c>
      <c r="X48" s="133"/>
      <c r="Y48" s="363" t="s">
        <v>511</v>
      </c>
      <c r="Z48" s="363"/>
      <c r="AA48" s="363"/>
      <c r="AB48" s="363"/>
      <c r="AC48" s="131">
        <f>IF($A$19="mm",305*10^6,44.2*10^3)</f>
        <v>305000000</v>
      </c>
      <c r="AD48" s="131">
        <f>IF(AD37="Welded Aluminum",$B$3,IF($A$19="mm",180*10^6,26*10^3))</f>
        <v>180000000</v>
      </c>
      <c r="AE48" s="128" t="str">
        <f>IF($A$19="mm","Pa","psi")</f>
        <v>Pa</v>
      </c>
      <c r="AF48" s="121" t="str">
        <f>IF(AD48=0,"BLANK","EQ")</f>
        <v>EQ</v>
      </c>
      <c r="AH48" s="133"/>
      <c r="AI48" s="363" t="s">
        <v>511</v>
      </c>
      <c r="AJ48" s="363"/>
      <c r="AK48" s="363"/>
      <c r="AL48" s="363"/>
      <c r="AM48" s="131">
        <f>IF($A$19="mm",305*10^6,44.2*10^3)</f>
        <v>305000000</v>
      </c>
      <c r="AN48" s="131">
        <f>IF(AN37="Welded Aluminum",$B$3,IF($A$19="mm",180*10^6,26*10^3))</f>
        <v>180000000</v>
      </c>
      <c r="AO48" s="128" t="str">
        <f>IF($A$19="mm","Pa","psi")</f>
        <v>Pa</v>
      </c>
      <c r="AP48" s="121" t="str">
        <f>IF(AN48=0,"BLANK","EQ")</f>
        <v>EQ</v>
      </c>
      <c r="AR48" s="133"/>
      <c r="AS48" s="363" t="s">
        <v>511</v>
      </c>
      <c r="AT48" s="363"/>
      <c r="AU48" s="363"/>
      <c r="AV48" s="363"/>
      <c r="AW48" s="131">
        <f>IF($A$19="mm",305*10^6,44.2*10^3)</f>
        <v>305000000</v>
      </c>
      <c r="AX48" s="131">
        <f>IF(AX37="Welded Aluminum",$B$3,IF($A$19="mm",180*10^6,26*10^3))</f>
        <v>180000000</v>
      </c>
      <c r="AY48" s="128" t="str">
        <f>IF($A$19="mm","Pa","psi")</f>
        <v>Pa</v>
      </c>
      <c r="AZ48" s="121" t="str">
        <f>IF(AX48=0,"BLANK","EQ")</f>
        <v>EQ</v>
      </c>
    </row>
    <row r="49" spans="1:52" ht="15" customHeight="1" x14ac:dyDescent="0.3">
      <c r="A49" s="366"/>
      <c r="B49" s="366"/>
      <c r="C49" s="366"/>
      <c r="D49" s="133"/>
      <c r="E49" s="364" t="s">
        <v>512</v>
      </c>
      <c r="F49" s="364"/>
      <c r="G49" s="364"/>
      <c r="H49" s="364"/>
      <c r="I49" s="131">
        <f>IF($A$19="mm",365*10^6,52.9*10^3)</f>
        <v>365000000</v>
      </c>
      <c r="J49" s="131">
        <f>IF(J37="Welded Aluminum",$C$3,IF($A$19="mm",300*10^6,43.5*10^3))</f>
        <v>300000000</v>
      </c>
      <c r="K49" s="128" t="str">
        <f>IF($A$19="mm","Pa","psi")</f>
        <v>Pa</v>
      </c>
      <c r="L49" s="121" t="str">
        <f>IF(J49=0,"BLANK","EQ")</f>
        <v>EQ</v>
      </c>
      <c r="N49" s="133"/>
      <c r="O49" s="364" t="s">
        <v>512</v>
      </c>
      <c r="P49" s="364"/>
      <c r="Q49" s="364"/>
      <c r="R49" s="364"/>
      <c r="S49" s="131">
        <f>IF($A$19="mm",365*10^6,52.9*10^3)</f>
        <v>365000000</v>
      </c>
      <c r="T49" s="131">
        <f>IF(T37="Welded Aluminum",$C$3,IF($A$19="mm",300*10^6,43.5*10^3))</f>
        <v>300000000</v>
      </c>
      <c r="U49" s="128" t="str">
        <f>IF($A$19="mm","Pa","psi")</f>
        <v>Pa</v>
      </c>
      <c r="V49" s="121" t="str">
        <f>IF(T49=0,"BLANK","EQ")</f>
        <v>EQ</v>
      </c>
      <c r="X49" s="133"/>
      <c r="Y49" s="364" t="s">
        <v>512</v>
      </c>
      <c r="Z49" s="364"/>
      <c r="AA49" s="364"/>
      <c r="AB49" s="364"/>
      <c r="AC49" s="131">
        <f>IF($A$19="mm",365*10^6,52.9*10^3)</f>
        <v>365000000</v>
      </c>
      <c r="AD49" s="131">
        <f>IF(AD37="Welded Aluminum",$C$3,IF($A$19="mm",300*10^6,43.5*10^3))</f>
        <v>300000000</v>
      </c>
      <c r="AE49" s="128" t="str">
        <f>IF($A$19="mm","Pa","psi")</f>
        <v>Pa</v>
      </c>
      <c r="AF49" s="121" t="str">
        <f>IF(AD49=0,"BLANK","EQ")</f>
        <v>EQ</v>
      </c>
      <c r="AH49" s="133"/>
      <c r="AI49" s="364" t="s">
        <v>512</v>
      </c>
      <c r="AJ49" s="364"/>
      <c r="AK49" s="364"/>
      <c r="AL49" s="364"/>
      <c r="AM49" s="131">
        <f>IF($A$19="mm",365*10^6,52.9*10^3)</f>
        <v>365000000</v>
      </c>
      <c r="AN49" s="131">
        <f>IF(AN37="Welded Aluminum",$C$3,IF($A$19="mm",300*10^6,43.5*10^3))</f>
        <v>300000000</v>
      </c>
      <c r="AO49" s="128" t="str">
        <f>IF($A$19="mm","Pa","psi")</f>
        <v>Pa</v>
      </c>
      <c r="AP49" s="121" t="str">
        <f>IF(AN49=0,"BLANK","EQ")</f>
        <v>EQ</v>
      </c>
      <c r="AR49" s="133"/>
      <c r="AS49" s="364" t="s">
        <v>512</v>
      </c>
      <c r="AT49" s="364"/>
      <c r="AU49" s="364"/>
      <c r="AV49" s="364"/>
      <c r="AW49" s="131">
        <f>IF($A$19="mm",365*10^6,52.9*10^3)</f>
        <v>365000000</v>
      </c>
      <c r="AX49" s="131">
        <f>IF(AX37="Welded Aluminum",$C$3,IF($A$19="mm",300*10^6,43.5*10^3))</f>
        <v>300000000</v>
      </c>
      <c r="AY49" s="128" t="str">
        <f>IF($A$19="mm","Pa","psi")</f>
        <v>Pa</v>
      </c>
      <c r="AZ49" s="121" t="str">
        <f>IF(AX49=0,"BLANK","EQ")</f>
        <v>EQ</v>
      </c>
    </row>
    <row r="50" spans="1:52" x14ac:dyDescent="0.3">
      <c r="A50" s="366"/>
      <c r="B50" s="366"/>
      <c r="C50" s="366"/>
      <c r="D50" s="365" t="s">
        <v>513</v>
      </c>
      <c r="E50" s="365"/>
      <c r="F50" s="364" t="s">
        <v>514</v>
      </c>
      <c r="G50" s="364"/>
      <c r="H50" s="364"/>
      <c r="I50" s="135" t="str">
        <f>IF(OR(J$39="",J$40=""),"",I47*I42)</f>
        <v/>
      </c>
      <c r="J50" s="135" t="str">
        <f>IF(OR(J$44="",J$46=""),"",
IF(J37="Welded Aluminum",J47,I47)*J44+J47*J46)</f>
        <v/>
      </c>
      <c r="K50" s="136" t="str">
        <f>IF(OR(I50="",J50=""),"",J50/I50)</f>
        <v/>
      </c>
      <c r="L50" s="37" t="str">
        <f>IF(K50="","EQ",IF(K50&gt;=1,"EQ",IF(K50&gt;0.95,"CHECK","REJECT")))</f>
        <v>EQ</v>
      </c>
      <c r="N50" s="365" t="s">
        <v>513</v>
      </c>
      <c r="O50" s="365"/>
      <c r="P50" s="364" t="s">
        <v>514</v>
      </c>
      <c r="Q50" s="364"/>
      <c r="R50" s="364"/>
      <c r="S50" s="135" t="str">
        <f>IF(OR(T$39="",T$40=""),"",S47*S42)</f>
        <v/>
      </c>
      <c r="T50" s="135" t="str">
        <f>IF(OR(T$44="",T$46=""),"",
IF(T37="Welded Aluminum",T47,S47)*T44+T47*T46)</f>
        <v/>
      </c>
      <c r="U50" s="136" t="str">
        <f>IF(OR(S50="",T50=""),"",T50/S50)</f>
        <v/>
      </c>
      <c r="V50" s="37" t="str">
        <f>IF(U50="","EQ",IF(U50&gt;=1,"EQ",IF(U50&gt;0.95,"CHECK","REJECT")))</f>
        <v>EQ</v>
      </c>
      <c r="X50" s="365" t="s">
        <v>513</v>
      </c>
      <c r="Y50" s="365"/>
      <c r="Z50" s="364" t="s">
        <v>514</v>
      </c>
      <c r="AA50" s="364"/>
      <c r="AB50" s="364"/>
      <c r="AC50" s="135" t="str">
        <f>IF(OR(AD$39="",AD$40=""),"",AC47*AC42)</f>
        <v/>
      </c>
      <c r="AD50" s="135" t="str">
        <f>IF(OR(AD$44="",AD$46=""),"",
IF(AD37="Welded Aluminum",AD47,AC47)*AD44+AD47*AD46)</f>
        <v/>
      </c>
      <c r="AE50" s="136" t="str">
        <f>IF(OR(AC50="",AD50=""),"",AD50/AC50)</f>
        <v/>
      </c>
      <c r="AF50" s="37" t="str">
        <f>IF(AE50="","EQ",IF(AE50&gt;=1,"EQ",IF(AE50&gt;0.95,"CHECK","REJECT")))</f>
        <v>EQ</v>
      </c>
      <c r="AH50" s="365" t="s">
        <v>513</v>
      </c>
      <c r="AI50" s="365"/>
      <c r="AJ50" s="364" t="s">
        <v>514</v>
      </c>
      <c r="AK50" s="364"/>
      <c r="AL50" s="364"/>
      <c r="AM50" s="135" t="str">
        <f>IF(OR(AN$39="",AN$40=""),"",AM47*AM42)</f>
        <v/>
      </c>
      <c r="AN50" s="135" t="str">
        <f>IF(OR(AN$44="",AN$46=""),"",
IF(AN37="Welded Aluminum",AN47,AM47)*AN44+AN47*AN46)</f>
        <v/>
      </c>
      <c r="AO50" s="136" t="str">
        <f>IF(OR(AM50="",AN50=""),"",AN50/AM50)</f>
        <v/>
      </c>
      <c r="AP50" s="37" t="str">
        <f>IF(AO50="","EQ",IF(AO50&gt;=1,"EQ",IF(AO50&gt;0.95,"CHECK","REJECT")))</f>
        <v>EQ</v>
      </c>
      <c r="AR50" s="365" t="s">
        <v>513</v>
      </c>
      <c r="AS50" s="365"/>
      <c r="AT50" s="364" t="s">
        <v>514</v>
      </c>
      <c r="AU50" s="364"/>
      <c r="AV50" s="364"/>
      <c r="AW50" s="135" t="str">
        <f>IF(OR(AX$39="",AX$40=""),"",AW47*AW42)</f>
        <v/>
      </c>
      <c r="AX50" s="135" t="str">
        <f>IF(OR(AX$44="",AX$46=""),"",
IF(AX37="Welded Aluminum",AX47,AW47)*AX44+AX47*AX46)</f>
        <v/>
      </c>
      <c r="AY50" s="136" t="str">
        <f>IF(OR(AW50="",AX50=""),"",AX50/AW50)</f>
        <v/>
      </c>
      <c r="AZ50" s="37" t="str">
        <f>IF(AY50="","EQ",IF(AY50&gt;=1,"EQ",IF(AY50&gt;0.95,"CHECK","REJECT")))</f>
        <v>EQ</v>
      </c>
    </row>
    <row r="51" spans="1:52" x14ac:dyDescent="0.3">
      <c r="A51" s="366"/>
      <c r="B51" s="366"/>
      <c r="C51" s="366"/>
      <c r="D51" s="84" t="s">
        <v>515</v>
      </c>
      <c r="E51" s="364" t="s">
        <v>516</v>
      </c>
      <c r="F51" s="364"/>
      <c r="G51" s="364"/>
      <c r="H51" s="364"/>
      <c r="I51" s="135" t="str">
        <f>IF(OR(J$39="",J$40=""),"",I48*I41)</f>
        <v/>
      </c>
      <c r="J51" s="135" t="str">
        <f>IF(OR(J$43="",J$45=""),"",
IF(J37="Welded Aluminum",J48,I48)*J43+J48*J45)</f>
        <v/>
      </c>
      <c r="K51" s="136" t="str">
        <f t="shared" ref="K51:K55" si="0">IF(OR(I51="",J51=""),"",J51/I51)</f>
        <v/>
      </c>
      <c r="L51" s="37" t="str">
        <f t="shared" ref="L51:L55" si="1">IF(K51="","EQ",IF(K51&gt;=1,"EQ",IF(K51&gt;0.95,"CHECK","REJECT")))</f>
        <v>EQ</v>
      </c>
      <c r="N51" s="84" t="s">
        <v>515</v>
      </c>
      <c r="O51" s="364" t="s">
        <v>516</v>
      </c>
      <c r="P51" s="364"/>
      <c r="Q51" s="364"/>
      <c r="R51" s="364"/>
      <c r="S51" s="135" t="str">
        <f>IF(OR(T$39="",T$40=""),"",S48*S41)</f>
        <v/>
      </c>
      <c r="T51" s="135" t="str">
        <f>IF(OR(T$43="",T$45=""),"",
IF(T37="Welded Aluminum",T48,S48)*T43+T48*T45)</f>
        <v/>
      </c>
      <c r="U51" s="136" t="str">
        <f t="shared" ref="U51:U52" si="2">IF(OR(S51="",T51=""),"",T51/S51)</f>
        <v/>
      </c>
      <c r="V51" s="37" t="str">
        <f t="shared" ref="V51:V55" si="3">IF(U51="","EQ",IF(U51&gt;=1,"EQ",IF(U51&gt;0.95,"CHECK","REJECT")))</f>
        <v>EQ</v>
      </c>
      <c r="X51" s="84" t="s">
        <v>515</v>
      </c>
      <c r="Y51" s="364" t="s">
        <v>516</v>
      </c>
      <c r="Z51" s="364"/>
      <c r="AA51" s="364"/>
      <c r="AB51" s="364"/>
      <c r="AC51" s="135" t="str">
        <f>IF(OR(AD$39="",AD$40=""),"",AC48*AC41)</f>
        <v/>
      </c>
      <c r="AD51" s="135" t="str">
        <f>IF(OR(AD$43="",AD$45=""),"",
IF(AD37="Welded Aluminum",AD48,AC48)*AD43+AD48*AD45)</f>
        <v/>
      </c>
      <c r="AE51" s="136" t="str">
        <f t="shared" ref="AE51:AE52" si="4">IF(OR(AC51="",AD51=""),"",AD51/AC51)</f>
        <v/>
      </c>
      <c r="AF51" s="37" t="str">
        <f t="shared" ref="AF51:AF55" si="5">IF(AE51="","EQ",IF(AE51&gt;=1,"EQ",IF(AE51&gt;0.95,"CHECK","REJECT")))</f>
        <v>EQ</v>
      </c>
      <c r="AH51" s="84" t="s">
        <v>515</v>
      </c>
      <c r="AI51" s="364" t="s">
        <v>516</v>
      </c>
      <c r="AJ51" s="364"/>
      <c r="AK51" s="364"/>
      <c r="AL51" s="364"/>
      <c r="AM51" s="135" t="str">
        <f>IF(OR(AN$39="",AN$40=""),"",AM48*AM41)</f>
        <v/>
      </c>
      <c r="AN51" s="135" t="str">
        <f>IF(OR(AN$43="",AN$45=""),"",
IF(AN37="Welded Aluminum",AN48,AM48)*AN43+AN48*AN45)</f>
        <v/>
      </c>
      <c r="AO51" s="136" t="str">
        <f t="shared" ref="AO51:AO52" si="6">IF(OR(AM51="",AN51=""),"",AN51/AM51)</f>
        <v/>
      </c>
      <c r="AP51" s="37" t="str">
        <f t="shared" ref="AP51:AP55" si="7">IF(AO51="","EQ",IF(AO51&gt;=1,"EQ",IF(AO51&gt;0.95,"CHECK","REJECT")))</f>
        <v>EQ</v>
      </c>
      <c r="AR51" s="84" t="s">
        <v>515</v>
      </c>
      <c r="AS51" s="364" t="s">
        <v>516</v>
      </c>
      <c r="AT51" s="364"/>
      <c r="AU51" s="364"/>
      <c r="AV51" s="364"/>
      <c r="AW51" s="135" t="str">
        <f>IF(OR(AX$39="",AX$40=""),"",AW48*AW41)</f>
        <v/>
      </c>
      <c r="AX51" s="135" t="str">
        <f>IF(OR(AX$43="",AX$45=""),"",
IF(AX37="Welded Aluminum",AX48,AW48)*AX43+AX48*AX45)</f>
        <v/>
      </c>
      <c r="AY51" s="136" t="str">
        <f t="shared" ref="AY51:AY52" si="8">IF(OR(AW51="",AX51=""),"",AX51/AW51)</f>
        <v/>
      </c>
      <c r="AZ51" s="37" t="str">
        <f t="shared" ref="AZ51:AZ55" si="9">IF(AY51="","EQ",IF(AY51&gt;=1,"EQ",IF(AY51&gt;0.95,"CHECK","REJECT")))</f>
        <v>EQ</v>
      </c>
    </row>
    <row r="52" spans="1:52" ht="15" customHeight="1" x14ac:dyDescent="0.3">
      <c r="A52" s="366"/>
      <c r="B52" s="366"/>
      <c r="C52" s="366"/>
      <c r="D52" s="84" t="s">
        <v>517</v>
      </c>
      <c r="E52" s="364" t="s">
        <v>518</v>
      </c>
      <c r="F52" s="364"/>
      <c r="G52" s="364"/>
      <c r="H52" s="364"/>
      <c r="I52" s="135" t="str">
        <f>IF(OR(J$39="",J$40=""),"",I49*I41)</f>
        <v/>
      </c>
      <c r="J52" s="135" t="str">
        <f>IF(OR(J$43="",J$45=""),"",
IF(J37="Welded Aluminum",J49,I49)*J43+J49*J45)</f>
        <v/>
      </c>
      <c r="K52" s="136" t="str">
        <f t="shared" si="0"/>
        <v/>
      </c>
      <c r="L52" s="37" t="str">
        <f t="shared" si="1"/>
        <v>EQ</v>
      </c>
      <c r="N52" s="84" t="s">
        <v>517</v>
      </c>
      <c r="O52" s="364" t="s">
        <v>518</v>
      </c>
      <c r="P52" s="364"/>
      <c r="Q52" s="364"/>
      <c r="R52" s="364"/>
      <c r="S52" s="135" t="str">
        <f>IF(OR(T$39="",T$40=""),"",S49*S41)</f>
        <v/>
      </c>
      <c r="T52" s="135" t="str">
        <f>IF(OR(T$43="",T$45=""),"",
IF(T37="Welded Aluminum",T49,S49)*T43+T49*T45)</f>
        <v/>
      </c>
      <c r="U52" s="136" t="str">
        <f t="shared" si="2"/>
        <v/>
      </c>
      <c r="V52" s="37" t="str">
        <f t="shared" si="3"/>
        <v>EQ</v>
      </c>
      <c r="X52" s="84" t="s">
        <v>517</v>
      </c>
      <c r="Y52" s="364" t="s">
        <v>518</v>
      </c>
      <c r="Z52" s="364"/>
      <c r="AA52" s="364"/>
      <c r="AB52" s="364"/>
      <c r="AC52" s="135" t="str">
        <f>IF(OR(AD$39="",AD$40=""),"",AC49*AC41)</f>
        <v/>
      </c>
      <c r="AD52" s="135" t="str">
        <f>IF(OR(AD$43="",AD$45=""),"",
IF(AD37="Welded Aluminum",AD49,AC49)*AD43+AD49*AD45)</f>
        <v/>
      </c>
      <c r="AE52" s="136" t="str">
        <f t="shared" si="4"/>
        <v/>
      </c>
      <c r="AF52" s="37" t="str">
        <f t="shared" si="5"/>
        <v>EQ</v>
      </c>
      <c r="AH52" s="84" t="s">
        <v>517</v>
      </c>
      <c r="AI52" s="364" t="s">
        <v>518</v>
      </c>
      <c r="AJ52" s="364"/>
      <c r="AK52" s="364"/>
      <c r="AL52" s="364"/>
      <c r="AM52" s="135" t="str">
        <f>IF(OR(AN$39="",AN$40=""),"",AM49*AM41)</f>
        <v/>
      </c>
      <c r="AN52" s="135" t="str">
        <f>IF(OR(AN$43="",AN$45=""),"",
IF(AN37="Welded Aluminum",AN49,AM49)*AN43+AN49*AN45)</f>
        <v/>
      </c>
      <c r="AO52" s="136" t="str">
        <f t="shared" si="6"/>
        <v/>
      </c>
      <c r="AP52" s="37" t="str">
        <f t="shared" si="7"/>
        <v>EQ</v>
      </c>
      <c r="AR52" s="84" t="s">
        <v>517</v>
      </c>
      <c r="AS52" s="364" t="s">
        <v>518</v>
      </c>
      <c r="AT52" s="364"/>
      <c r="AU52" s="364"/>
      <c r="AV52" s="364"/>
      <c r="AW52" s="135" t="str">
        <f>IF(OR(AX$39="",AX$40=""),"",AW49*AW41)</f>
        <v/>
      </c>
      <c r="AX52" s="135" t="str">
        <f>IF(OR(AX$43="",AX$45=""),"",
IF(AX37="Welded Aluminum",AX49,AW49)*AX43+AX49*AX45)</f>
        <v/>
      </c>
      <c r="AY52" s="136" t="str">
        <f t="shared" si="8"/>
        <v/>
      </c>
      <c r="AZ52" s="37" t="str">
        <f t="shared" si="9"/>
        <v>EQ</v>
      </c>
    </row>
    <row r="53" spans="1:52" x14ac:dyDescent="0.3">
      <c r="A53" s="366"/>
      <c r="B53" s="366"/>
      <c r="C53" s="366"/>
      <c r="D53" s="84" t="s">
        <v>519</v>
      </c>
      <c r="E53" s="364" t="s">
        <v>520</v>
      </c>
      <c r="F53" s="364"/>
      <c r="G53" s="364"/>
      <c r="H53" s="364"/>
      <c r="I53" s="135" t="str">
        <f>IF(OR(J$39="",J$40=""),"",4*I49*I42/(I40/2))</f>
        <v/>
      </c>
      <c r="J53" s="135" t="str">
        <f>IF(OR(J44="",J46=""),"",
4*(IF(J37="Welded Aluminum",J49,I49)*J44+J49*J46)/(I40/2))</f>
        <v/>
      </c>
      <c r="K53" s="136" t="str">
        <f>IF(OR(I53="",J53=""),"",J53/I53)</f>
        <v/>
      </c>
      <c r="L53" s="37" t="str">
        <f t="shared" si="1"/>
        <v>EQ</v>
      </c>
      <c r="N53" s="84" t="s">
        <v>519</v>
      </c>
      <c r="O53" s="364" t="s">
        <v>521</v>
      </c>
      <c r="P53" s="364"/>
      <c r="Q53" s="364"/>
      <c r="R53" s="364"/>
      <c r="S53" s="135" t="str">
        <f>IF(OR(T$39="",T$40=""),"",4*S49*S42/(S40/2))</f>
        <v/>
      </c>
      <c r="T53" s="135" t="str">
        <f>IF(OR(T44="",T46=""),"",
4*(IF(T37="Welded Aluminum",T49,S49)*T44+T49*T46)/(S40/2))</f>
        <v/>
      </c>
      <c r="U53" s="136" t="str">
        <f>IF(OR(S53="",T53=""),"",T53/S53)</f>
        <v/>
      </c>
      <c r="V53" s="37" t="str">
        <f t="shared" si="3"/>
        <v>EQ</v>
      </c>
      <c r="X53" s="84" t="s">
        <v>519</v>
      </c>
      <c r="Y53" s="364" t="s">
        <v>521</v>
      </c>
      <c r="Z53" s="364"/>
      <c r="AA53" s="364"/>
      <c r="AB53" s="364"/>
      <c r="AC53" s="135" t="str">
        <f>IF(OR(AD$39="",AD$40=""),"",4*AC49*AC42/(AC40/2))</f>
        <v/>
      </c>
      <c r="AD53" s="135" t="str">
        <f>IF(OR(AD44="",AD46=""),"",
4*(IF(AD37="Welded Aluminum",AD49,AC49)*AD44+AD49*AD46)/(AC40/2))</f>
        <v/>
      </c>
      <c r="AE53" s="136" t="str">
        <f>IF(OR(AC53="",AD53=""),"",AD53/AC53)</f>
        <v/>
      </c>
      <c r="AF53" s="37" t="str">
        <f t="shared" si="5"/>
        <v>EQ</v>
      </c>
      <c r="AH53" s="84" t="s">
        <v>519</v>
      </c>
      <c r="AI53" s="364" t="s">
        <v>521</v>
      </c>
      <c r="AJ53" s="364"/>
      <c r="AK53" s="364"/>
      <c r="AL53" s="364"/>
      <c r="AM53" s="135" t="str">
        <f>IF(OR(AN$39="",AN$40=""),"",4*AM49*AM42/(AM40/2))</f>
        <v/>
      </c>
      <c r="AN53" s="135" t="str">
        <f>IF(OR(AN44="",AN46=""),"",
4*(IF(AN37="Welded Aluminum",AN49,AM49)*AN44+AN49*AN46)/(AM40/2))</f>
        <v/>
      </c>
      <c r="AO53" s="136" t="str">
        <f>IF(OR(AM53="",AN53=""),"",AN53/AM53)</f>
        <v/>
      </c>
      <c r="AP53" s="37" t="str">
        <f t="shared" si="7"/>
        <v>EQ</v>
      </c>
      <c r="AR53" s="84" t="s">
        <v>519</v>
      </c>
      <c r="AS53" s="364" t="s">
        <v>521</v>
      </c>
      <c r="AT53" s="364"/>
      <c r="AU53" s="364"/>
      <c r="AV53" s="364"/>
      <c r="AW53" s="135" t="str">
        <f>IF(OR(AX$39="",AX$40=""),"",4*AW49*AW42/(AW40/2))</f>
        <v/>
      </c>
      <c r="AX53" s="135" t="str">
        <f>IF(OR(AX44="",AX46=""),"",
4*(IF(AX37="Welded Aluminum",AX49,AW49)*AX44+AX49*AX46)/(AW40/2))</f>
        <v/>
      </c>
      <c r="AY53" s="136" t="str">
        <f>IF(OR(AW53="",AX53=""),"",AX53/AW53)</f>
        <v/>
      </c>
      <c r="AZ53" s="37" t="str">
        <f t="shared" si="9"/>
        <v>EQ</v>
      </c>
    </row>
    <row r="54" spans="1:52" x14ac:dyDescent="0.3">
      <c r="A54" s="366"/>
      <c r="B54" s="366"/>
      <c r="C54" s="366"/>
      <c r="D54" s="122" t="s">
        <v>522</v>
      </c>
      <c r="E54" s="363" t="s">
        <v>523</v>
      </c>
      <c r="F54" s="363"/>
      <c r="G54" s="363"/>
      <c r="H54" s="363"/>
      <c r="I54" s="135" t="str">
        <f>IF(OR(J$39="",J$40=""),"",I53/(48*I47*I42))</f>
        <v/>
      </c>
      <c r="J54" s="135" t="str">
        <f>IF(J53="","",
J53/(48*(IF(J37="Welded Aluminum",J47,I47)*J44+J47*J46)))</f>
        <v/>
      </c>
      <c r="K54" s="136" t="str">
        <f>IF(OR(I54="",J54=""),"",J54/I54)</f>
        <v/>
      </c>
      <c r="L54" s="37" t="str">
        <f>IF(K54="","EQ",IF(K54&lt;=1,"EQ",IF(K54&lt;1.05,"CHECK","REJECT")))</f>
        <v>EQ</v>
      </c>
      <c r="N54" s="122" t="s">
        <v>522</v>
      </c>
      <c r="O54" s="363" t="s">
        <v>523</v>
      </c>
      <c r="P54" s="363"/>
      <c r="Q54" s="363"/>
      <c r="R54" s="363"/>
      <c r="S54" s="135" t="str">
        <f>IF(OR(T$39="",T$40=""),"",S53/(48*S47*S42))</f>
        <v/>
      </c>
      <c r="T54" s="135" t="str">
        <f>IF(T53="","",
T53/(48*(IF(T37="Welded Aluminum",T47,S47)*T44+T47*T46)))</f>
        <v/>
      </c>
      <c r="U54" s="136" t="str">
        <f>IF(OR(S54="",T54=""),"",T54/S54)</f>
        <v/>
      </c>
      <c r="V54" s="37" t="str">
        <f>IF(U54="","EQ",IF(U54&lt;=1,"EQ",IF(U54&lt;1.05,"CHECK","REJECT")))</f>
        <v>EQ</v>
      </c>
      <c r="X54" s="122" t="s">
        <v>522</v>
      </c>
      <c r="Y54" s="363" t="s">
        <v>523</v>
      </c>
      <c r="Z54" s="363"/>
      <c r="AA54" s="363"/>
      <c r="AB54" s="363"/>
      <c r="AC54" s="135" t="str">
        <f>IF(OR(AD$39="",AD$40=""),"",AC53/(48*AC47*AC42))</f>
        <v/>
      </c>
      <c r="AD54" s="135" t="str">
        <f>IF(AD53="","",
AD53/(48*(IF(AD37="Welded Aluminum",AD47,AC47)*AD44+AD47*AD46)))</f>
        <v/>
      </c>
      <c r="AE54" s="136" t="str">
        <f>IF(OR(AC54="",AD54=""),"",AD54/AC54)</f>
        <v/>
      </c>
      <c r="AF54" s="37" t="str">
        <f>IF(AE54="","EQ",IF(AE54&lt;=1,"EQ",IF(AE54&lt;1.05,"CHECK","REJECT")))</f>
        <v>EQ</v>
      </c>
      <c r="AH54" s="122" t="s">
        <v>522</v>
      </c>
      <c r="AI54" s="363" t="s">
        <v>523</v>
      </c>
      <c r="AJ54" s="363"/>
      <c r="AK54" s="363"/>
      <c r="AL54" s="363"/>
      <c r="AM54" s="135" t="str">
        <f>IF(OR(AN$39="",AN$40=""),"",AM53/(48*AM47*AM42))</f>
        <v/>
      </c>
      <c r="AN54" s="135" t="str">
        <f>IF(AN53="","",
AN53/(48*(IF(AN37="Welded Aluminum",AN47,AM47)*AN44+AN47*AN46)))</f>
        <v/>
      </c>
      <c r="AO54" s="136" t="str">
        <f>IF(OR(AM54="",AN54=""),"",AN54/AM54)</f>
        <v/>
      </c>
      <c r="AP54" s="37" t="str">
        <f>IF(AO54="","EQ",IF(AO54&lt;=1,"EQ",IF(AO54&lt;1.05,"CHECK","REJECT")))</f>
        <v>EQ</v>
      </c>
      <c r="AR54" s="122" t="s">
        <v>522</v>
      </c>
      <c r="AS54" s="363" t="s">
        <v>523</v>
      </c>
      <c r="AT54" s="363"/>
      <c r="AU54" s="363"/>
      <c r="AV54" s="363"/>
      <c r="AW54" s="135" t="str">
        <f>IF(OR(AX$39="",AX$40=""),"",AW53/(48*AW47*AW42))</f>
        <v/>
      </c>
      <c r="AX54" s="135" t="str">
        <f>IF(AX53="","",
AX53/(48*(IF(AX37="Welded Aluminum",AX47,AW47)*AX44+AX47*AX46)))</f>
        <v/>
      </c>
      <c r="AY54" s="136" t="str">
        <f>IF(OR(AW54="",AX54=""),"",AX54/AW54)</f>
        <v/>
      </c>
      <c r="AZ54" s="37" t="str">
        <f>IF(AY54="","EQ",IF(AY54&lt;=1,"EQ",IF(AY54&lt;1.05,"CHECK","REJECT")))</f>
        <v>EQ</v>
      </c>
    </row>
    <row r="55" spans="1:52" x14ac:dyDescent="0.3">
      <c r="A55" s="366"/>
      <c r="B55" s="366"/>
      <c r="C55" s="366"/>
      <c r="D55" s="122" t="s">
        <v>222</v>
      </c>
      <c r="E55" s="363" t="s">
        <v>524</v>
      </c>
      <c r="F55" s="363"/>
      <c r="G55" s="363"/>
      <c r="H55" s="363"/>
      <c r="I55" s="135" t="str">
        <f>IF(OR(J$39="",J$40=""),"",0.5*I53^2/(48*(I47*I42)))</f>
        <v/>
      </c>
      <c r="J55" s="135" t="str">
        <f>IF(J53="","",
0.5*J53^2/(48*(IF(J37="Welded Aluminum",J47,I47)*J44+J47*J46)))</f>
        <v/>
      </c>
      <c r="K55" s="136" t="str">
        <f t="shared" si="0"/>
        <v/>
      </c>
      <c r="L55" s="37" t="str">
        <f t="shared" si="1"/>
        <v>EQ</v>
      </c>
      <c r="N55" s="122" t="s">
        <v>222</v>
      </c>
      <c r="O55" s="363" t="s">
        <v>525</v>
      </c>
      <c r="P55" s="363"/>
      <c r="Q55" s="363"/>
      <c r="R55" s="363"/>
      <c r="S55" s="135" t="str">
        <f>IF(OR(T$39="",T$40=""),"",0.5*S53^2/(48*(S47*S42)))</f>
        <v/>
      </c>
      <c r="T55" s="135" t="str">
        <f>IF(T53="","",
0.5*T53^2/(48*(IF(T37="Welded Aluminum",T47,S47)*T44+T47*T46)))</f>
        <v/>
      </c>
      <c r="U55" s="136" t="str">
        <f t="shared" ref="U55" si="10">IF(OR(S55="",T55=""),"",T55/S55)</f>
        <v/>
      </c>
      <c r="V55" s="37" t="str">
        <f t="shared" si="3"/>
        <v>EQ</v>
      </c>
      <c r="X55" s="122" t="s">
        <v>222</v>
      </c>
      <c r="Y55" s="363" t="s">
        <v>525</v>
      </c>
      <c r="Z55" s="363"/>
      <c r="AA55" s="363"/>
      <c r="AB55" s="363"/>
      <c r="AC55" s="135" t="str">
        <f>IF(OR(AD$39="",AD$40=""),"",0.5*AC53^2/(48*(AC47*AC42)))</f>
        <v/>
      </c>
      <c r="AD55" s="135" t="str">
        <f>IF(AD53="","",
0.5*AD53^2/(48*(IF(AD37="Welded Aluminum",AD47,AC47)*AD44+AD47*AD46)))</f>
        <v/>
      </c>
      <c r="AE55" s="136" t="str">
        <f t="shared" ref="AE55" si="11">IF(OR(AC55="",AD55=""),"",AD55/AC55)</f>
        <v/>
      </c>
      <c r="AF55" s="37" t="str">
        <f t="shared" si="5"/>
        <v>EQ</v>
      </c>
      <c r="AH55" s="122" t="s">
        <v>222</v>
      </c>
      <c r="AI55" s="363" t="s">
        <v>525</v>
      </c>
      <c r="AJ55" s="363"/>
      <c r="AK55" s="363"/>
      <c r="AL55" s="363"/>
      <c r="AM55" s="135" t="str">
        <f>IF(OR(AN$39="",AN$40=""),"",0.5*AM53^2/(48*(AM47*AM42)))</f>
        <v/>
      </c>
      <c r="AN55" s="135" t="str">
        <f>IF(AN53="","",
0.5*AN53^2/(48*(IF(AN37="Welded Aluminum",AN47,AM47)*AN44+AN47*AN46)))</f>
        <v/>
      </c>
      <c r="AO55" s="136" t="str">
        <f t="shared" ref="AO55" si="12">IF(OR(AM55="",AN55=""),"",AN55/AM55)</f>
        <v/>
      </c>
      <c r="AP55" s="37" t="str">
        <f t="shared" si="7"/>
        <v>EQ</v>
      </c>
      <c r="AR55" s="122" t="s">
        <v>222</v>
      </c>
      <c r="AS55" s="363" t="s">
        <v>525</v>
      </c>
      <c r="AT55" s="363"/>
      <c r="AU55" s="363"/>
      <c r="AV55" s="363"/>
      <c r="AW55" s="135" t="str">
        <f>IF(OR(AX$39="",AX$40=""),"",0.5*AW53^2/(48*(AW47*AW42)))</f>
        <v/>
      </c>
      <c r="AX55" s="135" t="str">
        <f>IF(AX53="","",
0.5*AX53^2/(48*(IF(AX37="Welded Aluminum",AX47,AW47)*AX44+AX47*AX46)))</f>
        <v/>
      </c>
      <c r="AY55" s="136" t="str">
        <f t="shared" ref="AY55" si="13">IF(OR(AW55="",AX55=""),"",AX55/AW55)</f>
        <v/>
      </c>
      <c r="AZ55" s="37" t="str">
        <f t="shared" si="9"/>
        <v>EQ</v>
      </c>
    </row>
    <row r="56" spans="1:52" x14ac:dyDescent="0.3">
      <c r="A56" s="366"/>
      <c r="B56" s="366"/>
      <c r="C56" s="366"/>
      <c r="D56" s="122"/>
      <c r="E56" s="61"/>
      <c r="F56" s="61"/>
      <c r="G56" s="61"/>
      <c r="H56" s="61"/>
      <c r="I56" s="61"/>
      <c r="J56" s="121"/>
      <c r="K56" s="128"/>
      <c r="L56" s="121"/>
      <c r="N56" s="122"/>
      <c r="O56" s="61"/>
      <c r="P56" s="61"/>
      <c r="Q56" s="61"/>
      <c r="R56" s="61"/>
      <c r="S56" s="61"/>
      <c r="T56" s="121"/>
      <c r="U56" s="128"/>
      <c r="V56" s="121"/>
      <c r="X56" s="122"/>
      <c r="Y56" s="61"/>
      <c r="Z56" s="61"/>
      <c r="AA56" s="61"/>
      <c r="AB56" s="61"/>
      <c r="AC56" s="61"/>
      <c r="AD56" s="121"/>
      <c r="AE56" s="128"/>
      <c r="AF56" s="121"/>
      <c r="AH56" s="122"/>
      <c r="AI56" s="61"/>
      <c r="AJ56" s="61"/>
      <c r="AK56" s="61"/>
      <c r="AL56" s="61"/>
      <c r="AM56" s="61"/>
      <c r="AN56" s="121"/>
      <c r="AO56" s="128"/>
      <c r="AP56" s="121"/>
      <c r="AR56" s="122"/>
      <c r="AS56" s="61"/>
      <c r="AT56" s="61"/>
      <c r="AU56" s="61"/>
      <c r="AV56" s="61"/>
      <c r="AW56" s="61"/>
      <c r="AX56" s="121"/>
      <c r="AY56" s="128"/>
      <c r="AZ56" s="121"/>
    </row>
    <row r="57" spans="1:52" x14ac:dyDescent="0.3">
      <c r="A57" s="366"/>
      <c r="B57" s="366"/>
      <c r="C57" s="366"/>
      <c r="N57" s="122"/>
      <c r="O57" s="61"/>
      <c r="P57" s="61"/>
      <c r="Q57" s="61"/>
      <c r="R57" s="61"/>
      <c r="S57" s="61"/>
      <c r="T57" s="121"/>
      <c r="U57" s="128"/>
      <c r="V57" s="121"/>
      <c r="X57" s="122"/>
      <c r="Y57" s="61"/>
      <c r="Z57" s="61"/>
      <c r="AA57" s="61"/>
      <c r="AB57" s="61"/>
      <c r="AC57" s="61"/>
      <c r="AD57" s="121"/>
      <c r="AE57" s="128"/>
      <c r="AF57" s="121"/>
      <c r="AH57" s="122"/>
      <c r="AI57" s="61"/>
      <c r="AJ57" s="61"/>
      <c r="AK57" s="61"/>
      <c r="AL57" s="61"/>
      <c r="AM57" s="61"/>
      <c r="AN57" s="121"/>
      <c r="AO57" s="128"/>
      <c r="AP57" s="121"/>
      <c r="AR57" s="122"/>
      <c r="AS57" s="61"/>
      <c r="AT57" s="61"/>
      <c r="AU57" s="61"/>
      <c r="AV57" s="61"/>
      <c r="AW57" s="61"/>
      <c r="AX57" s="121"/>
      <c r="AY57" s="128"/>
      <c r="AZ57" s="121"/>
    </row>
    <row r="58" spans="1:52" x14ac:dyDescent="0.3">
      <c r="D58" s="121"/>
      <c r="E58" s="121"/>
      <c r="F58" s="121"/>
      <c r="G58" s="121"/>
      <c r="H58" s="121"/>
      <c r="I58" s="121"/>
      <c r="J58" s="121"/>
      <c r="K58" s="121"/>
      <c r="L58" s="121"/>
      <c r="N58" s="122"/>
      <c r="O58" s="61"/>
      <c r="P58" s="61"/>
      <c r="Q58" s="61"/>
      <c r="R58" s="61"/>
      <c r="S58" s="61"/>
      <c r="T58" s="121"/>
      <c r="U58" s="128"/>
      <c r="V58" s="121"/>
      <c r="X58" s="122"/>
      <c r="Y58" s="61"/>
      <c r="Z58" s="61"/>
      <c r="AA58" s="61"/>
      <c r="AB58" s="61"/>
      <c r="AC58" s="61"/>
      <c r="AD58" s="121"/>
      <c r="AE58" s="128"/>
      <c r="AF58" s="121"/>
      <c r="AH58" s="122"/>
      <c r="AI58" s="61"/>
      <c r="AJ58" s="61"/>
      <c r="AK58" s="61"/>
      <c r="AL58" s="61"/>
      <c r="AM58" s="61"/>
      <c r="AN58" s="121"/>
      <c r="AO58" s="128"/>
      <c r="AP58" s="121"/>
      <c r="AR58" s="122"/>
      <c r="AS58" s="61"/>
      <c r="AT58" s="61"/>
      <c r="AU58" s="61"/>
      <c r="AV58" s="61"/>
      <c r="AW58" s="61"/>
      <c r="AX58" s="121"/>
      <c r="AY58" s="128"/>
      <c r="AZ58" s="121"/>
    </row>
    <row r="59" spans="1:52" x14ac:dyDescent="0.3">
      <c r="D59" s="122"/>
      <c r="H59" s="61"/>
      <c r="I59" s="61"/>
      <c r="K59" s="128"/>
      <c r="L59" s="121"/>
      <c r="N59" s="122"/>
      <c r="O59" s="61"/>
      <c r="P59" s="61"/>
      <c r="Q59" s="61"/>
      <c r="R59" s="61"/>
      <c r="S59" s="61"/>
      <c r="T59" s="121"/>
      <c r="U59" s="128"/>
      <c r="V59" s="121"/>
      <c r="X59" s="122"/>
      <c r="Y59" s="61"/>
      <c r="Z59" s="61"/>
      <c r="AA59" s="61"/>
      <c r="AB59" s="61"/>
      <c r="AC59" s="61"/>
      <c r="AD59" s="121"/>
      <c r="AE59" s="128"/>
      <c r="AF59" s="121"/>
      <c r="AH59" s="122"/>
      <c r="AI59" s="61"/>
      <c r="AJ59" s="61"/>
      <c r="AK59" s="61"/>
      <c r="AL59" s="61"/>
      <c r="AM59" s="61"/>
      <c r="AN59" s="121"/>
      <c r="AO59" s="128"/>
      <c r="AP59" s="121"/>
      <c r="AR59" s="122"/>
      <c r="AS59" s="61"/>
      <c r="AT59" s="61"/>
      <c r="AU59" s="61"/>
      <c r="AV59" s="61"/>
      <c r="AW59" s="61"/>
      <c r="AX59" s="121"/>
      <c r="AY59" s="128"/>
      <c r="AZ59" s="121"/>
    </row>
    <row r="60" spans="1:52" x14ac:dyDescent="0.3">
      <c r="D60" s="133"/>
      <c r="H60" s="61"/>
      <c r="I60" s="61"/>
      <c r="K60" s="128"/>
      <c r="L60" s="37"/>
      <c r="N60" s="128"/>
      <c r="O60" s="61"/>
      <c r="P60" s="61"/>
      <c r="Q60" s="61"/>
      <c r="R60" s="61"/>
      <c r="S60" s="61"/>
      <c r="T60" s="121"/>
      <c r="U60" s="128"/>
      <c r="V60" s="121"/>
      <c r="X60" s="128"/>
      <c r="Y60" s="61"/>
      <c r="Z60" s="61"/>
      <c r="AA60" s="61"/>
      <c r="AB60" s="61"/>
      <c r="AC60" s="61"/>
      <c r="AD60" s="121"/>
      <c r="AE60" s="128"/>
      <c r="AF60" s="121"/>
      <c r="AH60" s="128"/>
      <c r="AI60" s="61"/>
      <c r="AJ60" s="61"/>
      <c r="AK60" s="61"/>
      <c r="AL60" s="61"/>
      <c r="AM60" s="61"/>
      <c r="AN60" s="121"/>
      <c r="AO60" s="128"/>
      <c r="AP60" s="121"/>
      <c r="AR60" s="128"/>
      <c r="AS60" s="61"/>
      <c r="AT60" s="61"/>
      <c r="AU60" s="61"/>
      <c r="AV60" s="61"/>
      <c r="AW60" s="61"/>
      <c r="AX60" s="121"/>
      <c r="AY60" s="128"/>
      <c r="AZ60" s="121"/>
    </row>
    <row r="61" spans="1:52" x14ac:dyDescent="0.3">
      <c r="I61" s="133"/>
      <c r="K61" s="128"/>
      <c r="L61" s="37"/>
    </row>
    <row r="62" spans="1:52" x14ac:dyDescent="0.3">
      <c r="D62" s="122"/>
    </row>
    <row r="63" spans="1:52" x14ac:dyDescent="0.3">
      <c r="D63" s="122"/>
    </row>
    <row r="64" spans="1:52" x14ac:dyDescent="0.3">
      <c r="D64" s="122"/>
    </row>
    <row r="65" spans="4:12" x14ac:dyDescent="0.3">
      <c r="D65" s="61"/>
    </row>
    <row r="66" spans="4:12" x14ac:dyDescent="0.3">
      <c r="D66" s="122"/>
      <c r="E66" s="61"/>
      <c r="F66" s="61"/>
      <c r="G66" s="61"/>
      <c r="H66" s="61"/>
      <c r="I66" s="61"/>
      <c r="J66" s="121"/>
      <c r="K66" s="128"/>
      <c r="L66" s="121"/>
    </row>
    <row r="67" spans="4:12" x14ac:dyDescent="0.3">
      <c r="D67" s="122"/>
      <c r="E67" s="61"/>
      <c r="F67" s="61"/>
      <c r="G67" s="61"/>
      <c r="H67" s="61"/>
      <c r="I67" s="61"/>
      <c r="J67" s="121"/>
      <c r="K67" s="128"/>
      <c r="L67" s="121"/>
    </row>
    <row r="68" spans="4:12" x14ac:dyDescent="0.3">
      <c r="D68" s="128"/>
      <c r="E68" s="61"/>
      <c r="F68" s="61"/>
      <c r="G68" s="61"/>
      <c r="H68" s="61"/>
      <c r="I68" s="61"/>
      <c r="J68" s="121"/>
      <c r="K68" s="128"/>
      <c r="L68" s="121"/>
    </row>
  </sheetData>
  <sheetProtection algorithmName="SHA-512" hashValue="qeUwpUPycEMdZmvl3qowfCtzGTjC0vHAWE7HJyU3TAb1ckRT1Pcjmt4Jivu8Nb+5qNU7Xy/3dV5lkAW6ek52Ag==" saltValue="cTuPhZhxDJWF3bsWG6W1DQ==" spinCount="100000" sheet="1" scenarios="1"/>
  <protectedRanges>
    <protectedRange sqref="A9 A15 I38 J37:J40 J43:J46 S38 T37:T40 T43:T46 AC38 AD37:AD40 AD43:AD46 AM38 AN37:AN40 AN43:AN46 AW38 AX37:AX40 AX43:AX46" name="Insert 1"/>
  </protectedRanges>
  <mergeCells count="164">
    <mergeCell ref="AH13:AP14"/>
    <mergeCell ref="AR13:AZ14"/>
    <mergeCell ref="A15:C15"/>
    <mergeCell ref="A1:C1"/>
    <mergeCell ref="A6:C6"/>
    <mergeCell ref="A7:C8"/>
    <mergeCell ref="A9:C9"/>
    <mergeCell ref="A12:C12"/>
    <mergeCell ref="A13:C14"/>
    <mergeCell ref="A17:C17"/>
    <mergeCell ref="A19:C20"/>
    <mergeCell ref="A22:C30"/>
    <mergeCell ref="D29:L29"/>
    <mergeCell ref="N29:V29"/>
    <mergeCell ref="X29:AF29"/>
    <mergeCell ref="D13:L14"/>
    <mergeCell ref="N13:V14"/>
    <mergeCell ref="X13:AF14"/>
    <mergeCell ref="AR30:AS31"/>
    <mergeCell ref="AT30:AZ31"/>
    <mergeCell ref="A32:C32"/>
    <mergeCell ref="D32:L32"/>
    <mergeCell ref="N32:V32"/>
    <mergeCell ref="X32:AF32"/>
    <mergeCell ref="AH32:AP32"/>
    <mergeCell ref="AR32:AZ32"/>
    <mergeCell ref="AH29:AP29"/>
    <mergeCell ref="AR29:AZ29"/>
    <mergeCell ref="D30:E31"/>
    <mergeCell ref="F30:L31"/>
    <mergeCell ref="N30:O31"/>
    <mergeCell ref="P30:V31"/>
    <mergeCell ref="X30:Y31"/>
    <mergeCell ref="Z30:AF31"/>
    <mergeCell ref="AH30:AI31"/>
    <mergeCell ref="AJ30:AP31"/>
    <mergeCell ref="A34:C34"/>
    <mergeCell ref="J34:K34"/>
    <mergeCell ref="T34:U34"/>
    <mergeCell ref="AD34:AE34"/>
    <mergeCell ref="AN34:AO34"/>
    <mergeCell ref="AX34:AY34"/>
    <mergeCell ref="A33:C33"/>
    <mergeCell ref="D33:L33"/>
    <mergeCell ref="N33:V33"/>
    <mergeCell ref="X33:AF33"/>
    <mergeCell ref="AH33:AP33"/>
    <mergeCell ref="AR33:AZ33"/>
    <mergeCell ref="J35:K35"/>
    <mergeCell ref="T35:U35"/>
    <mergeCell ref="AD35:AE35"/>
    <mergeCell ref="AN35:AO35"/>
    <mergeCell ref="AX35:AY35"/>
    <mergeCell ref="J36:K36"/>
    <mergeCell ref="T36:U36"/>
    <mergeCell ref="AD36:AE36"/>
    <mergeCell ref="AN36:AO36"/>
    <mergeCell ref="AX36:AY36"/>
    <mergeCell ref="AI37:AL37"/>
    <mergeCell ref="AN37:AO37"/>
    <mergeCell ref="AS37:AV37"/>
    <mergeCell ref="AX37:AY37"/>
    <mergeCell ref="E38:H38"/>
    <mergeCell ref="O38:R38"/>
    <mergeCell ref="Y38:AB38"/>
    <mergeCell ref="AI38:AL38"/>
    <mergeCell ref="AS38:AV38"/>
    <mergeCell ref="E37:H37"/>
    <mergeCell ref="J37:K37"/>
    <mergeCell ref="O37:R37"/>
    <mergeCell ref="T37:U37"/>
    <mergeCell ref="Y37:AB37"/>
    <mergeCell ref="AD37:AE37"/>
    <mergeCell ref="AS40:AV40"/>
    <mergeCell ref="E41:H41"/>
    <mergeCell ref="O41:R41"/>
    <mergeCell ref="Y41:AB41"/>
    <mergeCell ref="AI41:AL41"/>
    <mergeCell ref="AS41:AV41"/>
    <mergeCell ref="A39:C57"/>
    <mergeCell ref="E39:H39"/>
    <mergeCell ref="O39:R39"/>
    <mergeCell ref="Y39:AB39"/>
    <mergeCell ref="AI39:AL39"/>
    <mergeCell ref="AS39:AV39"/>
    <mergeCell ref="E40:H40"/>
    <mergeCell ref="O40:R40"/>
    <mergeCell ref="Y40:AB40"/>
    <mergeCell ref="AI40:AL40"/>
    <mergeCell ref="E42:H42"/>
    <mergeCell ref="O42:R42"/>
    <mergeCell ref="Y42:AB42"/>
    <mergeCell ref="AI42:AL42"/>
    <mergeCell ref="AS42:AV42"/>
    <mergeCell ref="E43:I43"/>
    <mergeCell ref="O43:S43"/>
    <mergeCell ref="Y43:AC43"/>
    <mergeCell ref="AI43:AM43"/>
    <mergeCell ref="AS43:AW43"/>
    <mergeCell ref="E44:I44"/>
    <mergeCell ref="O44:S44"/>
    <mergeCell ref="Y44:AC44"/>
    <mergeCell ref="AI44:AM44"/>
    <mergeCell ref="AS44:AW44"/>
    <mergeCell ref="E45:I45"/>
    <mergeCell ref="O45:S45"/>
    <mergeCell ref="Y45:AC45"/>
    <mergeCell ref="AI45:AM45"/>
    <mergeCell ref="AS45:AW45"/>
    <mergeCell ref="E46:I46"/>
    <mergeCell ref="O46:S46"/>
    <mergeCell ref="Y46:AC46"/>
    <mergeCell ref="AI46:AM46"/>
    <mergeCell ref="AS46:AW46"/>
    <mergeCell ref="E47:H47"/>
    <mergeCell ref="O47:R47"/>
    <mergeCell ref="Y47:AB47"/>
    <mergeCell ref="AI47:AL47"/>
    <mergeCell ref="AS47:AV47"/>
    <mergeCell ref="E48:H48"/>
    <mergeCell ref="O48:R48"/>
    <mergeCell ref="Y48:AB48"/>
    <mergeCell ref="AI48:AL48"/>
    <mergeCell ref="AS48:AV48"/>
    <mergeCell ref="E49:H49"/>
    <mergeCell ref="O49:R49"/>
    <mergeCell ref="Y49:AB49"/>
    <mergeCell ref="AI49:AL49"/>
    <mergeCell ref="AS49:AV49"/>
    <mergeCell ref="AH50:AI50"/>
    <mergeCell ref="AJ50:AL50"/>
    <mergeCell ref="AR50:AS50"/>
    <mergeCell ref="AT50:AV50"/>
    <mergeCell ref="E51:H51"/>
    <mergeCell ref="O51:R51"/>
    <mergeCell ref="Y51:AB51"/>
    <mergeCell ref="AI51:AL51"/>
    <mergeCell ref="AS51:AV51"/>
    <mergeCell ref="D50:E50"/>
    <mergeCell ref="F50:H50"/>
    <mergeCell ref="N50:O50"/>
    <mergeCell ref="P50:R50"/>
    <mergeCell ref="X50:Y50"/>
    <mergeCell ref="Z50:AB50"/>
    <mergeCell ref="E52:H52"/>
    <mergeCell ref="O52:R52"/>
    <mergeCell ref="Y52:AB52"/>
    <mergeCell ref="AI52:AL52"/>
    <mergeCell ref="AS52:AV52"/>
    <mergeCell ref="E53:H53"/>
    <mergeCell ref="O53:R53"/>
    <mergeCell ref="Y53:AB53"/>
    <mergeCell ref="AI53:AL53"/>
    <mergeCell ref="AS53:AV53"/>
    <mergeCell ref="E54:H54"/>
    <mergeCell ref="O54:R54"/>
    <mergeCell ref="Y54:AB54"/>
    <mergeCell ref="AI54:AL54"/>
    <mergeCell ref="AS54:AV54"/>
    <mergeCell ref="E55:H55"/>
    <mergeCell ref="O55:R55"/>
    <mergeCell ref="Y55:AB55"/>
    <mergeCell ref="AI55:AL55"/>
    <mergeCell ref="AS55:AV55"/>
  </mergeCells>
  <conditionalFormatting sqref="A1:XFD1048576">
    <cfRule type="beginsWith" dxfId="6" priority="1" operator="beginsWith" text="REJECT">
      <formula>LEFT(A1,LEN("REJECT"))="REJECT"</formula>
    </cfRule>
    <cfRule type="beginsWith" dxfId="5" priority="2" operator="beginsWith" text="EQ">
      <formula>LEFT(A1,LEN("EQ"))="EQ"</formula>
    </cfRule>
    <cfRule type="beginsWith" dxfId="4" priority="3" operator="beginsWith" text="BLANK">
      <formula>LEFT(A1,LEN("BLANK"))="BLANK"</formula>
    </cfRule>
    <cfRule type="beginsWith" dxfId="3" priority="7" operator="beginsWith" text="CHECK">
      <formula>LEFT(A1,LEN("CHECK"))="CHECK"</formula>
    </cfRule>
  </conditionalFormatting>
  <dataValidations count="4">
    <dataValidation type="list" allowBlank="1" showInputMessage="1" showErrorMessage="1" sqref="I38 S38 AC38 AM38 AW38" xr:uid="{00AF12A0-D309-418E-8059-E746CFEE41A4}">
      <formula1>"Size A, Size B, Size C, Size D"</formula1>
    </dataValidation>
    <dataValidation type="list" allowBlank="1" showInputMessage="1" showErrorMessage="1" sqref="J37 T37 AD37 AN37 AX37" xr:uid="{DFEAD58C-5764-4803-B194-5ED81F6A8318}">
      <formula1>"Steel, Welded Aluminum"</formula1>
    </dataValidation>
    <dataValidation type="list" allowBlank="1" showInputMessage="1" showErrorMessage="1" sqref="A9:C9 A15:C15" xr:uid="{8C9A1C93-EC02-4DDB-99ED-8D3D8419E85F}">
      <formula1>"Select Drop Down, Yes, No"</formula1>
    </dataValidation>
    <dataValidation type="list" allowBlank="1" showInputMessage="1" showErrorMessage="1" sqref="AD38 J38 AN38 T38 AX38" xr:uid="{11A5E658-BF0F-463E-B935-A2811B8D5036}">
      <formula1>"Round, Square"</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83DA-69C1-42C6-B3BD-48DCC385F0F3}">
  <dimension ref="A1:BA56"/>
  <sheetViews>
    <sheetView zoomScale="75" zoomScaleNormal="75" workbookViewId="0">
      <selection activeCell="A4" sqref="A4:C4"/>
    </sheetView>
  </sheetViews>
  <sheetFormatPr baseColWidth="10" defaultColWidth="9.109375" defaultRowHeight="14.4" x14ac:dyDescent="0.3"/>
  <cols>
    <col min="1" max="16384" width="9.109375" style="81"/>
  </cols>
  <sheetData>
    <row r="1" spans="1:53" ht="15" customHeight="1" x14ac:dyDescent="0.3">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376" t="str">
        <f>IF(OR(A4="YES",A4="NO"),"EQ","BLANK")</f>
        <v>BLANK</v>
      </c>
      <c r="B2" s="376"/>
      <c r="C2" s="376"/>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thickBot="1" x14ac:dyDescent="0.35">
      <c r="A3" s="321" t="s">
        <v>111</v>
      </c>
      <c r="B3" s="321"/>
      <c r="C3" s="321"/>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thickBot="1" x14ac:dyDescent="0.35">
      <c r="A4" s="379" t="s">
        <v>163</v>
      </c>
      <c r="B4" s="380"/>
      <c r="C4" s="381"/>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A5" s="389" t="str">
        <f>IF(A4="YES", "FILL OUT THIS TAB.", IF(A4="Select Drop Down","","NO ACTION NEEDED."))</f>
        <v/>
      </c>
      <c r="B5" s="389"/>
      <c r="C5" s="389"/>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66" t="s">
        <v>113</v>
      </c>
      <c r="B6" s="366"/>
      <c r="C6" s="366"/>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66"/>
      <c r="B7" s="366"/>
      <c r="C7" s="366"/>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x14ac:dyDescent="0.3">
      <c r="A8" s="366"/>
      <c r="B8" s="366"/>
      <c r="C8" s="366"/>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x14ac:dyDescent="0.3">
      <c r="A9" s="366"/>
      <c r="B9" s="366"/>
      <c r="C9" s="366"/>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A10" s="366"/>
      <c r="B10" s="366"/>
      <c r="C10" s="366"/>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A11" s="366"/>
      <c r="B11" s="366"/>
      <c r="C11" s="366"/>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66"/>
      <c r="B12" s="366"/>
      <c r="C12" s="366"/>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66"/>
      <c r="B13" s="366"/>
      <c r="C13" s="366"/>
      <c r="D13" s="239" t="s">
        <v>81</v>
      </c>
      <c r="E13" s="239"/>
      <c r="F13" s="239"/>
      <c r="G13" s="239"/>
      <c r="H13" s="239"/>
      <c r="I13" s="239"/>
      <c r="J13" s="239"/>
      <c r="K13" s="239"/>
      <c r="L13" s="239"/>
      <c r="M13" s="20"/>
      <c r="N13" s="239" t="s">
        <v>81</v>
      </c>
      <c r="O13" s="239"/>
      <c r="P13" s="239"/>
      <c r="Q13" s="239"/>
      <c r="R13" s="239"/>
      <c r="S13" s="239"/>
      <c r="T13" s="239"/>
      <c r="U13" s="239"/>
      <c r="V13" s="239"/>
      <c r="W13" s="20"/>
      <c r="X13" s="239" t="s">
        <v>81</v>
      </c>
      <c r="Y13" s="239"/>
      <c r="Z13" s="239"/>
      <c r="AA13" s="239"/>
      <c r="AB13" s="239"/>
      <c r="AC13" s="239"/>
      <c r="AD13" s="239"/>
      <c r="AE13" s="239"/>
      <c r="AF13" s="239"/>
      <c r="AG13" s="20"/>
      <c r="AH13" s="239" t="s">
        <v>81</v>
      </c>
      <c r="AI13" s="239"/>
      <c r="AJ13" s="239"/>
      <c r="AK13" s="239"/>
      <c r="AL13" s="239"/>
      <c r="AM13" s="239"/>
      <c r="AN13" s="239"/>
      <c r="AO13" s="239"/>
      <c r="AP13" s="239"/>
      <c r="AQ13" s="20"/>
      <c r="AR13" s="239" t="s">
        <v>81</v>
      </c>
      <c r="AS13" s="239"/>
      <c r="AT13" s="239"/>
      <c r="AU13" s="239"/>
      <c r="AV13" s="239"/>
      <c r="AW13" s="239"/>
      <c r="AX13" s="239"/>
      <c r="AY13" s="239"/>
      <c r="AZ13" s="239"/>
      <c r="BA13" s="20"/>
    </row>
    <row r="14" spans="1:53" ht="15" customHeight="1" x14ac:dyDescent="0.3">
      <c r="A14" s="366"/>
      <c r="B14" s="366"/>
      <c r="C14" s="366"/>
      <c r="D14" s="239"/>
      <c r="E14" s="239"/>
      <c r="F14" s="239"/>
      <c r="G14" s="239"/>
      <c r="H14" s="239"/>
      <c r="I14" s="239"/>
      <c r="J14" s="239"/>
      <c r="K14" s="239"/>
      <c r="L14" s="239"/>
      <c r="M14" s="20"/>
      <c r="N14" s="239"/>
      <c r="O14" s="239"/>
      <c r="P14" s="239"/>
      <c r="Q14" s="239"/>
      <c r="R14" s="239"/>
      <c r="S14" s="239"/>
      <c r="T14" s="239"/>
      <c r="U14" s="239"/>
      <c r="V14" s="239"/>
      <c r="W14" s="20"/>
      <c r="X14" s="239"/>
      <c r="Y14" s="239"/>
      <c r="Z14" s="239"/>
      <c r="AA14" s="239"/>
      <c r="AB14" s="239"/>
      <c r="AC14" s="239"/>
      <c r="AD14" s="239"/>
      <c r="AE14" s="239"/>
      <c r="AF14" s="239"/>
      <c r="AG14" s="20"/>
      <c r="AH14" s="239"/>
      <c r="AI14" s="239"/>
      <c r="AJ14" s="239"/>
      <c r="AK14" s="239"/>
      <c r="AL14" s="239"/>
      <c r="AM14" s="239"/>
      <c r="AN14" s="239"/>
      <c r="AO14" s="239"/>
      <c r="AP14" s="239"/>
      <c r="AQ14" s="20"/>
      <c r="AR14" s="239"/>
      <c r="AS14" s="239"/>
      <c r="AT14" s="239"/>
      <c r="AU14" s="239"/>
      <c r="AV14" s="239"/>
      <c r="AW14" s="239"/>
      <c r="AX14" s="239"/>
      <c r="AY14" s="239"/>
      <c r="AZ14" s="239"/>
      <c r="BA14" s="20"/>
    </row>
    <row r="15" spans="1:53" ht="15" customHeight="1" x14ac:dyDescent="0.3">
      <c r="A15" s="366"/>
      <c r="B15" s="366"/>
      <c r="C15" s="366"/>
      <c r="D15" s="26"/>
      <c r="E15" s="26"/>
      <c r="F15" s="26"/>
      <c r="G15" s="26"/>
      <c r="H15" s="26"/>
      <c r="I15" s="26"/>
      <c r="J15" s="26"/>
      <c r="K15" s="26"/>
      <c r="L15" s="26"/>
      <c r="M15" s="20"/>
      <c r="N15" s="109"/>
      <c r="O15" s="110"/>
      <c r="P15" s="111"/>
      <c r="Q15" s="111"/>
      <c r="R15" s="111"/>
      <c r="S15" s="111"/>
      <c r="T15" s="111"/>
      <c r="U15" s="111"/>
      <c r="V15" s="111"/>
      <c r="W15" s="20"/>
      <c r="X15" s="239"/>
      <c r="Y15" s="239"/>
      <c r="Z15" s="239"/>
      <c r="AA15" s="239"/>
      <c r="AB15" s="239"/>
      <c r="AC15" s="239"/>
      <c r="AD15" s="239"/>
      <c r="AE15" s="239"/>
      <c r="AF15" s="239"/>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66"/>
      <c r="B16" s="366"/>
      <c r="C16" s="366"/>
      <c r="D16" s="26"/>
      <c r="E16" s="26"/>
      <c r="F16" s="26"/>
      <c r="G16" s="26"/>
      <c r="H16" s="26"/>
      <c r="I16" s="26"/>
      <c r="J16" s="26"/>
      <c r="K16" s="26"/>
      <c r="L16" s="26"/>
      <c r="M16" s="20"/>
      <c r="N16" s="109"/>
      <c r="O16" s="110"/>
      <c r="P16" s="111"/>
      <c r="Q16" s="111"/>
      <c r="R16" s="111"/>
      <c r="S16" s="111"/>
      <c r="T16" s="111"/>
      <c r="U16" s="111"/>
      <c r="V16" s="111"/>
      <c r="W16" s="20"/>
      <c r="X16" s="239"/>
      <c r="Y16" s="239"/>
      <c r="Z16" s="239"/>
      <c r="AA16" s="239"/>
      <c r="AB16" s="239"/>
      <c r="AC16" s="239"/>
      <c r="AD16" s="239"/>
      <c r="AE16" s="239"/>
      <c r="AF16" s="239"/>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66"/>
      <c r="B17" s="366"/>
      <c r="C17" s="366"/>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A18" s="366"/>
      <c r="B18" s="366"/>
      <c r="C18" s="366"/>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66"/>
      <c r="B19" s="366"/>
      <c r="C19" s="366"/>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7" t="str">
        <f>'F.3.1-4 Tube Chassis'!$D$25</f>
        <v>mm</v>
      </c>
      <c r="B20" s="377"/>
      <c r="C20" s="377"/>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A21" s="377"/>
      <c r="B21" s="377"/>
      <c r="C21" s="377"/>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8" t="str">
        <f>IF(OR(A2="BLANK",COUNTIF(D30:AS31,"BLANK")),"BLANK",IF(COUNTIF(D30:AS31,"REJECT"),"REJECT",IF(COUNTIF(D30:AS31,"CHECK"),"CHECK",IF(A4="No","N/A","EQ"))))</f>
        <v>BLANK</v>
      </c>
      <c r="B22" s="378"/>
      <c r="C22" s="378"/>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8"/>
      <c r="B23" s="378"/>
      <c r="C23" s="378"/>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8"/>
      <c r="B24" s="378"/>
      <c r="C24" s="378"/>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8"/>
      <c r="B25" s="378"/>
      <c r="C25" s="378"/>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8"/>
      <c r="B26" s="378"/>
      <c r="C26" s="378"/>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8"/>
      <c r="B27" s="378"/>
      <c r="C27" s="378"/>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8"/>
      <c r="B28" s="378"/>
      <c r="C28" s="378"/>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8"/>
      <c r="B29" s="378"/>
      <c r="C29" s="378"/>
      <c r="D29" s="375" t="s">
        <v>165</v>
      </c>
      <c r="E29" s="375"/>
      <c r="F29" s="375"/>
      <c r="G29" s="375"/>
      <c r="H29" s="375"/>
      <c r="I29" s="375"/>
      <c r="J29" s="375"/>
      <c r="K29" s="375"/>
      <c r="L29" s="375"/>
      <c r="M29" s="107"/>
      <c r="N29" s="375" t="s">
        <v>165</v>
      </c>
      <c r="O29" s="375"/>
      <c r="P29" s="375"/>
      <c r="Q29" s="375"/>
      <c r="R29" s="375"/>
      <c r="S29" s="375"/>
      <c r="T29" s="375"/>
      <c r="U29" s="375"/>
      <c r="V29" s="375"/>
      <c r="W29" s="107"/>
      <c r="X29" s="375" t="s">
        <v>165</v>
      </c>
      <c r="Y29" s="375"/>
      <c r="Z29" s="375"/>
      <c r="AA29" s="375"/>
      <c r="AB29" s="375"/>
      <c r="AC29" s="375"/>
      <c r="AD29" s="375"/>
      <c r="AE29" s="375"/>
      <c r="AF29" s="375"/>
      <c r="AG29" s="107"/>
      <c r="AH29" s="375" t="s">
        <v>165</v>
      </c>
      <c r="AI29" s="375"/>
      <c r="AJ29" s="375"/>
      <c r="AK29" s="375"/>
      <c r="AL29" s="375"/>
      <c r="AM29" s="375"/>
      <c r="AN29" s="375"/>
      <c r="AO29" s="375"/>
      <c r="AP29" s="375"/>
      <c r="AQ29" s="107"/>
      <c r="AR29" s="375" t="s">
        <v>165</v>
      </c>
      <c r="AS29" s="375"/>
      <c r="AT29" s="375"/>
      <c r="AU29" s="375"/>
      <c r="AV29" s="375"/>
      <c r="AW29" s="375"/>
      <c r="AX29" s="375"/>
      <c r="AY29" s="375"/>
      <c r="AZ29" s="375"/>
      <c r="BA29" s="107"/>
    </row>
    <row r="30" spans="1:53" ht="15" customHeight="1" x14ac:dyDescent="0.3">
      <c r="A30" s="378"/>
      <c r="B30" s="378"/>
      <c r="C30" s="378"/>
      <c r="D30" s="374" t="str">
        <f>IF(COUNTIF(D33:M52,"BLANK"),"BLANK",IF(COUNTIF(D33:M52,"REJECT"),"REJECT",IF(COUNTIF(D33:M52,"CHECK"),"CHECK","EQ")))</f>
        <v>EQ</v>
      </c>
      <c r="E30" s="374"/>
      <c r="F30" s="374" t="s">
        <v>82</v>
      </c>
      <c r="G30" s="374"/>
      <c r="H30" s="374"/>
      <c r="I30" s="374"/>
      <c r="J30" s="374"/>
      <c r="K30" s="374"/>
      <c r="L30" s="374"/>
      <c r="N30" s="374" t="str">
        <f>IF(COUNTIF(N33:W52,"BLANK"),"BLANK",IF(COUNTIF(N33:W52,"REJECT"),"REJECT",IF(COUNTIF(N33:W52,"CHECK"),"CHECK","EQ")))</f>
        <v>EQ</v>
      </c>
      <c r="O30" s="374"/>
      <c r="P30" s="374" t="s">
        <v>82</v>
      </c>
      <c r="Q30" s="374"/>
      <c r="R30" s="374"/>
      <c r="S30" s="374"/>
      <c r="T30" s="374"/>
      <c r="U30" s="374"/>
      <c r="V30" s="374"/>
      <c r="X30" s="374" t="str">
        <f>IF(COUNTIF(X33:AG52,"BLANK"),"BLANK",IF(COUNTIF(X33:AG52,"REJECT"),"REJECT",IF(COUNTIF(X33:AG52,"CHECK"),"CHECK","EQ")))</f>
        <v>EQ</v>
      </c>
      <c r="Y30" s="374"/>
      <c r="Z30" s="374" t="s">
        <v>82</v>
      </c>
      <c r="AA30" s="374"/>
      <c r="AB30" s="374"/>
      <c r="AC30" s="374"/>
      <c r="AD30" s="374"/>
      <c r="AE30" s="374"/>
      <c r="AF30" s="374"/>
      <c r="AH30" s="374" t="str">
        <f>IF(COUNTIF(AH33:AQ52,"BLANK"),"BLANK",IF(COUNTIF(AH33:AQ52,"REJECT"),"REJECT",IF(COUNTIF(AH33:AQ52,"CHECK"),"CHECK","EQ")))</f>
        <v>EQ</v>
      </c>
      <c r="AI30" s="374"/>
      <c r="AJ30" s="374" t="s">
        <v>82</v>
      </c>
      <c r="AK30" s="374"/>
      <c r="AL30" s="374"/>
      <c r="AM30" s="374"/>
      <c r="AN30" s="374"/>
      <c r="AO30" s="374"/>
      <c r="AP30" s="374"/>
      <c r="AR30" s="374" t="str">
        <f>IF(COUNTIF(AR33:BA52,"BLANK"),"BLANK",IF(COUNTIF(AR33:BA52,"REJECT"),"REJECT",IF(COUNTIF(AR33:BA52,"CHECK"),"CHECK","EQ")))</f>
        <v>EQ</v>
      </c>
      <c r="AS30" s="374"/>
      <c r="AT30" s="374" t="s">
        <v>82</v>
      </c>
      <c r="AU30" s="374"/>
      <c r="AV30" s="374"/>
      <c r="AW30" s="374"/>
      <c r="AX30" s="374"/>
      <c r="AY30" s="374"/>
      <c r="AZ30" s="374"/>
    </row>
    <row r="31" spans="1:53" ht="15" customHeight="1" x14ac:dyDescent="0.3">
      <c r="D31" s="374"/>
      <c r="E31" s="374"/>
      <c r="F31" s="374"/>
      <c r="G31" s="374"/>
      <c r="H31" s="374"/>
      <c r="I31" s="374"/>
      <c r="J31" s="374"/>
      <c r="K31" s="374"/>
      <c r="L31" s="374"/>
      <c r="N31" s="374"/>
      <c r="O31" s="374"/>
      <c r="P31" s="374"/>
      <c r="Q31" s="374"/>
      <c r="R31" s="374"/>
      <c r="S31" s="374"/>
      <c r="T31" s="374"/>
      <c r="U31" s="374"/>
      <c r="V31" s="374"/>
      <c r="X31" s="374"/>
      <c r="Y31" s="374"/>
      <c r="Z31" s="374"/>
      <c r="AA31" s="374"/>
      <c r="AB31" s="374"/>
      <c r="AC31" s="374"/>
      <c r="AD31" s="374"/>
      <c r="AE31" s="374"/>
      <c r="AF31" s="374"/>
      <c r="AH31" s="374"/>
      <c r="AI31" s="374"/>
      <c r="AJ31" s="374"/>
      <c r="AK31" s="374"/>
      <c r="AL31" s="374"/>
      <c r="AM31" s="374"/>
      <c r="AN31" s="374"/>
      <c r="AO31" s="374"/>
      <c r="AP31" s="374"/>
      <c r="AR31" s="374"/>
      <c r="AS31" s="374"/>
      <c r="AT31" s="374"/>
      <c r="AU31" s="374"/>
      <c r="AV31" s="374"/>
      <c r="AW31" s="374"/>
      <c r="AX31" s="374"/>
      <c r="AY31" s="374"/>
      <c r="AZ31" s="374"/>
    </row>
    <row r="32" spans="1:53" ht="15" customHeight="1" x14ac:dyDescent="0.3">
      <c r="A32" s="320">
        <f>'F.3.1-4 Tube Chassis'!$M$1</f>
        <v>2020</v>
      </c>
      <c r="B32" s="320"/>
      <c r="C32" s="320"/>
      <c r="D32" s="128"/>
      <c r="E32" s="128"/>
      <c r="F32" s="128"/>
      <c r="G32" s="128"/>
      <c r="H32" s="128"/>
      <c r="I32" s="128"/>
      <c r="J32" s="128"/>
      <c r="K32" s="128"/>
      <c r="L32" s="128"/>
      <c r="N32" s="128"/>
      <c r="O32" s="128"/>
      <c r="P32" s="128"/>
      <c r="Q32" s="128"/>
      <c r="R32" s="128"/>
      <c r="S32" s="128"/>
      <c r="T32" s="128"/>
      <c r="U32" s="128"/>
      <c r="V32" s="128"/>
      <c r="X32" s="128"/>
      <c r="Y32" s="128"/>
      <c r="Z32" s="128"/>
      <c r="AA32" s="128"/>
      <c r="AB32" s="128"/>
      <c r="AC32" s="128"/>
      <c r="AD32" s="128"/>
      <c r="AE32" s="128"/>
      <c r="AF32" s="128"/>
      <c r="AH32" s="128"/>
      <c r="AI32" s="128"/>
      <c r="AJ32" s="128"/>
      <c r="AK32" s="128"/>
      <c r="AL32" s="128"/>
      <c r="AM32" s="128"/>
      <c r="AN32" s="128"/>
      <c r="AO32" s="128"/>
      <c r="AP32" s="128"/>
      <c r="AR32" s="128"/>
      <c r="AS32" s="128"/>
      <c r="AT32" s="128"/>
      <c r="AU32" s="128"/>
      <c r="AV32" s="128"/>
      <c r="AW32" s="128"/>
      <c r="AX32" s="128"/>
      <c r="AY32" s="128"/>
      <c r="AZ32" s="128"/>
    </row>
    <row r="33" spans="1:53" ht="15" customHeight="1" thickBot="1" x14ac:dyDescent="0.35">
      <c r="A33" s="321">
        <f>'F.3.1-4 Tube Chassis'!$C$1</f>
        <v>0</v>
      </c>
      <c r="B33" s="321"/>
      <c r="C33" s="321"/>
      <c r="D33" s="373" t="str">
        <f>IF(COUNTIF(L34,"BLANK"),"BLANK",IF(COUNTIF(L34,"REJECT"),"REJECT",IF(COUNTIF(L34,"CHECK"),"CHECK","EQ")))</f>
        <v>EQ</v>
      </c>
      <c r="E33" s="373"/>
      <c r="F33" s="373"/>
      <c r="G33" s="373"/>
      <c r="H33" s="373"/>
      <c r="I33" s="373"/>
      <c r="J33" s="373"/>
      <c r="K33" s="373"/>
      <c r="L33" s="373"/>
      <c r="N33" s="373" t="str">
        <f>IF(COUNTIF(V34,"BLANK"),"BLANK",IF(COUNTIF(V34,"REJECT"),"REJECT",IF(COUNTIF(V34,"CHECK"),"CHECK","EQ")))</f>
        <v>EQ</v>
      </c>
      <c r="O33" s="373"/>
      <c r="P33" s="373"/>
      <c r="Q33" s="373"/>
      <c r="R33" s="373"/>
      <c r="S33" s="373"/>
      <c r="T33" s="373"/>
      <c r="U33" s="373"/>
      <c r="V33" s="373"/>
      <c r="X33" s="373" t="str">
        <f>IF(COUNTIF(AF34,"BLANK"),"BLANK",IF(COUNTIF(AF34,"REJECT"),"REJECT",IF(COUNTIF(AF34,"CHECK"),"CHECK","EQ")))</f>
        <v>EQ</v>
      </c>
      <c r="Y33" s="373"/>
      <c r="Z33" s="373"/>
      <c r="AA33" s="373"/>
      <c r="AB33" s="373"/>
      <c r="AC33" s="373"/>
      <c r="AD33" s="373"/>
      <c r="AE33" s="373"/>
      <c r="AF33" s="373"/>
      <c r="AH33" s="373" t="str">
        <f>IF(COUNTIF(AP34,"BLANK"),"BLANK",IF(COUNTIF(AP34,"REJECT"),"REJECT",IF(COUNTIF(AP34,"CHECK"),"CHECK","EQ")))</f>
        <v>EQ</v>
      </c>
      <c r="AI33" s="373"/>
      <c r="AJ33" s="373"/>
      <c r="AK33" s="373"/>
      <c r="AL33" s="373"/>
      <c r="AM33" s="373"/>
      <c r="AN33" s="373"/>
      <c r="AO33" s="373"/>
      <c r="AP33" s="373"/>
      <c r="AR33" s="373" t="str">
        <f>IF(COUNTIF(AZ34,"BLANK"),"BLANK",IF(COUNTIF(AZ34,"REJECT"),"REJECT",IF(COUNTIF(AZ34,"CHECK"),"CHECK","EQ")))</f>
        <v>EQ</v>
      </c>
      <c r="AS33" s="373"/>
      <c r="AT33" s="373"/>
      <c r="AU33" s="373"/>
      <c r="AV33" s="373"/>
      <c r="AW33" s="373"/>
      <c r="AX33" s="373"/>
      <c r="AY33" s="373"/>
      <c r="AZ33" s="373"/>
    </row>
    <row r="34" spans="1:53" ht="15" customHeight="1" thickBot="1" x14ac:dyDescent="0.35">
      <c r="A34" s="310">
        <f>'F.3.1-4 Tube Chassis'!$C$2</f>
        <v>0</v>
      </c>
      <c r="B34" s="310"/>
      <c r="C34" s="310"/>
      <c r="D34" s="122" t="s">
        <v>196</v>
      </c>
      <c r="E34" s="363" t="s">
        <v>84</v>
      </c>
      <c r="F34" s="363"/>
      <c r="G34" s="363"/>
      <c r="H34" s="363"/>
      <c r="I34" s="363"/>
      <c r="J34" s="387" t="s">
        <v>64</v>
      </c>
      <c r="K34" s="388"/>
      <c r="L34" s="121" t="str">
        <f>IF(AND(NOT(A5="FILL OUT THIS TAB."),J34="Select drop down:",J39=""),"EQ",IF(J34="Select drop down:","BLANK","EQ"))</f>
        <v>EQ</v>
      </c>
      <c r="N34" s="122" t="s">
        <v>196</v>
      </c>
      <c r="O34" s="363" t="s">
        <v>84</v>
      </c>
      <c r="P34" s="363"/>
      <c r="Q34" s="363"/>
      <c r="R34" s="363"/>
      <c r="S34" s="363"/>
      <c r="T34" s="387" t="s">
        <v>64</v>
      </c>
      <c r="U34" s="388"/>
      <c r="V34" s="121" t="str">
        <f>IF(AND(T34="Select drop down:",T49=""),"EQ",IF(T34="Select drop down:","BLANK","EQ"))</f>
        <v>EQ</v>
      </c>
      <c r="X34" s="122" t="s">
        <v>196</v>
      </c>
      <c r="Y34" s="363" t="s">
        <v>84</v>
      </c>
      <c r="Z34" s="363"/>
      <c r="AA34" s="363"/>
      <c r="AB34" s="363"/>
      <c r="AC34" s="363"/>
      <c r="AD34" s="387" t="s">
        <v>64</v>
      </c>
      <c r="AE34" s="388"/>
      <c r="AF34" s="121" t="str">
        <f>IF(AND(AD34="Select drop down:",AD49=""),"EQ",IF(AD34="Select drop down:","BLANK","EQ"))</f>
        <v>EQ</v>
      </c>
      <c r="AH34" s="122" t="s">
        <v>196</v>
      </c>
      <c r="AI34" s="363" t="s">
        <v>84</v>
      </c>
      <c r="AJ34" s="363"/>
      <c r="AK34" s="363"/>
      <c r="AL34" s="363"/>
      <c r="AM34" s="363"/>
      <c r="AN34" s="387" t="s">
        <v>64</v>
      </c>
      <c r="AO34" s="388"/>
      <c r="AP34" s="121" t="str">
        <f>IF(AND(AN34="Select drop down:",AN49=""),"EQ",IF(AN34="Select drop down:","BLANK","EQ"))</f>
        <v>EQ</v>
      </c>
      <c r="AR34" s="122" t="s">
        <v>196</v>
      </c>
      <c r="AS34" s="363" t="s">
        <v>84</v>
      </c>
      <c r="AT34" s="363"/>
      <c r="AU34" s="363"/>
      <c r="AV34" s="363"/>
      <c r="AW34" s="363"/>
      <c r="AX34" s="387" t="s">
        <v>64</v>
      </c>
      <c r="AY34" s="388"/>
      <c r="AZ34" s="121" t="str">
        <f>IF(AND(AX34="Select drop down:",AX49=""),"EQ",IF(AX34="Select drop down:","BLANK","EQ"))</f>
        <v>EQ</v>
      </c>
    </row>
    <row r="35" spans="1:53" ht="15" customHeight="1" x14ac:dyDescent="0.3">
      <c r="A35" s="37" t="str">
        <f>IF('F.3.1-4 Tube Chassis'!$D$4,'F.3.1-4 Tube Chassis'!$D$3,"")</f>
        <v/>
      </c>
      <c r="B35" s="37" t="str">
        <f>IF('F.3.1-4 Tube Chassis'!$F$4,'F.3.1-4 Tube Chassis'!$F$3,"")</f>
        <v/>
      </c>
      <c r="C35" s="37" t="str">
        <f>IF('F.3.1-4 Tube Chassis'!$H$4,'F.3.1-4 Tube Chassis'!$H$3,"")</f>
        <v/>
      </c>
      <c r="D35" s="122"/>
      <c r="E35" s="61"/>
      <c r="F35" s="61"/>
      <c r="G35" s="61"/>
      <c r="H35" s="61"/>
      <c r="I35" s="61"/>
      <c r="J35" s="121"/>
      <c r="K35" s="121"/>
      <c r="L35" s="121"/>
      <c r="N35" s="122"/>
      <c r="O35" s="61"/>
      <c r="P35" s="61"/>
      <c r="Q35" s="61"/>
      <c r="R35" s="61"/>
      <c r="S35" s="61"/>
      <c r="T35" s="121"/>
      <c r="U35" s="121"/>
      <c r="V35" s="121"/>
      <c r="X35" s="122"/>
      <c r="Y35" s="61"/>
      <c r="Z35" s="61"/>
      <c r="AA35" s="61"/>
      <c r="AB35" s="61"/>
      <c r="AC35" s="61"/>
      <c r="AD35" s="121"/>
      <c r="AE35" s="121"/>
      <c r="AF35" s="121"/>
      <c r="AH35" s="122"/>
      <c r="AI35" s="61"/>
      <c r="AJ35" s="61"/>
      <c r="AK35" s="61"/>
      <c r="AL35" s="61"/>
      <c r="AM35" s="61"/>
      <c r="AN35" s="121"/>
      <c r="AO35" s="121"/>
      <c r="AP35" s="121"/>
      <c r="AR35" s="122"/>
      <c r="AS35" s="61"/>
      <c r="AT35" s="61"/>
      <c r="AU35" s="61"/>
      <c r="AV35" s="61"/>
      <c r="AW35" s="61"/>
      <c r="AX35" s="121"/>
      <c r="AY35" s="121"/>
      <c r="AZ35" s="121"/>
    </row>
    <row r="36" spans="1:53" ht="15" customHeight="1" x14ac:dyDescent="0.3">
      <c r="A36" s="37" t="str">
        <f>IF('F.3.1-4 Tube Chassis'!$D$4,'F.3.1-4 Tube Chassis'!$D$4,"")</f>
        <v/>
      </c>
      <c r="B36" s="37" t="str">
        <f>IF('F.3.1-4 Tube Chassis'!$F$4,'F.3.1-4 Tube Chassis'!$F$4,"")</f>
        <v/>
      </c>
      <c r="C36" s="37" t="str">
        <f>IF('F.3.1-4 Tube Chassis'!$H$4,'F.3.1-4 Tube Chassis'!$H$4,"")</f>
        <v/>
      </c>
      <c r="D36" s="386" t="s">
        <v>197</v>
      </c>
      <c r="E36" s="386"/>
      <c r="F36" s="386"/>
      <c r="G36" s="386"/>
      <c r="H36" s="386"/>
      <c r="I36" s="386"/>
      <c r="J36" s="386"/>
      <c r="K36" s="386"/>
      <c r="L36" s="386"/>
      <c r="N36" s="386" t="s">
        <v>197</v>
      </c>
      <c r="O36" s="386"/>
      <c r="P36" s="386"/>
      <c r="Q36" s="386"/>
      <c r="R36" s="386"/>
      <c r="S36" s="386"/>
      <c r="T36" s="386"/>
      <c r="U36" s="386"/>
      <c r="V36" s="386"/>
      <c r="X36" s="386" t="s">
        <v>197</v>
      </c>
      <c r="Y36" s="386"/>
      <c r="Z36" s="386"/>
      <c r="AA36" s="386"/>
      <c r="AB36" s="386"/>
      <c r="AC36" s="386"/>
      <c r="AD36" s="386"/>
      <c r="AE36" s="386"/>
      <c r="AF36" s="386"/>
      <c r="AH36" s="386" t="s">
        <v>197</v>
      </c>
      <c r="AI36" s="386"/>
      <c r="AJ36" s="386"/>
      <c r="AK36" s="386"/>
      <c r="AL36" s="386"/>
      <c r="AM36" s="386"/>
      <c r="AN36" s="386"/>
      <c r="AO36" s="386"/>
      <c r="AP36" s="386"/>
      <c r="AR36" s="386" t="s">
        <v>197</v>
      </c>
      <c r="AS36" s="386"/>
      <c r="AT36" s="386"/>
      <c r="AU36" s="386"/>
      <c r="AV36" s="386"/>
      <c r="AW36" s="386"/>
      <c r="AX36" s="386"/>
      <c r="AY36" s="386"/>
      <c r="AZ36" s="386"/>
    </row>
    <row r="37" spans="1:53" ht="15" customHeight="1" x14ac:dyDescent="0.3">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2"/>
      <c r="E37" s="61"/>
      <c r="F37" s="61"/>
      <c r="G37" s="61"/>
      <c r="H37" s="61"/>
      <c r="I37" s="61"/>
      <c r="J37" s="121"/>
      <c r="K37" s="121"/>
      <c r="L37" s="121"/>
      <c r="N37" s="122"/>
      <c r="O37" s="61"/>
      <c r="P37" s="61"/>
      <c r="Q37" s="61"/>
      <c r="R37" s="61"/>
      <c r="S37" s="61"/>
      <c r="T37" s="121"/>
      <c r="U37" s="121"/>
      <c r="V37" s="121"/>
      <c r="X37" s="122"/>
      <c r="Y37" s="61"/>
      <c r="Z37" s="61"/>
      <c r="AA37" s="61"/>
      <c r="AB37" s="61"/>
      <c r="AC37" s="61"/>
      <c r="AD37" s="121"/>
      <c r="AE37" s="121"/>
      <c r="AF37" s="121"/>
      <c r="AH37" s="122"/>
      <c r="AI37" s="61"/>
      <c r="AJ37" s="61"/>
      <c r="AK37" s="61"/>
      <c r="AL37" s="61"/>
      <c r="AM37" s="61"/>
      <c r="AN37" s="121"/>
      <c r="AO37" s="121"/>
      <c r="AP37" s="121"/>
      <c r="AR37" s="122"/>
      <c r="AS37" s="61"/>
      <c r="AT37" s="61"/>
      <c r="AU37" s="61"/>
      <c r="AV37" s="61"/>
      <c r="AW37" s="61"/>
      <c r="AX37" s="121"/>
      <c r="AY37" s="121"/>
      <c r="AZ37" s="121"/>
    </row>
    <row r="38" spans="1:53" ht="15" customHeight="1" x14ac:dyDescent="0.3">
      <c r="A38" s="376"/>
      <c r="B38" s="376"/>
      <c r="C38" s="376"/>
      <c r="D38" s="373" t="str">
        <f>IF(COUNTIF(L39:L41,"BLANK"),"BLANK",IF(COUNTIF(L39:L41,"REJECT"),"REJECT",IF(COUNTIF(L39:L41,"CHECK"),"CHECK","EQ")))</f>
        <v>EQ</v>
      </c>
      <c r="E38" s="373"/>
      <c r="F38" s="373"/>
      <c r="G38" s="373"/>
      <c r="H38" s="373"/>
      <c r="I38" s="373"/>
      <c r="J38" s="373"/>
      <c r="K38" s="373"/>
      <c r="L38" s="373"/>
      <c r="N38" s="373" t="str">
        <f>IF(COUNTIF(V39:V41,"BLANK"),"BLANK",IF(COUNTIF(V39:V41,"REJECT"),"REJECT",IF(COUNTIF(V39:V41,"CHECK"),"CHECK","EQ")))</f>
        <v>EQ</v>
      </c>
      <c r="O38" s="373"/>
      <c r="P38" s="373"/>
      <c r="Q38" s="373"/>
      <c r="R38" s="373"/>
      <c r="S38" s="373"/>
      <c r="T38" s="373"/>
      <c r="U38" s="373"/>
      <c r="V38" s="373"/>
      <c r="X38" s="373" t="str">
        <f>IF(COUNTIF(AF39:AF41,"BLANK"),"BLANK",IF(COUNTIF(AF39:AF41,"REJECT"),"REJECT",IF(COUNTIF(AF39:AF41,"CHECK"),"CHECK","EQ")))</f>
        <v>EQ</v>
      </c>
      <c r="Y38" s="373"/>
      <c r="Z38" s="373"/>
      <c r="AA38" s="373"/>
      <c r="AB38" s="373"/>
      <c r="AC38" s="373"/>
      <c r="AD38" s="373"/>
      <c r="AE38" s="373"/>
      <c r="AF38" s="373"/>
      <c r="AH38" s="373" t="str">
        <f>IF(COUNTIF(AP39:AP41,"BLANK"),"BLANK",IF(COUNTIF(AP39:AP41,"REJECT"),"REJECT",IF(COUNTIF(AP39:AP41,"CHECK"),"CHECK","EQ")))</f>
        <v>EQ</v>
      </c>
      <c r="AI38" s="373"/>
      <c r="AJ38" s="373"/>
      <c r="AK38" s="373"/>
      <c r="AL38" s="373"/>
      <c r="AM38" s="373"/>
      <c r="AN38" s="373"/>
      <c r="AO38" s="373"/>
      <c r="AP38" s="373"/>
      <c r="AR38" s="373" t="str">
        <f>IF(COUNTIF(AZ39:AZ41,"BLANK"),"BLANK",IF(COUNTIF(AZ39:AZ41,"REJECT"),"REJECT",IF(COUNTIF(AZ39:AZ41,"CHECK"),"CHECK","EQ")))</f>
        <v>EQ</v>
      </c>
      <c r="AS38" s="373"/>
      <c r="AT38" s="373"/>
      <c r="AU38" s="373"/>
      <c r="AV38" s="373"/>
      <c r="AW38" s="373"/>
      <c r="AX38" s="373"/>
      <c r="AY38" s="373"/>
      <c r="AZ38" s="373"/>
    </row>
    <row r="39" spans="1:53" ht="15" customHeight="1" x14ac:dyDescent="0.3">
      <c r="D39" s="122" t="str">
        <f>IF(J$34="Sleeved Butt Joint","F.5.10.6a","F.5.10.3a")</f>
        <v>F.5.10.3a</v>
      </c>
      <c r="E39" s="363" t="str">
        <f>IF(J$34="Sleeved Butt Joint","Min Butt Joint to Sleeve End &gt;=37.5mm (1.5in):","Lug thickness &gt;= 4.5mm (0.177in) steel:")</f>
        <v>Lug thickness &gt;= 4.5mm (0.177in) steel:</v>
      </c>
      <c r="F39" s="363"/>
      <c r="G39" s="363"/>
      <c r="H39" s="363"/>
      <c r="I39" s="385"/>
      <c r="J39" s="134"/>
      <c r="K39" s="128" t="str">
        <f>IF($A$20="mm","mm","in")</f>
        <v>mm</v>
      </c>
      <c r="L39" s="121" t="str">
        <f>IF(AND(J$34="Select drop down:",J39=""),"N/A",IF(J39="","BLANK",IF(J$34="Sleeved Butt Joint",IF($A$20="mm",IF(J39&gt;=37.5,"EQ","REJECT"),IF(J39&gt;=1.5,"EQ","REJECT")),IF($A$20="mm",IF(J39&gt;=4.5,"EQ","REJECT"),IF(J39&gt;=0.177,"EQ","REJECT")))))</f>
        <v>N/A</v>
      </c>
      <c r="N39" s="122" t="str">
        <f>IF(T$34="Sleeved Butt Joint","F.5.10.6a","F.5.10.3a")</f>
        <v>F.5.10.3a</v>
      </c>
      <c r="O39" s="363" t="str">
        <f>IF(T$34="Sleeved Butt Joint","Min Butt Joint to Sleeve End &gt;=37.5mm (1.5in):","Lug thickness &gt;= 4.5mm (0.177in) steel:")</f>
        <v>Lug thickness &gt;= 4.5mm (0.177in) steel:</v>
      </c>
      <c r="P39" s="363"/>
      <c r="Q39" s="363"/>
      <c r="R39" s="363"/>
      <c r="S39" s="385"/>
      <c r="T39" s="134"/>
      <c r="U39" s="128" t="str">
        <f>IF($A$20="mm","mm","in")</f>
        <v>mm</v>
      </c>
      <c r="V39" s="121" t="str">
        <f>IF(AND(T$34="Select drop down:",T39=""),"N/A",IF(T39="","BLANK",IF(T$34="Sleeved Butt Joint",IF($A$20="mm",IF(T39&gt;=37.5,"EQ","REJECT"),IF(T39&gt;=1.5,"EQ","REJECT")),IF($A$20="mm",IF(T39&gt;=4.5,"EQ","REJECT"),IF(T39&gt;=0.177,"EQ","REJECT")))))</f>
        <v>N/A</v>
      </c>
      <c r="X39" s="122" t="str">
        <f>IF(AD$34="Sleeved Butt Joint","F.5.10.6a","F.5.10.3a")</f>
        <v>F.5.10.3a</v>
      </c>
      <c r="Y39" s="363" t="str">
        <f>IF(AD$34="Sleeved Butt Joint","Min Butt Joint to Sleeve End &gt;=37.5mm (1.5in):","Lug thickness &gt;= 4.5mm (0.177in) steel:")</f>
        <v>Lug thickness &gt;= 4.5mm (0.177in) steel:</v>
      </c>
      <c r="Z39" s="363"/>
      <c r="AA39" s="363"/>
      <c r="AB39" s="363"/>
      <c r="AC39" s="385"/>
      <c r="AD39" s="134"/>
      <c r="AE39" s="128" t="str">
        <f>IF($A$20="mm","mm","in")</f>
        <v>mm</v>
      </c>
      <c r="AF39" s="121" t="str">
        <f>IF(AND(AD$34="Select drop down:",AD39=""),"N/A",IF(AD39="","BLANK",IF(AD$34="Sleeved Butt Joint",IF($A$20="mm",IF(AD39&gt;=37.5,"EQ","REJECT"),IF(AD39&gt;=1.5,"EQ","REJECT")),IF($A$20="mm",IF(AD39&gt;=4.5,"EQ","REJECT"),IF(AD39&gt;=0.177,"EQ","REJECT")))))</f>
        <v>N/A</v>
      </c>
      <c r="AH39" s="122" t="str">
        <f>IF(AN$34="Sleeved Butt Joint","F.5.10.6a","F.5.10.3a")</f>
        <v>F.5.10.3a</v>
      </c>
      <c r="AI39" s="363" t="str">
        <f>IF(AN$34="Sleeved Butt Joint","Min Butt Joint to Sleeve End &gt;=37.5mm (1.5in):","Lug thickness &gt;= 4.5mm (0.177in) steel:")</f>
        <v>Lug thickness &gt;= 4.5mm (0.177in) steel:</v>
      </c>
      <c r="AJ39" s="363"/>
      <c r="AK39" s="363"/>
      <c r="AL39" s="363"/>
      <c r="AM39" s="385"/>
      <c r="AN39" s="134"/>
      <c r="AO39" s="128" t="str">
        <f>IF($A$20="mm","mm","in")</f>
        <v>mm</v>
      </c>
      <c r="AP39" s="121" t="str">
        <f>IF(AND(AN$34="Select drop down:",AN39=""),"N/A",IF(AN39="","BLANK",IF(AN$34="Sleeved Butt Joint",IF($A$20="mm",IF(AN39&gt;=37.5,"EQ","REJECT"),IF(AN39&gt;=1.5,"EQ","REJECT")),IF($A$20="mm",IF(AN39&gt;=4.5,"EQ","REJECT"),IF(AN39&gt;=0.177,"EQ","REJECT")))))</f>
        <v>N/A</v>
      </c>
      <c r="AR39" s="122" t="str">
        <f>IF(AX$34="Sleeved Butt Joint","F.5.10.6a","F.5.10.3a")</f>
        <v>F.5.10.3a</v>
      </c>
      <c r="AS39" s="363" t="str">
        <f>IF(AX$34="Sleeved Butt Joint","Min Butt Joint to Sleeve End &gt;=37.5mm (1.5in):","Lug thickness &gt;= 4.5mm (0.177in) steel:")</f>
        <v>Lug thickness &gt;= 4.5mm (0.177in) steel:</v>
      </c>
      <c r="AT39" s="363"/>
      <c r="AU39" s="363"/>
      <c r="AV39" s="363"/>
      <c r="AW39" s="385"/>
      <c r="AX39" s="134"/>
      <c r="AY39" s="128" t="str">
        <f>IF($A$20="mm","mm","in")</f>
        <v>mm</v>
      </c>
      <c r="AZ39" s="121" t="str">
        <f>IF(AND(AX$34="Select drop down:",AX39=""),"N/A",IF(AX39="","BLANK",IF(AX$34="Sleeved Butt Joint",IF($A$20="mm",IF(AX39&gt;=37.5,"EQ","REJECT"),IF(AX39&gt;=1.5,"EQ","REJECT")),IF($A$20="mm",IF(AX39&gt;=4.5,"EQ","REJECT"),IF(AX39&gt;=0.177,"EQ","REJECT")))))</f>
        <v>N/A</v>
      </c>
    </row>
    <row r="40" spans="1:53" ht="15" customHeight="1" x14ac:dyDescent="0.3">
      <c r="D40" s="122" t="str">
        <f>IF(J$34="Sleeved Butt Joint","F.5.10.6b","F.5.10.3b")</f>
        <v>F.5.10.3b</v>
      </c>
      <c r="E40" s="363" t="str">
        <f>IF(J$34="Sleeved Butt Joint","Wall Thickness:","Perpendicular dimension &gt;=25mm (1in):")</f>
        <v>Perpendicular dimension &gt;=25mm (1in):</v>
      </c>
      <c r="F40" s="363"/>
      <c r="G40" s="363"/>
      <c r="H40" s="363"/>
      <c r="I40" s="385"/>
      <c r="J40" s="130"/>
      <c r="K40" s="128" t="str">
        <f>IF($A$20="mm","mm","in")</f>
        <v>mm</v>
      </c>
      <c r="L40" s="121" t="str">
        <f>IF(AND(J$34="Select drop down:",J40=""),"N/A",IF(J40="","BLANK",IF(J$34="Sleeved Butt Joint",IF($A$20="mm",IF(J40&gt;=1.2,"EQ","REJECT"),IF(J40&gt;=0.047,"EQ","REJECT")),IF($A$20="mm",IF(J40&gt;=25,"EQ","REJECT"),IF(J40&gt;=1,"EQ","REJECT")))))</f>
        <v>N/A</v>
      </c>
      <c r="N40" s="122" t="str">
        <f>IF(T$34="Sleeved Butt Joint","F.5.10.6b","F.5.10.3b")</f>
        <v>F.5.10.3b</v>
      </c>
      <c r="O40" s="363" t="str">
        <f>IF(T$34="Sleeved Butt Joint","Wall Thickness:","Perpendicular dimension &gt;=25mm (1in):")</f>
        <v>Perpendicular dimension &gt;=25mm (1in):</v>
      </c>
      <c r="P40" s="363"/>
      <c r="Q40" s="363"/>
      <c r="R40" s="363"/>
      <c r="S40" s="385"/>
      <c r="T40" s="130"/>
      <c r="U40" s="128" t="str">
        <f>IF($A$20="mm","mm","in")</f>
        <v>mm</v>
      </c>
      <c r="V40" s="121" t="str">
        <f>IF(AND(T$34="Select drop down:",T40=""),"N/A",IF(T40="","BLANK",IF(T$34="Sleeved Butt Joint",IF($A$20="mm",IF(T40&gt;=1.2,"EQ","REJECT"),IF(T40&gt;=0.047,"EQ","REJECT")),IF($A$20="mm",IF(T40&gt;=25,"EQ","REJECT"),IF(T40&gt;=1,"EQ","REJECT")))))</f>
        <v>N/A</v>
      </c>
      <c r="X40" s="122" t="str">
        <f>IF(AD$34="Sleeved Butt Joint","F.5.10.6b","F.5.10.3b")</f>
        <v>F.5.10.3b</v>
      </c>
      <c r="Y40" s="363" t="str">
        <f>IF(AD$34="Sleeved Butt Joint","Wall Thickness:","Perpendicular dimension &gt;=25mm (1in):")</f>
        <v>Perpendicular dimension &gt;=25mm (1in):</v>
      </c>
      <c r="Z40" s="363"/>
      <c r="AA40" s="363"/>
      <c r="AB40" s="363"/>
      <c r="AC40" s="385"/>
      <c r="AD40" s="130"/>
      <c r="AE40" s="128" t="str">
        <f>IF($A$20="mm","mm","in")</f>
        <v>mm</v>
      </c>
      <c r="AF40" s="121" t="str">
        <f>IF(AND(AD$34="Select drop down:",AD40=""),"N/A",IF(AD40="","BLANK",IF(AD$34="Sleeved Butt Joint",IF($A$20="mm",IF(AD40&gt;=1.2,"EQ","REJECT"),IF(AD40&gt;=0.047,"EQ","REJECT")),IF($A$20="mm",IF(AD40&gt;=25,"EQ","REJECT"),IF(AD40&gt;=1,"EQ","REJECT")))))</f>
        <v>N/A</v>
      </c>
      <c r="AH40" s="122" t="str">
        <f>IF(AN$34="Sleeved Butt Joint","F.5.10.6b","F.5.10.3b")</f>
        <v>F.5.10.3b</v>
      </c>
      <c r="AI40" s="363" t="str">
        <f>IF(AN$34="Sleeved Butt Joint","Wall Thickness:","Perpendicular dimension &gt;=25mm (1in):")</f>
        <v>Perpendicular dimension &gt;=25mm (1in):</v>
      </c>
      <c r="AJ40" s="363"/>
      <c r="AK40" s="363"/>
      <c r="AL40" s="363"/>
      <c r="AM40" s="385"/>
      <c r="AN40" s="130"/>
      <c r="AO40" s="128" t="str">
        <f>IF($A$20="mm","mm","in")</f>
        <v>mm</v>
      </c>
      <c r="AP40" s="121" t="str">
        <f>IF(AND(AN$34="Select drop down:",AN40=""),"N/A",IF(AN40="","BLANK",IF(AN$34="Sleeved Butt Joint",IF($A$20="mm",IF(AN40&gt;=1.2,"EQ","REJECT"),IF(AN40&gt;=0.047,"EQ","REJECT")),IF($A$20="mm",IF(AN40&gt;=25,"EQ","REJECT"),IF(AN40&gt;=1,"EQ","REJECT")))))</f>
        <v>N/A</v>
      </c>
      <c r="AR40" s="122" t="str">
        <f>IF(AX$34="Sleeved Butt Joint","F.5.10.6b","F.5.10.3b")</f>
        <v>F.5.10.3b</v>
      </c>
      <c r="AS40" s="363" t="str">
        <f>IF(AX$34="Sleeved Butt Joint","Wall Thickness:","Perpendicular dimension &gt;=25mm (1in):")</f>
        <v>Perpendicular dimension &gt;=25mm (1in):</v>
      </c>
      <c r="AT40" s="363"/>
      <c r="AU40" s="363"/>
      <c r="AV40" s="363"/>
      <c r="AW40" s="385"/>
      <c r="AX40" s="130"/>
      <c r="AY40" s="128" t="str">
        <f>IF($A$20="mm","mm","in")</f>
        <v>mm</v>
      </c>
      <c r="AZ40" s="121" t="str">
        <f>IF(AND(AX$34="Select drop down:",AX40=""),"N/A",IF(AX40="","BLANK",IF(AX$34="Sleeved Butt Joint",IF($A$20="mm",IF(AX40&gt;=1.2,"EQ","REJECT"),IF(AX40&gt;=0.047,"EQ","REJECT")),IF($A$20="mm",IF(AX40&gt;=25,"EQ","REJECT"),IF(AX40&gt;=1,"EQ","REJECT")))))</f>
        <v>N/A</v>
      </c>
    </row>
    <row r="41" spans="1:53" x14ac:dyDescent="0.3">
      <c r="D41" s="122" t="str">
        <f>IF(J$34="Sleeved Butt Joint","F.5.10.6b","")</f>
        <v/>
      </c>
      <c r="E41" s="363" t="str">
        <f>IF(J$34="Sleeved Butt Joint","Base tube no thicker than:","")</f>
        <v/>
      </c>
      <c r="F41" s="363"/>
      <c r="G41" s="363"/>
      <c r="H41" s="363"/>
      <c r="I41" s="363"/>
      <c r="J41" s="121" t="str">
        <f>IF(J$34="Sleeved Butt Joint",J40,"")</f>
        <v/>
      </c>
      <c r="K41" s="128" t="str">
        <f>IF(J$34="Sleeved Butt Joint",K40,"")</f>
        <v/>
      </c>
      <c r="L41" s="121" t="str">
        <f>IF(J41="","","EQ")</f>
        <v/>
      </c>
      <c r="N41" s="122" t="str">
        <f>IF(T$34="Sleeved Butt Joint","F.5.10.6b","")</f>
        <v/>
      </c>
      <c r="O41" s="363" t="str">
        <f>IF(T$34="Sleeved Butt Joint","Base tube no thicker than:","")</f>
        <v/>
      </c>
      <c r="P41" s="363"/>
      <c r="Q41" s="363"/>
      <c r="R41" s="363"/>
      <c r="S41" s="363"/>
      <c r="T41" s="121" t="str">
        <f>IF(T$34="Sleeved Butt Joint",T40,"")</f>
        <v/>
      </c>
      <c r="U41" s="128" t="str">
        <f>IF(T$34="Sleeved Butt Joint",U40,"")</f>
        <v/>
      </c>
      <c r="V41" s="121" t="str">
        <f>IF(T41="","","EQ")</f>
        <v/>
      </c>
      <c r="X41" s="122" t="str">
        <f>IF(AD$34="Sleeved Butt Joint","F.5.10.6b","")</f>
        <v/>
      </c>
      <c r="Y41" s="363" t="str">
        <f>IF(AD$34="Sleeved Butt Joint","Base tube no thicker than:","")</f>
        <v/>
      </c>
      <c r="Z41" s="363"/>
      <c r="AA41" s="363"/>
      <c r="AB41" s="363"/>
      <c r="AC41" s="363"/>
      <c r="AD41" s="121" t="str">
        <f>IF(AD$34="Sleeved Butt Joint",AD40,"")</f>
        <v/>
      </c>
      <c r="AE41" s="128" t="str">
        <f>IF(AD$34="Sleeved Butt Joint",AE40,"")</f>
        <v/>
      </c>
      <c r="AF41" s="121" t="str">
        <f>IF(AD41="","","EQ")</f>
        <v/>
      </c>
      <c r="AH41" s="122" t="str">
        <f>IF(AN$34="Sleeved Butt Joint","F.5.10.6b","")</f>
        <v/>
      </c>
      <c r="AI41" s="363" t="str">
        <f>IF(AN$34="Sleeved Butt Joint","Base tube no thicker than:","")</f>
        <v/>
      </c>
      <c r="AJ41" s="363"/>
      <c r="AK41" s="363"/>
      <c r="AL41" s="363"/>
      <c r="AM41" s="363"/>
      <c r="AN41" s="121" t="str">
        <f>IF(AN$34="Sleeved Butt Joint",AN40,"")</f>
        <v/>
      </c>
      <c r="AO41" s="128" t="str">
        <f>IF(AN$34="Sleeved Butt Joint",AO40,"")</f>
        <v/>
      </c>
      <c r="AP41" s="121" t="str">
        <f>IF(AN41="","","EQ")</f>
        <v/>
      </c>
      <c r="AR41" s="122" t="str">
        <f>IF(AX$34="Sleeved Butt Joint","F.5.10.6b","")</f>
        <v/>
      </c>
      <c r="AS41" s="363" t="str">
        <f>IF(AX$34="Sleeved Butt Joint","Base tube no thicker than:","")</f>
        <v/>
      </c>
      <c r="AT41" s="363"/>
      <c r="AU41" s="363"/>
      <c r="AV41" s="363"/>
      <c r="AW41" s="363"/>
      <c r="AX41" s="121" t="str">
        <f>IF(AX$34="Sleeved Butt Joint",AX40,"")</f>
        <v/>
      </c>
      <c r="AY41" s="128" t="str">
        <f>IF(AX$34="Sleeved Butt Joint",AY40,"")</f>
        <v/>
      </c>
      <c r="AZ41" s="121" t="str">
        <f>IF(AX41="","","EQ")</f>
        <v/>
      </c>
    </row>
    <row r="42" spans="1:53" ht="15" customHeight="1" x14ac:dyDescent="0.3"/>
    <row r="43" spans="1:53" x14ac:dyDescent="0.3">
      <c r="D43" s="386" t="s">
        <v>198</v>
      </c>
      <c r="E43" s="386"/>
      <c r="F43" s="386"/>
      <c r="G43" s="386"/>
      <c r="H43" s="386"/>
      <c r="I43" s="386"/>
      <c r="J43" s="386"/>
      <c r="K43" s="386"/>
      <c r="L43" s="386"/>
      <c r="N43" s="386" t="s">
        <v>198</v>
      </c>
      <c r="O43" s="386"/>
      <c r="P43" s="386"/>
      <c r="Q43" s="386"/>
      <c r="R43" s="386"/>
      <c r="S43" s="386"/>
      <c r="T43" s="386"/>
      <c r="U43" s="386"/>
      <c r="V43" s="386"/>
      <c r="X43" s="386" t="s">
        <v>198</v>
      </c>
      <c r="Y43" s="386"/>
      <c r="Z43" s="386"/>
      <c r="AA43" s="386"/>
      <c r="AB43" s="386"/>
      <c r="AC43" s="386"/>
      <c r="AD43" s="386"/>
      <c r="AE43" s="386"/>
      <c r="AF43" s="386"/>
      <c r="AH43" s="386" t="s">
        <v>198</v>
      </c>
      <c r="AI43" s="386"/>
      <c r="AJ43" s="386"/>
      <c r="AK43" s="386"/>
      <c r="AL43" s="386"/>
      <c r="AM43" s="386"/>
      <c r="AN43" s="386"/>
      <c r="AO43" s="386"/>
      <c r="AP43" s="386"/>
      <c r="AR43" s="386" t="s">
        <v>198</v>
      </c>
      <c r="AS43" s="386"/>
      <c r="AT43" s="386"/>
      <c r="AU43" s="386"/>
      <c r="AV43" s="386"/>
      <c r="AW43" s="386"/>
      <c r="AX43" s="386"/>
      <c r="AY43" s="386"/>
      <c r="AZ43" s="386"/>
    </row>
    <row r="44" spans="1:53" x14ac:dyDescent="0.3">
      <c r="D44" s="386" t="s">
        <v>199</v>
      </c>
      <c r="E44" s="386"/>
      <c r="F44" s="386"/>
      <c r="G44" s="386"/>
      <c r="H44" s="386"/>
      <c r="I44" s="386"/>
      <c r="J44" s="386"/>
      <c r="K44" s="386"/>
      <c r="L44" s="386"/>
      <c r="N44" s="386" t="s">
        <v>199</v>
      </c>
      <c r="O44" s="386"/>
      <c r="P44" s="386"/>
      <c r="Q44" s="386"/>
      <c r="R44" s="386"/>
      <c r="S44" s="386"/>
      <c r="T44" s="386"/>
      <c r="U44" s="386"/>
      <c r="V44" s="386"/>
      <c r="X44" s="386" t="s">
        <v>199</v>
      </c>
      <c r="Y44" s="386"/>
      <c r="Z44" s="386"/>
      <c r="AA44" s="386"/>
      <c r="AB44" s="386"/>
      <c r="AC44" s="386"/>
      <c r="AD44" s="386"/>
      <c r="AE44" s="386"/>
      <c r="AF44" s="386"/>
      <c r="AH44" s="386" t="s">
        <v>199</v>
      </c>
      <c r="AI44" s="386"/>
      <c r="AJ44" s="386"/>
      <c r="AK44" s="386"/>
      <c r="AL44" s="386"/>
      <c r="AM44" s="386"/>
      <c r="AN44" s="386"/>
      <c r="AO44" s="386"/>
      <c r="AP44" s="386"/>
      <c r="AR44" s="386" t="s">
        <v>199</v>
      </c>
      <c r="AS44" s="386"/>
      <c r="AT44" s="386"/>
      <c r="AU44" s="386"/>
      <c r="AV44" s="386"/>
      <c r="AW44" s="386"/>
      <c r="AX44" s="386"/>
      <c r="AY44" s="386"/>
      <c r="AZ44" s="386"/>
    </row>
    <row r="45" spans="1:53" x14ac:dyDescent="0.3">
      <c r="D45" s="386" t="s">
        <v>200</v>
      </c>
      <c r="E45" s="386"/>
      <c r="F45" s="386"/>
      <c r="G45" s="386"/>
      <c r="H45" s="386"/>
      <c r="I45" s="386"/>
      <c r="J45" s="386"/>
      <c r="K45" s="386"/>
      <c r="L45" s="386"/>
      <c r="N45" s="386" t="s">
        <v>200</v>
      </c>
      <c r="O45" s="386"/>
      <c r="P45" s="386"/>
      <c r="Q45" s="386"/>
      <c r="R45" s="386"/>
      <c r="S45" s="386"/>
      <c r="T45" s="386"/>
      <c r="U45" s="386"/>
      <c r="V45" s="386"/>
      <c r="X45" s="386" t="s">
        <v>200</v>
      </c>
      <c r="Y45" s="386"/>
      <c r="Z45" s="386"/>
      <c r="AA45" s="386"/>
      <c r="AB45" s="386"/>
      <c r="AC45" s="386"/>
      <c r="AD45" s="386"/>
      <c r="AE45" s="386"/>
      <c r="AF45" s="386"/>
      <c r="AH45" s="386" t="s">
        <v>200</v>
      </c>
      <c r="AI45" s="386"/>
      <c r="AJ45" s="386"/>
      <c r="AK45" s="386"/>
      <c r="AL45" s="386"/>
      <c r="AM45" s="386"/>
      <c r="AN45" s="386"/>
      <c r="AO45" s="386"/>
      <c r="AP45" s="386"/>
      <c r="AR45" s="386" t="s">
        <v>200</v>
      </c>
      <c r="AS45" s="386"/>
      <c r="AT45" s="386"/>
      <c r="AU45" s="386"/>
      <c r="AV45" s="386"/>
      <c r="AW45" s="386"/>
      <c r="AX45" s="386"/>
      <c r="AY45" s="386"/>
      <c r="AZ45" s="386"/>
    </row>
    <row r="46" spans="1:53" x14ac:dyDescent="0.3">
      <c r="D46" s="386" t="s">
        <v>83</v>
      </c>
      <c r="E46" s="386"/>
      <c r="F46" s="386"/>
      <c r="G46" s="386"/>
      <c r="H46" s="386"/>
      <c r="I46" s="386"/>
      <c r="J46" s="386"/>
      <c r="K46" s="386"/>
      <c r="L46" s="386"/>
      <c r="M46" s="386"/>
      <c r="N46" s="386" t="s">
        <v>83</v>
      </c>
      <c r="O46" s="386"/>
      <c r="P46" s="386"/>
      <c r="Q46" s="386"/>
      <c r="R46" s="386"/>
      <c r="S46" s="386"/>
      <c r="T46" s="386"/>
      <c r="U46" s="386"/>
      <c r="V46" s="386"/>
      <c r="W46" s="386"/>
      <c r="X46" s="386" t="s">
        <v>83</v>
      </c>
      <c r="Y46" s="386"/>
      <c r="Z46" s="386"/>
      <c r="AA46" s="386"/>
      <c r="AB46" s="386"/>
      <c r="AC46" s="386"/>
      <c r="AD46" s="386"/>
      <c r="AE46" s="386"/>
      <c r="AF46" s="386"/>
      <c r="AG46" s="386"/>
      <c r="AH46" s="386" t="s">
        <v>83</v>
      </c>
      <c r="AI46" s="386"/>
      <c r="AJ46" s="386"/>
      <c r="AK46" s="386"/>
      <c r="AL46" s="386"/>
      <c r="AM46" s="386"/>
      <c r="AN46" s="386"/>
      <c r="AO46" s="386"/>
      <c r="AP46" s="386"/>
      <c r="AQ46" s="386"/>
      <c r="AR46" s="386" t="s">
        <v>83</v>
      </c>
      <c r="AS46" s="386"/>
      <c r="AT46" s="386"/>
      <c r="AU46" s="386"/>
      <c r="AV46" s="386"/>
      <c r="AW46" s="386"/>
      <c r="AX46" s="386"/>
      <c r="AY46" s="386"/>
      <c r="AZ46" s="386"/>
      <c r="BA46" s="386"/>
    </row>
    <row r="48" spans="1:53" x14ac:dyDescent="0.3">
      <c r="D48" s="373" t="str">
        <f>IF(COUNTIF(L49:L52,"BLANK"),"BLANK",IF(COUNTIF(L49:L52,"REJECT"),"REJECT",IF(COUNTIF(L49:L52,"CHECK"),"CHECK","EQ")))</f>
        <v>EQ</v>
      </c>
      <c r="E48" s="373"/>
      <c r="F48" s="373"/>
      <c r="G48" s="373"/>
      <c r="H48" s="373"/>
      <c r="I48" s="373"/>
      <c r="J48" s="373"/>
      <c r="K48" s="373"/>
      <c r="L48" s="373"/>
      <c r="N48" s="373" t="str">
        <f>IF(COUNTIF(V49:V52,"BLANK"),"BLANK",IF(COUNTIF(V49:V52,"REJECT"),"REJECT",IF(COUNTIF(V49:V52,"CHECK"),"CHECK","EQ")))</f>
        <v>EQ</v>
      </c>
      <c r="O48" s="373"/>
      <c r="P48" s="373"/>
      <c r="Q48" s="373"/>
      <c r="R48" s="373"/>
      <c r="S48" s="373"/>
      <c r="T48" s="373"/>
      <c r="U48" s="373"/>
      <c r="V48" s="373"/>
      <c r="X48" s="373" t="str">
        <f>IF(COUNTIF(AF49:AF52,"BLANK"),"BLANK",IF(COUNTIF(AF49:AF52,"REJECT"),"REJECT",IF(COUNTIF(AF49:AF52,"CHECK"),"CHECK","EQ")))</f>
        <v>EQ</v>
      </c>
      <c r="Y48" s="373"/>
      <c r="Z48" s="373"/>
      <c r="AA48" s="373"/>
      <c r="AB48" s="373"/>
      <c r="AC48" s="373"/>
      <c r="AD48" s="373"/>
      <c r="AE48" s="373"/>
      <c r="AF48" s="373"/>
      <c r="AH48" s="373" t="str">
        <f>IF(COUNTIF(AP49:AP52,"BLANK"),"BLANK",IF(COUNTIF(AP49:AP52,"REJECT"),"REJECT",IF(COUNTIF(AP49:AP52,"CHECK"),"CHECK","EQ")))</f>
        <v>EQ</v>
      </c>
      <c r="AI48" s="373"/>
      <c r="AJ48" s="373"/>
      <c r="AK48" s="373"/>
      <c r="AL48" s="373"/>
      <c r="AM48" s="373"/>
      <c r="AN48" s="373"/>
      <c r="AO48" s="373"/>
      <c r="AP48" s="373"/>
      <c r="AR48" s="373" t="str">
        <f>IF(COUNTIF(AZ49:AZ52,"BLANK"),"BLANK",IF(COUNTIF(AZ49:AZ52,"REJECT"),"REJECT",IF(COUNTIF(AZ49:AZ52,"CHECK"),"CHECK","EQ")))</f>
        <v>EQ</v>
      </c>
      <c r="AS48" s="373"/>
      <c r="AT48" s="373"/>
      <c r="AU48" s="373"/>
      <c r="AV48" s="373"/>
      <c r="AW48" s="373"/>
      <c r="AX48" s="373"/>
      <c r="AY48" s="373"/>
      <c r="AZ48" s="373"/>
    </row>
    <row r="49" spans="1:52" x14ac:dyDescent="0.3">
      <c r="D49" s="122" t="s">
        <v>201</v>
      </c>
      <c r="E49" s="363" t="s">
        <v>86</v>
      </c>
      <c r="F49" s="363"/>
      <c r="G49" s="363"/>
      <c r="H49" s="363"/>
      <c r="I49" s="363"/>
      <c r="J49" s="134"/>
      <c r="K49" s="128" t="str">
        <f>IF($A$20="mm","mm","in")</f>
        <v>mm</v>
      </c>
      <c r="L49" s="121" t="str">
        <f>IF(AND(J$34="Select drop down:",J49=""),"N/A",IF(J49="","BLANK",IF(J$34="Sleeved Butt Joint",IF($A$20="mm",IF(J49&gt;=6,"EQ","REJECT"),IF(J49&gt;=0.25,"EQ","REJECT")),IF($A$20="mm",IF(J49&gt;=10,"EQ","REJECT"),IF(J49&gt;=0.375,"EQ","REJECT")))))</f>
        <v>N/A</v>
      </c>
      <c r="N49" s="122" t="s">
        <v>201</v>
      </c>
      <c r="O49" s="363" t="s">
        <v>86</v>
      </c>
      <c r="P49" s="363"/>
      <c r="Q49" s="363"/>
      <c r="R49" s="363"/>
      <c r="S49" s="363"/>
      <c r="T49" s="134"/>
      <c r="U49" s="128" t="str">
        <f>IF($A$20="mm","mm","in")</f>
        <v>mm</v>
      </c>
      <c r="V49" s="121" t="str">
        <f>IF(AND(T$34="Select drop down:",T49=""),"N/A",IF(T49="","BLANK",IF(T$34="Sleeved Butt Joint",IF($A$20="mm",IF(T49&gt;=6,"EQ","REJECT"),IF(T49&gt;=0.25,"EQ","REJECT")),IF($A$20="mm",IF(T49&gt;=10,"EQ","REJECT"),IF(T49&gt;=0.375,"EQ","REJECT")))))</f>
        <v>N/A</v>
      </c>
      <c r="X49" s="122" t="s">
        <v>201</v>
      </c>
      <c r="Y49" s="363" t="s">
        <v>86</v>
      </c>
      <c r="Z49" s="363"/>
      <c r="AA49" s="363"/>
      <c r="AB49" s="363"/>
      <c r="AC49" s="363"/>
      <c r="AD49" s="134"/>
      <c r="AE49" s="128" t="str">
        <f>IF($A$20="mm","mm","in")</f>
        <v>mm</v>
      </c>
      <c r="AF49" s="121" t="str">
        <f>IF(AND(AD$34="Select drop down:",AD49=""),"N/A",IF(AD49="","BLANK",IF(AD$34="Sleeved Butt Joint",IF($A$20="mm",IF(AD49&gt;=6,"EQ","REJECT"),IF(AD49&gt;=0.25,"EQ","REJECT")),IF($A$20="mm",IF(AD49&gt;=10,"EQ","REJECT"),IF(AD49&gt;=0.375,"EQ","REJECT")))))</f>
        <v>N/A</v>
      </c>
      <c r="AH49" s="122" t="s">
        <v>201</v>
      </c>
      <c r="AI49" s="363" t="s">
        <v>86</v>
      </c>
      <c r="AJ49" s="363"/>
      <c r="AK49" s="363"/>
      <c r="AL49" s="363"/>
      <c r="AM49" s="363"/>
      <c r="AN49" s="134"/>
      <c r="AO49" s="128" t="str">
        <f>IF($A$20="mm","mm","in")</f>
        <v>mm</v>
      </c>
      <c r="AP49" s="121" t="str">
        <f>IF(AND(AN$34="Select drop down:",AN49=""),"N/A",IF(AN49="","BLANK",IF(AN$34="Sleeved Butt Joint",IF($A$20="mm",IF(AN49&gt;=6,"EQ","REJECT"),IF(AN49&gt;=0.25,"EQ","REJECT")),IF($A$20="mm",IF(AN49&gt;=10,"EQ","REJECT"),IF(AN49&gt;=0.375,"EQ","REJECT")))))</f>
        <v>N/A</v>
      </c>
      <c r="AR49" s="122" t="s">
        <v>201</v>
      </c>
      <c r="AS49" s="363" t="s">
        <v>86</v>
      </c>
      <c r="AT49" s="363"/>
      <c r="AU49" s="363"/>
      <c r="AV49" s="363"/>
      <c r="AW49" s="363"/>
      <c r="AX49" s="134"/>
      <c r="AY49" s="128" t="str">
        <f>IF($A$20="mm","mm","in")</f>
        <v>mm</v>
      </c>
      <c r="AZ49" s="121" t="str">
        <f>IF(AND(AX$34="Select drop down:",AX49=""),"N/A",IF(AX49="","BLANK",IF(AX$34="Sleeved Butt Joint",IF($A$20="mm",IF(AX49&gt;=6,"EQ","REJECT"),IF(AX49&gt;=0.25,"EQ","REJECT")),IF($A$20="mm",IF(AX49&gt;=10,"EQ","REJECT"),IF(AX49&gt;=0.375,"EQ","REJECT")))))</f>
        <v>N/A</v>
      </c>
    </row>
    <row r="50" spans="1:52" x14ac:dyDescent="0.3">
      <c r="D50" s="122"/>
      <c r="E50" s="363" t="str">
        <f>IF(J$34="Sleeved Butt Joint","Distance to outside tube edge:","Distance to tube edge:")</f>
        <v>Distance to tube edge:</v>
      </c>
      <c r="F50" s="363"/>
      <c r="G50" s="363"/>
      <c r="H50" s="363"/>
      <c r="I50" s="385"/>
      <c r="J50" s="134"/>
      <c r="K50" s="128" t="str">
        <f>IF($A$20="mm","mm","in")</f>
        <v>mm</v>
      </c>
      <c r="L50" s="121" t="str">
        <f>IF(AND(J$34="Select drop down:",J50=""),"N/A",IF(J50="","BLANK",IF(J$34="Sleeved Butt Joint",IF($A$20="mm",IF(J50&gt;=9,"EQ","REJECT"),IF(J50&gt;=0.375,"EQ","REJECT")),IF($A$20="mm",IF(J50&gt;=15,"EQ","REJECT"),IF(J50&gt;=0.5625,"EQ","REJECT")))))</f>
        <v>N/A</v>
      </c>
      <c r="N50" s="122"/>
      <c r="O50" s="363" t="str">
        <f>IF(T$34="Sleeved Butt Joint","Distance to outside tube edge:","Distance to tube edge:")</f>
        <v>Distance to tube edge:</v>
      </c>
      <c r="P50" s="363"/>
      <c r="Q50" s="363"/>
      <c r="R50" s="363"/>
      <c r="S50" s="385"/>
      <c r="T50" s="134"/>
      <c r="U50" s="128" t="str">
        <f>IF($A$20="mm","mm","in")</f>
        <v>mm</v>
      </c>
      <c r="V50" s="121" t="str">
        <f>IF(AND(T$34="Select drop down:",T50=""),"N/A",IF(T50="","BLANK",IF(T$34="Sleeved Butt Joint",IF($A$20="mm",IF(T50&gt;=9,"EQ","REJECT"),IF(T50&gt;=0.375,"EQ","REJECT")),IF($A$20="mm",IF(T50&gt;=15,"EQ","REJECT"),IF(T50&gt;=0.5625,"EQ","REJECT")))))</f>
        <v>N/A</v>
      </c>
      <c r="X50" s="122"/>
      <c r="Y50" s="363" t="str">
        <f>IF(AD$34="Sleeved Butt Joint","Distance to outside tube edge:","Distance to tube edge:")</f>
        <v>Distance to tube edge:</v>
      </c>
      <c r="Z50" s="363"/>
      <c r="AA50" s="363"/>
      <c r="AB50" s="363"/>
      <c r="AC50" s="385"/>
      <c r="AD50" s="134"/>
      <c r="AE50" s="128" t="str">
        <f>IF($A$20="mm","mm","in")</f>
        <v>mm</v>
      </c>
      <c r="AF50" s="121" t="str">
        <f>IF(AND(AD$34="Select drop down:",AD50=""),"N/A",IF(AD50="","BLANK",IF(AD$34="Sleeved Butt Joint",IF($A$20="mm",IF(AD50&gt;=9,"EQ","REJECT"),IF(AD50&gt;=0.375,"EQ","REJECT")),IF($A$20="mm",IF(AD50&gt;=15,"EQ","REJECT"),IF(AD50&gt;=0.5625,"EQ","REJECT")))))</f>
        <v>N/A</v>
      </c>
      <c r="AH50" s="122"/>
      <c r="AI50" s="363" t="str">
        <f>IF(AN$34="Sleeved Butt Joint","Distance to outside tube edge:","Distance to tube edge:")</f>
        <v>Distance to tube edge:</v>
      </c>
      <c r="AJ50" s="363"/>
      <c r="AK50" s="363"/>
      <c r="AL50" s="363"/>
      <c r="AM50" s="385"/>
      <c r="AN50" s="134"/>
      <c r="AO50" s="128" t="str">
        <f>IF($A$20="mm","mm","in")</f>
        <v>mm</v>
      </c>
      <c r="AP50" s="121" t="str">
        <f>IF(AND(AN$34="Select drop down:",AN50=""),"N/A",IF(AN50="","BLANK",IF(AN$34="Sleeved Butt Joint",IF($A$20="mm",IF(AN50&gt;=9,"EQ","REJECT"),IF(AN50&gt;=0.375,"EQ","REJECT")),IF($A$20="mm",IF(AN50&gt;=15,"EQ","REJECT"),IF(AN50&gt;=0.5625,"EQ","REJECT")))))</f>
        <v>N/A</v>
      </c>
      <c r="AR50" s="122"/>
      <c r="AS50" s="363" t="str">
        <f>IF(AX$34="Sleeved Butt Joint","Distance to outside tube edge:","Distance to tube edge:")</f>
        <v>Distance to tube edge:</v>
      </c>
      <c r="AT50" s="363"/>
      <c r="AU50" s="363"/>
      <c r="AV50" s="363"/>
      <c r="AW50" s="385"/>
      <c r="AX50" s="134"/>
      <c r="AY50" s="128" t="str">
        <f>IF($A$20="mm","mm","in")</f>
        <v>mm</v>
      </c>
      <c r="AZ50" s="121" t="str">
        <f>IF(AND(AX$34="Select drop down:",AX50=""),"N/A",IF(AX50="","BLANK",IF(AX$34="Sleeved Butt Joint",IF($A$20="mm",IF(AX50&gt;=9,"EQ","REJECT"),IF(AX50&gt;=0.375,"EQ","REJECT")),IF($A$20="mm",IF(AX50&gt;=15,"EQ","REJECT"),IF(AX50&gt;=0.5625,"EQ","REJECT")))))</f>
        <v>N/A</v>
      </c>
    </row>
    <row r="51" spans="1:52" x14ac:dyDescent="0.3">
      <c r="D51" s="122"/>
      <c r="E51" s="363" t="str">
        <f>IF(J$34="Sleeved Butt Joint","Distance to inside tube edge:","Distance to tab edge:")</f>
        <v>Distance to tab edge:</v>
      </c>
      <c r="F51" s="363"/>
      <c r="G51" s="363"/>
      <c r="H51" s="363"/>
      <c r="I51" s="385"/>
      <c r="J51" s="130"/>
      <c r="K51" s="128" t="str">
        <f>IF($A$20="mm","mm","in")</f>
        <v>mm</v>
      </c>
      <c r="L51" s="121" t="str">
        <f>IF(AND(J$34="Select drop down:",J51=""),"N/A",IF(J51="","BLANK",IF(J$34="Sleeved Butt Joint",IF($A$20="mm",IF(J51&gt;=9,"EQ","REJECT"),IF(J51&gt;=0.375,"EQ","REJECT")),IF($A$20="mm",IF(J51&gt;=15,"EQ","REJECT"),IF(J51&gt;=0.5625,"EQ","REJECT")))))</f>
        <v>N/A</v>
      </c>
      <c r="N51" s="122"/>
      <c r="O51" s="363" t="str">
        <f>IF(T$34="Sleeved Butt Joint","Distance to inside tube edge:","Distance to tab edge:")</f>
        <v>Distance to tab edge:</v>
      </c>
      <c r="P51" s="363"/>
      <c r="Q51" s="363"/>
      <c r="R51" s="363"/>
      <c r="S51" s="385"/>
      <c r="T51" s="130"/>
      <c r="U51" s="128" t="str">
        <f>IF($A$20="mm","mm","in")</f>
        <v>mm</v>
      </c>
      <c r="V51" s="121" t="str">
        <f>IF(AND(T$34="Select drop down:",T51=""),"N/A",IF(T51="","BLANK",IF(T$34="Sleeved Butt Joint",IF($A$20="mm",IF(T51&gt;=9,"EQ","REJECT"),IF(T51&gt;=0.375,"EQ","REJECT")),IF($A$20="mm",IF(T51&gt;=15,"EQ","REJECT"),IF(T51&gt;=0.5625,"EQ","REJECT")))))</f>
        <v>N/A</v>
      </c>
      <c r="X51" s="122"/>
      <c r="Y51" s="363" t="str">
        <f>IF(AD$34="Sleeved Butt Joint","Distance to inside tube edge:","Distance to tab edge:")</f>
        <v>Distance to tab edge:</v>
      </c>
      <c r="Z51" s="363"/>
      <c r="AA51" s="363"/>
      <c r="AB51" s="363"/>
      <c r="AC51" s="385"/>
      <c r="AD51" s="130"/>
      <c r="AE51" s="128" t="str">
        <f>IF($A$20="mm","mm","in")</f>
        <v>mm</v>
      </c>
      <c r="AF51" s="121" t="str">
        <f>IF(AND(AD$34="Select drop down:",AD51=""),"N/A",IF(AD51="","BLANK",IF(AD$34="Sleeved Butt Joint",IF($A$20="mm",IF(AD51&gt;=9,"EQ","REJECT"),IF(AD51&gt;=0.375,"EQ","REJECT")),IF($A$20="mm",IF(AD51&gt;=15,"EQ","REJECT"),IF(AD51&gt;=0.5625,"EQ","REJECT")))))</f>
        <v>N/A</v>
      </c>
      <c r="AH51" s="122"/>
      <c r="AI51" s="363" t="str">
        <f>IF(AN$34="Sleeved Butt Joint","Distance to inside tube edge:","Distance to tab edge:")</f>
        <v>Distance to tab edge:</v>
      </c>
      <c r="AJ51" s="363"/>
      <c r="AK51" s="363"/>
      <c r="AL51" s="363"/>
      <c r="AM51" s="385"/>
      <c r="AN51" s="130"/>
      <c r="AO51" s="128" t="str">
        <f>IF($A$20="mm","mm","in")</f>
        <v>mm</v>
      </c>
      <c r="AP51" s="121" t="str">
        <f>IF(AND(AN$34="Select drop down:",AN51=""),"N/A",IF(AN51="","BLANK",IF(AN$34="Sleeved Butt Joint",IF($A$20="mm",IF(AN51&gt;=9,"EQ","REJECT"),IF(AN51&gt;=0.375,"EQ","REJECT")),IF($A$20="mm",IF(AN51&gt;=15,"EQ","REJECT"),IF(AN51&gt;=0.5625,"EQ","REJECT")))))</f>
        <v>N/A</v>
      </c>
      <c r="AR51" s="122"/>
      <c r="AS51" s="363" t="str">
        <f>IF(AX$34="Sleeved Butt Joint","Distance to inside tube edge:","Distance to tab edge:")</f>
        <v>Distance to tab edge:</v>
      </c>
      <c r="AT51" s="363"/>
      <c r="AU51" s="363"/>
      <c r="AV51" s="363"/>
      <c r="AW51" s="385"/>
      <c r="AX51" s="130"/>
      <c r="AY51" s="128" t="str">
        <f>IF($A$20="mm","mm","in")</f>
        <v>mm</v>
      </c>
      <c r="AZ51" s="121" t="str">
        <f>IF(AND(AX$34="Select drop down:",AX51=""),"N/A",IF(AX51="","BLANK",IF(AX$34="Sleeved Butt Joint",IF($A$20="mm",IF(AX51&gt;=9,"EQ","REJECT"),IF(AX51&gt;=0.375,"EQ","REJECT")),IF($A$20="mm",IF(AX51&gt;=15,"EQ","REJECT"),IF(AX51&gt;=0.5625,"EQ","REJECT")))))</f>
        <v>N/A</v>
      </c>
    </row>
    <row r="52" spans="1:52" x14ac:dyDescent="0.3">
      <c r="D52" s="128"/>
      <c r="E52" s="363" t="s">
        <v>85</v>
      </c>
      <c r="F52" s="363"/>
      <c r="G52" s="363"/>
      <c r="H52" s="363"/>
      <c r="I52" s="363"/>
      <c r="J52" s="121" t="str">
        <f>IF(OR(J49="",J50="",J51=""),"",MIN(J50,J51)/J49)</f>
        <v/>
      </c>
      <c r="K52" s="128"/>
      <c r="L52" s="121" t="str">
        <f>IF(J34="Select drop down:","N/A",IF(AND(NOT(J52=""),J52&gt;=1.5),"EQ",IF(OR(J49="",J50="",J51=""),"BLANK","REJECT")))</f>
        <v>N/A</v>
      </c>
      <c r="N52" s="128"/>
      <c r="O52" s="363" t="s">
        <v>85</v>
      </c>
      <c r="P52" s="363"/>
      <c r="Q52" s="363"/>
      <c r="R52" s="363"/>
      <c r="S52" s="363"/>
      <c r="T52" s="121" t="str">
        <f>IF(OR(T49="",T50="",T51=""),"",MIN(T50,T51)/T49)</f>
        <v/>
      </c>
      <c r="U52" s="128"/>
      <c r="V52" s="121" t="str">
        <f>IF(T34="Select drop down:","N/A",IF(AND(NOT(T52=""),T52&gt;=1.5),"EQ",IF(OR(T49="",T50="",T51=""),"BLANK","REJECT")))</f>
        <v>N/A</v>
      </c>
      <c r="X52" s="128"/>
      <c r="Y52" s="363" t="s">
        <v>85</v>
      </c>
      <c r="Z52" s="363"/>
      <c r="AA52" s="363"/>
      <c r="AB52" s="363"/>
      <c r="AC52" s="363"/>
      <c r="AD52" s="121" t="str">
        <f>IF(OR(AD49="",AD50="",AD51=""),"",MIN(AD50,AD51)/AD49)</f>
        <v/>
      </c>
      <c r="AE52" s="128"/>
      <c r="AF52" s="121" t="str">
        <f>IF(AD34="Select drop down:","N/A",IF(AND(NOT(AD52=""),AD52&gt;=1.5),"EQ",IF(OR(AD49="",AD50="",AD51=""),"BLANK","REJECT")))</f>
        <v>N/A</v>
      </c>
      <c r="AH52" s="128"/>
      <c r="AI52" s="363" t="s">
        <v>85</v>
      </c>
      <c r="AJ52" s="363"/>
      <c r="AK52" s="363"/>
      <c r="AL52" s="363"/>
      <c r="AM52" s="363"/>
      <c r="AN52" s="121" t="str">
        <f>IF(OR(AN49="",AN50="",AN51=""),"",MIN(AN50,AN51)/AN49)</f>
        <v/>
      </c>
      <c r="AO52" s="128"/>
      <c r="AP52" s="121" t="str">
        <f>IF(AN34="Select drop down:","N/A",IF(AND(NOT(AN52=""),AN52&gt;=1.5),"EQ",IF(OR(AN49="",AN50="",AN51=""),"BLANK","REJECT")))</f>
        <v>N/A</v>
      </c>
      <c r="AR52" s="128"/>
      <c r="AS52" s="363" t="s">
        <v>85</v>
      </c>
      <c r="AT52" s="363"/>
      <c r="AU52" s="363"/>
      <c r="AV52" s="363"/>
      <c r="AW52" s="363"/>
      <c r="AX52" s="121" t="str">
        <f>IF(OR(AX49="",AX50="",AX51=""),"",MIN(AX50,AX51)/AX49)</f>
        <v/>
      </c>
      <c r="AY52" s="128"/>
      <c r="AZ52" s="121" t="str">
        <f>IF(AX34="Select drop down:","N/A",IF(AND(NOT(AX52=""),AX52&gt;=1.5),"EQ",IF(OR(AX49="",AX50="",AX51=""),"BLANK","REJECT")))</f>
        <v>N/A</v>
      </c>
    </row>
    <row r="56" spans="1:52" x14ac:dyDescent="0.3">
      <c r="A56" s="137"/>
      <c r="B56" s="137"/>
      <c r="C56" s="137"/>
    </row>
  </sheetData>
  <sheetProtection algorithmName="SHA-512" hashValue="/YmCrQb+YFMJUi6tz3MCM8p1wBXYviii728cTXKORycP1VECUTmdjUeMfq7NxHuS2bICGhJ9UaIYfXMtMnYlyg==" saltValue="CXLx1DAoQnHXy8fuodBlmQ==" spinCount="100000" sheet="1" scenarios="1"/>
  <protectedRanges>
    <protectedRange sqref="A4" name="Sheet Control"/>
    <protectedRange sqref="AX34 AX39:AX40 AX49:AX51" name="Bolted 5"/>
    <protectedRange sqref="AN34 AN39:AN40 AN49:AN51" name="Bolted 4"/>
    <protectedRange sqref="J34 J39:J40 J49:J51" name="Bolted 1"/>
    <protectedRange sqref="T34 T39:T40 T49:T51" name="Bolted 2"/>
    <protectedRange sqref="AD34 AD39:AD40 AD49:AD51" name="Bolted 3"/>
  </protectedRanges>
  <mergeCells count="117">
    <mergeCell ref="N13:V14"/>
    <mergeCell ref="X13:AF14"/>
    <mergeCell ref="AH13:AP14"/>
    <mergeCell ref="AR13:AZ14"/>
    <mergeCell ref="X15:AF16"/>
    <mergeCell ref="A20:C21"/>
    <mergeCell ref="A2:C2"/>
    <mergeCell ref="A3:C3"/>
    <mergeCell ref="A4:C4"/>
    <mergeCell ref="A5:C5"/>
    <mergeCell ref="A6:C19"/>
    <mergeCell ref="D13:L14"/>
    <mergeCell ref="AR30:AS31"/>
    <mergeCell ref="AT30:AZ31"/>
    <mergeCell ref="A22:C30"/>
    <mergeCell ref="D29:L29"/>
    <mergeCell ref="N29:V29"/>
    <mergeCell ref="X29:AF29"/>
    <mergeCell ref="AH29:AP29"/>
    <mergeCell ref="AR29:AZ29"/>
    <mergeCell ref="D30:E31"/>
    <mergeCell ref="F30:L31"/>
    <mergeCell ref="N30:O31"/>
    <mergeCell ref="P30:V31"/>
    <mergeCell ref="A32:C32"/>
    <mergeCell ref="A33:C33"/>
    <mergeCell ref="D33:L33"/>
    <mergeCell ref="N33:V33"/>
    <mergeCell ref="X33:AF33"/>
    <mergeCell ref="AH33:AP33"/>
    <mergeCell ref="X30:Y31"/>
    <mergeCell ref="Z30:AF31"/>
    <mergeCell ref="AH30:AI31"/>
    <mergeCell ref="AJ30:AP31"/>
    <mergeCell ref="AR33:AZ33"/>
    <mergeCell ref="A34:C34"/>
    <mergeCell ref="E34:I34"/>
    <mergeCell ref="J34:K34"/>
    <mergeCell ref="O34:S34"/>
    <mergeCell ref="T34:U34"/>
    <mergeCell ref="Y34:AC34"/>
    <mergeCell ref="AD34:AE34"/>
    <mergeCell ref="AI34:AM34"/>
    <mergeCell ref="AN34:AO34"/>
    <mergeCell ref="A38:C38"/>
    <mergeCell ref="D38:L38"/>
    <mergeCell ref="N38:V38"/>
    <mergeCell ref="X38:AF38"/>
    <mergeCell ref="AH38:AP38"/>
    <mergeCell ref="AR38:AZ38"/>
    <mergeCell ref="AS34:AW34"/>
    <mergeCell ref="AX34:AY34"/>
    <mergeCell ref="D36:L36"/>
    <mergeCell ref="N36:V36"/>
    <mergeCell ref="X36:AF36"/>
    <mergeCell ref="AH36:AP36"/>
    <mergeCell ref="AR36:AZ36"/>
    <mergeCell ref="E39:I39"/>
    <mergeCell ref="O39:S39"/>
    <mergeCell ref="Y39:AC39"/>
    <mergeCell ref="AI39:AM39"/>
    <mergeCell ref="AS39:AW39"/>
    <mergeCell ref="E40:I40"/>
    <mergeCell ref="O40:S40"/>
    <mergeCell ref="Y40:AC40"/>
    <mergeCell ref="AI40:AM40"/>
    <mergeCell ref="AS40:AW40"/>
    <mergeCell ref="E41:I41"/>
    <mergeCell ref="O41:S41"/>
    <mergeCell ref="Y41:AC41"/>
    <mergeCell ref="AI41:AM41"/>
    <mergeCell ref="AS41:AW41"/>
    <mergeCell ref="D43:L43"/>
    <mergeCell ref="N43:V43"/>
    <mergeCell ref="X43:AF43"/>
    <mergeCell ref="AH43:AP43"/>
    <mergeCell ref="AR43:AZ43"/>
    <mergeCell ref="D44:L44"/>
    <mergeCell ref="N44:V44"/>
    <mergeCell ref="X44:AF44"/>
    <mergeCell ref="AH44:AP44"/>
    <mergeCell ref="AR44:AZ44"/>
    <mergeCell ref="D45:L45"/>
    <mergeCell ref="N45:V45"/>
    <mergeCell ref="X45:AF45"/>
    <mergeCell ref="AH45:AP45"/>
    <mergeCell ref="AR45:AZ45"/>
    <mergeCell ref="D46:M46"/>
    <mergeCell ref="N46:W46"/>
    <mergeCell ref="X46:AG46"/>
    <mergeCell ref="AH46:AQ46"/>
    <mergeCell ref="AR46:BA46"/>
    <mergeCell ref="D48:L48"/>
    <mergeCell ref="N48:V48"/>
    <mergeCell ref="X48:AF48"/>
    <mergeCell ref="AH48:AP48"/>
    <mergeCell ref="AR48:AZ48"/>
    <mergeCell ref="E49:I49"/>
    <mergeCell ref="O49:S49"/>
    <mergeCell ref="Y49:AC49"/>
    <mergeCell ref="AI49:AM49"/>
    <mergeCell ref="AS49:AW49"/>
    <mergeCell ref="E50:I50"/>
    <mergeCell ref="O50:S50"/>
    <mergeCell ref="Y50:AC50"/>
    <mergeCell ref="AI50:AM50"/>
    <mergeCell ref="AS50:AW50"/>
    <mergeCell ref="E51:I51"/>
    <mergeCell ref="O51:S51"/>
    <mergeCell ref="Y51:AC51"/>
    <mergeCell ref="AI51:AM51"/>
    <mergeCell ref="AS51:AW51"/>
    <mergeCell ref="E52:I52"/>
    <mergeCell ref="O52:S52"/>
    <mergeCell ref="Y52:AC52"/>
    <mergeCell ref="AI52:AM52"/>
    <mergeCell ref="AS52:AW52"/>
  </mergeCells>
  <conditionalFormatting sqref="A1:XFD1048576">
    <cfRule type="beginsWith" dxfId="2" priority="1" operator="beginsWith" text="REJECT">
      <formula>LEFT(A1,LEN("REJECT"))="REJECT"</formula>
    </cfRule>
    <cfRule type="beginsWith" dxfId="1" priority="2" operator="beginsWith" text="EQ">
      <formula>LEFT(A1,LEN("EQ"))="EQ"</formula>
    </cfRule>
    <cfRule type="beginsWith" dxfId="0" priority="3" operator="beginsWith" text="BLANK">
      <formula>LEFT(A1,LEN("BLANK"))="BLANK"</formula>
    </cfRule>
  </conditionalFormatting>
  <dataValidations count="3">
    <dataValidation type="list" allowBlank="1" showInputMessage="1" showErrorMessage="1" sqref="A4:C4" xr:uid="{8C409730-A5C3-410A-A7C8-9C02A0092C1D}">
      <formula1>"Select Drop Down, Yes, No"</formula1>
    </dataValidation>
    <dataValidation type="list" allowBlank="1" showInputMessage="1" showErrorMessage="1" sqref="J34:K34 T34:U34 AD34:AE34 AN34:AO34 AX34:AY34" xr:uid="{75E1F473-5504-4D70-A55D-C68F4BCBFD42}">
      <formula1>"Select drop down:, Double Lug Joint, Sleeved Butt Joint"</formula1>
    </dataValidation>
    <dataValidation type="list" allowBlank="1" showInputMessage="1" showErrorMessage="1" sqref="J38:K38 T38:U38 AD38:AE38 AN38:AO38 AX38:AY38" xr:uid="{6DE12ECC-3F65-4B3B-ABE3-A5410C0E2D85}">
      <formula1>"Select drop down:, No rear wing., All at nodes., Away from MHB."</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F.3.1-4 Tube Chassis</vt:lpstr>
      <vt:lpstr>F.10-11 EV Accumulator</vt:lpstr>
      <vt:lpstr>F.8.4 Impact Attenuator</vt:lpstr>
      <vt:lpstr>F.3.3, F.4, F.8.4 Materials</vt:lpstr>
      <vt:lpstr>F.3.4.3 Welded Inserts</vt:lpstr>
      <vt:lpstr>F.5.10 Bolted 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skitter</dc:creator>
  <cp:lastModifiedBy>Calixthe</cp:lastModifiedBy>
  <cp:lastPrinted>2018-07-31T14:49:31Z</cp:lastPrinted>
  <dcterms:created xsi:type="dcterms:W3CDTF">2018-07-25T19:50:44Z</dcterms:created>
  <dcterms:modified xsi:type="dcterms:W3CDTF">2019-12-02T22:04:49Z</dcterms:modified>
</cp:coreProperties>
</file>