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Calixthe\Desktop\EPSA\STUF-2020\FR_Frame_Body\FR_A0100 (Frame)\Frame_SES\"/>
    </mc:Choice>
  </mc:AlternateContent>
  <xr:revisionPtr revIDLastSave="0" documentId="13_ncr:1_{01F9A3A4-9C2B-454D-8CD2-5C7604A53FA6}" xr6:coauthVersionLast="41"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5" i="1"/>
  <c r="G116" i="1" s="1"/>
  <c r="E115" i="1"/>
  <c r="G114" i="1"/>
  <c r="H113" i="1"/>
  <c r="F113" i="1"/>
  <c r="E113" i="1"/>
  <c r="H112" i="1"/>
  <c r="F112" i="1"/>
  <c r="G117" i="1" l="1"/>
  <c r="AK94" i="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<sst xmlns="http://schemas.openxmlformats.org/spreadsheetml/2006/main" count="2076" uniqueCount="826">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</sst>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3" fillId="6" borderId="0" xfId="0" applyFont="1" applyFill="1" applyBorder="1" applyAlignment="1" applyProtection="1">
      <alignment horizontal="right" vertical="center"/>
    </xf>
    <xf numFmtId="0" fontId="5" fillId="6" borderId="0" xfId="0" applyFont="1" applyFill="1" applyAlignment="1" applyProtection="1">
      <alignment horizontal="center" vertical="center"/>
    </xf>
    <xf numFmtId="0" fontId="3" fillId="6" borderId="3" xfId="0" applyFont="1" applyFill="1" applyBorder="1" applyAlignment="1" applyProtection="1">
      <alignment horizontal="center" vertical="center"/>
    </xf>
    <xf numFmtId="0" fontId="0" fillId="0" borderId="5" xfId="0" applyBorder="1" applyAlignment="1" applyProtection="1">
      <alignment horizontal="center" vertical="center"/>
    </xf>
    <xf numFmtId="0" fontId="0" fillId="0" borderId="6" xfId="0" applyBorder="1" applyAlignment="1" applyProtection="1">
      <alignment horizontal="center" vertical="center"/>
    </xf>
    <xf numFmtId="0" fontId="4" fillId="6" borderId="0" xfId="0" applyFont="1" applyFill="1" applyAlignment="1" applyProtection="1">
      <alignment horizontal="center" vertical="center"/>
    </xf>
    <xf numFmtId="0" fontId="0" fillId="0" borderId="0" xfId="0"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5" fillId="6" borderId="0" xfId="0" applyFont="1" applyFill="1" applyBorder="1" applyAlignment="1" applyProtection="1">
      <alignment horizontal="center" vertical="center"/>
    </xf>
    <xf numFmtId="0" fontId="3" fillId="6" borderId="1" xfId="0" applyFont="1" applyFill="1" applyBorder="1" applyAlignment="1" applyProtection="1">
      <alignment horizontal="right" vertical="center"/>
    </xf>
    <xf numFmtId="0" fontId="3" fillId="6" borderId="0" xfId="0" applyFont="1" applyFill="1" applyBorder="1" applyAlignment="1" applyProtection="1">
      <alignment horizontal="left" vertical="center"/>
    </xf>
    <xf numFmtId="0" fontId="3" fillId="6" borderId="0" xfId="0" applyFont="1" applyFill="1" applyBorder="1" applyAlignment="1" applyProtection="1">
      <alignment horizontal="left" vertical="center" wrapText="1"/>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center" vertical="center" wrapText="1"/>
    </xf>
    <xf numFmtId="0" fontId="3" fillId="6" borderId="5" xfId="0" applyFont="1" applyFill="1" applyBorder="1" applyAlignment="1" applyProtection="1">
      <alignment horizontal="center" vertical="center"/>
    </xf>
    <xf numFmtId="0" fontId="3" fillId="6" borderId="0" xfId="0" applyFont="1" applyFill="1" applyAlignment="1" applyProtection="1">
      <alignment horizontal="center" vertical="center"/>
    </xf>
    <xf numFmtId="0" fontId="3" fillId="6" borderId="0" xfId="0" applyFont="1" applyFill="1" applyAlignment="1" applyProtection="1">
      <alignment horizontal="left" vertical="center"/>
    </xf>
    <xf numFmtId="0" fontId="5" fillId="6" borderId="2" xfId="0" applyFont="1" applyFill="1" applyBorder="1" applyAlignment="1" applyProtection="1">
      <alignment horizontal="center" vertical="center"/>
    </xf>
    <xf numFmtId="0" fontId="1" fillId="8" borderId="0" xfId="0" applyFont="1" applyFill="1" applyBorder="1" applyAlignment="1" applyProtection="1">
      <alignment horizontal="left" vertical="center" wrapText="1"/>
    </xf>
    <xf numFmtId="0" fontId="3" fillId="7" borderId="0" xfId="0" applyFont="1" applyFill="1" applyBorder="1" applyAlignment="1" applyProtection="1">
      <alignment horizontal="center" vertical="center"/>
    </xf>
    <xf numFmtId="0" fontId="16" fillId="6" borderId="0" xfId="0" quotePrefix="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4"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3" fillId="6" borderId="4"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8"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49" fontId="3" fillId="6" borderId="2" xfId="0" applyNumberFormat="1"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11" fontId="3" fillId="6" borderId="0" xfId="0" applyNumberFormat="1" applyFont="1" applyFill="1" applyAlignment="1" applyProtection="1">
      <alignment horizontal="center" vertical="center"/>
    </xf>
    <xf numFmtId="11" fontId="3" fillId="7" borderId="0" xfId="0" applyNumberFormat="1" applyFont="1" applyFill="1" applyAlignment="1" applyProtection="1">
      <alignment horizontal="center" vertical="center"/>
    </xf>
    <xf numFmtId="0" fontId="5" fillId="6" borderId="0" xfId="0" applyFont="1" applyFill="1" applyAlignment="1" applyProtection="1">
      <alignment horizontal="left" vertic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11" fontId="3" fillId="6" borderId="14" xfId="0" applyNumberFormat="1" applyFont="1" applyFill="1" applyBorder="1" applyAlignment="1" applyProtection="1">
      <alignment horizontal="center" vertical="center"/>
    </xf>
    <xf numFmtId="11" fontId="3" fillId="7" borderId="14" xfId="0" applyNumberFormat="1" applyFont="1" applyFill="1" applyBorder="1" applyAlignment="1" applyProtection="1">
      <alignment horizontal="center" vertical="center"/>
    </xf>
    <xf numFmtId="0" fontId="0" fillId="6" borderId="0" xfId="0"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0" fontId="2" fillId="4" borderId="0" xfId="0" applyFont="1" applyFill="1" applyAlignment="1" applyProtection="1">
      <alignment horizontal="left" vertical="center" wrapText="1"/>
    </xf>
    <xf numFmtId="0" fontId="2" fillId="4" borderId="0" xfId="0" applyFont="1" applyFill="1" applyAlignment="1" applyProtection="1">
      <alignment horizontal="center"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3" fillId="6" borderId="26"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4" fillId="6" borderId="0" xfId="0" applyFont="1" applyFill="1" applyAlignment="1" applyProtection="1">
      <alignment horizontal="lef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0" xfId="0" applyFill="1" applyAlignment="1">
      <alignment horizontal="center" vertical="center"/>
    </xf>
    <xf numFmtId="0" fontId="0" fillId="6" borderId="0" xfId="0" applyFill="1" applyAlignment="1">
      <alignment horizontal="left" vertical="top" wrapText="1"/>
    </xf>
    <xf numFmtId="0" fontId="12" fillId="6" borderId="6" xfId="0" applyFont="1" applyFill="1" applyBorder="1" applyAlignment="1">
      <alignment horizontal="center"/>
    </xf>
    <xf numFmtId="0" fontId="17" fillId="4" borderId="0" xfId="0" applyFont="1" applyFill="1" applyAlignment="1">
      <alignment horizontal="center"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17" fillId="4" borderId="0" xfId="0" applyFont="1" applyFill="1" applyAlignment="1" applyProtection="1">
      <alignment horizontal="center" wrapText="1"/>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7" fillId="4" borderId="0" xfId="0" applyFont="1" applyFill="1" applyAlignment="1">
      <alignment horizontal="center"/>
    </xf>
    <xf numFmtId="0" fontId="17" fillId="4" borderId="0" xfId="0" applyFont="1" applyFill="1" applyAlignment="1" applyProtection="1">
      <alignment horizontal="center"/>
      <protection locked="0"/>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12" fillId="6" borderId="0" xfId="0" applyFont="1" applyFill="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3" fillId="7" borderId="0" xfId="0" applyFont="1" applyFill="1" applyAlignment="1" applyProtection="1">
      <alignment horizontal="center"/>
    </xf>
    <xf numFmtId="0" fontId="5" fillId="6" borderId="0" xfId="0" applyFont="1" applyFill="1"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4" fillId="6" borderId="0" xfId="0" applyFont="1" applyFill="1" applyAlignment="1" applyProtection="1">
      <alignment horizontal="center" wrapText="1"/>
    </xf>
    <xf numFmtId="0" fontId="0" fillId="0" borderId="0" xfId="0" applyAlignment="1" applyProtection="1">
      <alignment horizontal="center"/>
    </xf>
    <xf numFmtId="0" fontId="3" fillId="6" borderId="0" xfId="0" applyFont="1" applyFill="1" applyAlignment="1" applyProtection="1">
      <alignment horizontal="right"/>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0" fillId="6" borderId="0" xfId="0" applyFill="1" applyAlignment="1" applyProtection="1">
      <alignment horizontal="left" vertical="top" wrapText="1"/>
    </xf>
    <xf numFmtId="0" fontId="0" fillId="6" borderId="0" xfId="0" applyFill="1" applyAlignment="1" applyProtection="1">
      <alignment horizontal="right"/>
    </xf>
    <xf numFmtId="0" fontId="12" fillId="6" borderId="0" xfId="0" applyFont="1" applyFill="1" applyAlignment="1" applyProtection="1">
      <alignment horizontal="left"/>
    </xf>
    <xf numFmtId="0" fontId="12" fillId="6" borderId="6" xfId="0" applyFont="1" applyFill="1" applyBorder="1" applyAlignment="1" applyProtection="1">
      <alignment horizontal="center"/>
    </xf>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0" fillId="6" borderId="0" xfId="0" applyFill="1" applyProtection="1"/>
    <xf numFmtId="0" fontId="3" fillId="6" borderId="1" xfId="0" applyFont="1" applyFill="1" applyBorder="1" applyAlignment="1" applyProtection="1">
      <alignment horizontal="right"/>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AM107" zoomScaleNormal="100" workbookViewId="0">
      <selection activeCell="CQ76" sqref="CQ76"/>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82"/>
      <c r="D1" s="282"/>
      <c r="E1" s="282"/>
      <c r="F1" s="282"/>
      <c r="G1" s="282"/>
      <c r="H1" s="282"/>
      <c r="I1" s="282"/>
      <c r="J1" s="282"/>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303" t="s">
        <v>815</v>
      </c>
      <c r="CX1" s="303"/>
      <c r="CY1" s="303"/>
      <c r="CZ1" s="303"/>
      <c r="DA1" s="303"/>
      <c r="DB1" s="303"/>
      <c r="DC1" s="303"/>
      <c r="DD1" s="303"/>
      <c r="DE1" s="303"/>
      <c r="DF1" s="303"/>
      <c r="DG1" s="168"/>
      <c r="DH1" s="268" t="s">
        <v>94</v>
      </c>
      <c r="DI1" s="268"/>
      <c r="DJ1" s="268"/>
      <c r="DK1" s="268"/>
      <c r="DL1" s="268"/>
      <c r="DM1" s="268"/>
      <c r="DN1" s="268"/>
      <c r="DO1" s="268"/>
      <c r="DP1" s="268"/>
      <c r="DQ1" s="268"/>
      <c r="DR1" s="268"/>
      <c r="DS1" s="268"/>
      <c r="DT1" s="268"/>
      <c r="DU1" s="268"/>
      <c r="DV1" s="268"/>
      <c r="DW1" s="268"/>
      <c r="DX1" s="268"/>
      <c r="DY1" s="268"/>
      <c r="DZ1" s="268"/>
      <c r="EA1" s="268"/>
      <c r="EB1" s="268"/>
      <c r="EC1" s="268"/>
      <c r="ED1" s="268"/>
      <c r="EE1" s="268" t="s">
        <v>104</v>
      </c>
      <c r="EF1" s="268"/>
      <c r="EG1" s="268"/>
      <c r="EH1" s="268"/>
      <c r="EI1" s="268"/>
      <c r="EJ1" s="268"/>
      <c r="EK1" s="268"/>
      <c r="EL1" s="268"/>
      <c r="EM1" s="268" t="s">
        <v>152</v>
      </c>
      <c r="EN1" s="268"/>
      <c r="EO1" s="268"/>
      <c r="EP1" s="268"/>
      <c r="EQ1" s="268"/>
      <c r="ER1" s="268"/>
      <c r="ES1" s="268"/>
      <c r="EU1" s="268" t="s">
        <v>105</v>
      </c>
      <c r="EV1" s="241"/>
      <c r="EW1" s="241"/>
      <c r="EX1" s="241"/>
      <c r="EY1" s="241"/>
      <c r="EZ1" s="241"/>
      <c r="FA1" s="241"/>
      <c r="FB1" s="241"/>
      <c r="FC1" s="241"/>
      <c r="FD1" s="241"/>
      <c r="FE1" s="241"/>
      <c r="FF1" s="241"/>
      <c r="FG1" s="241"/>
      <c r="FH1" s="241"/>
      <c r="FI1" s="241"/>
      <c r="FJ1" s="268" t="s">
        <v>106</v>
      </c>
      <c r="FK1" s="268"/>
      <c r="FL1" s="268"/>
      <c r="FM1" s="268"/>
      <c r="FN1" s="268"/>
      <c r="FO1" s="268"/>
      <c r="FP1" s="268"/>
      <c r="FQ1" s="268"/>
    </row>
    <row r="2" spans="1:173" ht="15.75" customHeight="1" x14ac:dyDescent="0.3">
      <c r="B2" s="164" t="s">
        <v>5</v>
      </c>
      <c r="C2" s="282"/>
      <c r="D2" s="282"/>
      <c r="E2" s="282"/>
      <c r="F2" s="282"/>
      <c r="G2" s="282"/>
      <c r="H2" s="283"/>
      <c r="I2" s="283"/>
      <c r="J2" s="282"/>
      <c r="K2" s="163" t="str">
        <f>IF(C2="","BLANK","EQ")</f>
        <v>BLANK</v>
      </c>
      <c r="L2" s="3"/>
      <c r="M2" s="241"/>
      <c r="N2" s="241"/>
      <c r="O2" s="241"/>
      <c r="P2" s="241"/>
      <c r="Q2" s="241"/>
      <c r="R2" s="241"/>
      <c r="S2" s="241"/>
      <c r="T2" s="241"/>
      <c r="U2" s="241"/>
      <c r="V2" s="241"/>
      <c r="W2" s="241"/>
      <c r="X2" s="241"/>
      <c r="Y2" s="241"/>
      <c r="Z2" s="241"/>
      <c r="AA2" s="241"/>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303"/>
      <c r="CX2" s="303"/>
      <c r="CY2" s="303"/>
      <c r="CZ2" s="303"/>
      <c r="DA2" s="303"/>
      <c r="DB2" s="303"/>
      <c r="DC2" s="303"/>
      <c r="DD2" s="303"/>
      <c r="DE2" s="303"/>
      <c r="DF2" s="303"/>
      <c r="DG2" s="168"/>
      <c r="DH2" s="268"/>
      <c r="DI2" s="268"/>
      <c r="DJ2" s="268"/>
      <c r="DK2" s="268"/>
      <c r="DL2" s="268"/>
      <c r="DM2" s="268"/>
      <c r="DN2" s="268"/>
      <c r="DO2" s="268"/>
      <c r="DP2" s="268"/>
      <c r="DQ2" s="268"/>
      <c r="DR2" s="268"/>
      <c r="DS2" s="268"/>
      <c r="DT2" s="268"/>
      <c r="DU2" s="268"/>
      <c r="DV2" s="268"/>
      <c r="DW2" s="268"/>
      <c r="DX2" s="268"/>
      <c r="DY2" s="268"/>
      <c r="DZ2" s="268"/>
      <c r="EA2" s="268"/>
      <c r="EB2" s="268"/>
      <c r="EC2" s="268"/>
      <c r="ED2" s="268"/>
      <c r="EE2" s="268"/>
      <c r="EF2" s="268"/>
      <c r="EG2" s="268"/>
      <c r="EH2" s="268"/>
      <c r="EI2" s="268"/>
      <c r="EJ2" s="268"/>
      <c r="EK2" s="268"/>
      <c r="EL2" s="268"/>
      <c r="EM2" s="268"/>
      <c r="EN2" s="268"/>
      <c r="EO2" s="268"/>
      <c r="EP2" s="268"/>
      <c r="EQ2" s="268"/>
      <c r="ER2" s="268"/>
      <c r="ES2" s="268"/>
      <c r="EU2" s="241"/>
      <c r="EV2" s="241"/>
      <c r="EW2" s="241"/>
      <c r="EX2" s="241"/>
      <c r="EY2" s="241"/>
      <c r="EZ2" s="241"/>
      <c r="FA2" s="241"/>
      <c r="FB2" s="241"/>
      <c r="FC2" s="241"/>
      <c r="FD2" s="241"/>
      <c r="FE2" s="241"/>
      <c r="FF2" s="241"/>
      <c r="FG2" s="241"/>
      <c r="FH2" s="241"/>
      <c r="FI2" s="241"/>
      <c r="FJ2" s="268"/>
      <c r="FK2" s="268"/>
      <c r="FL2" s="268"/>
      <c r="FM2" s="268"/>
      <c r="FN2" s="268"/>
      <c r="FO2" s="268"/>
      <c r="FP2" s="268"/>
      <c r="FQ2" s="268"/>
    </row>
    <row r="3" spans="1:173" ht="15.75" customHeight="1" x14ac:dyDescent="0.3">
      <c r="B3" s="164" t="s">
        <v>110</v>
      </c>
      <c r="C3" s="19"/>
      <c r="D3" s="285" t="s">
        <v>170</v>
      </c>
      <c r="E3" s="286"/>
      <c r="F3" s="287" t="s">
        <v>171</v>
      </c>
      <c r="G3" s="288"/>
      <c r="H3" s="282" t="s">
        <v>172</v>
      </c>
      <c r="I3" s="282"/>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303"/>
      <c r="CX3" s="303"/>
      <c r="CY3" s="303"/>
      <c r="CZ3" s="303"/>
      <c r="DA3" s="303"/>
      <c r="DB3" s="303"/>
      <c r="DC3" s="303"/>
      <c r="DD3" s="303"/>
      <c r="DE3" s="303"/>
      <c r="DF3" s="303"/>
      <c r="DG3" s="168"/>
    </row>
    <row r="4" spans="1:173" ht="15.75" customHeight="1" x14ac:dyDescent="0.3">
      <c r="B4" s="164" t="s">
        <v>109</v>
      </c>
      <c r="C4" s="19"/>
      <c r="D4" s="275"/>
      <c r="E4" s="275"/>
      <c r="F4" s="254"/>
      <c r="G4" s="25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303"/>
      <c r="CX4" s="303"/>
      <c r="CY4" s="303"/>
      <c r="CZ4" s="303"/>
      <c r="DA4" s="303"/>
      <c r="DB4" s="303"/>
      <c r="DC4" s="303"/>
      <c r="DD4" s="303"/>
      <c r="DE4" s="303"/>
      <c r="DF4" s="303"/>
      <c r="DG4" s="168"/>
    </row>
    <row r="5" spans="1:173" ht="15.75" customHeight="1" x14ac:dyDescent="0.3">
      <c r="B5" s="164" t="s">
        <v>14</v>
      </c>
      <c r="C5" s="282"/>
      <c r="D5" s="282"/>
      <c r="E5" s="282"/>
      <c r="F5" s="282"/>
      <c r="G5" s="282"/>
      <c r="H5" s="284"/>
      <c r="I5" s="284"/>
      <c r="J5" s="282"/>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303"/>
      <c r="CX5" s="303"/>
      <c r="CY5" s="303"/>
      <c r="CZ5" s="303"/>
      <c r="DA5" s="303"/>
      <c r="DB5" s="303"/>
      <c r="DC5" s="303"/>
      <c r="DD5" s="303"/>
      <c r="DE5" s="303"/>
      <c r="DF5" s="303"/>
      <c r="DG5" s="168"/>
    </row>
    <row r="6" spans="1:173" ht="15.75" customHeight="1" x14ac:dyDescent="0.3">
      <c r="B6" s="164" t="s">
        <v>6</v>
      </c>
      <c r="C6" s="282"/>
      <c r="D6" s="282"/>
      <c r="E6" s="282"/>
      <c r="F6" s="282"/>
      <c r="G6" s="282"/>
      <c r="H6" s="282"/>
      <c r="I6" s="282"/>
      <c r="J6" s="282"/>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303"/>
      <c r="CX6" s="303"/>
      <c r="CY6" s="303"/>
      <c r="CZ6" s="303"/>
      <c r="DA6" s="303"/>
      <c r="DB6" s="303"/>
      <c r="DC6" s="303"/>
      <c r="DD6" s="303"/>
      <c r="DE6" s="303"/>
      <c r="DF6" s="303"/>
      <c r="DG6" s="168"/>
    </row>
    <row r="7" spans="1:173" ht="15.75" customHeight="1" thickBot="1" x14ac:dyDescent="0.35">
      <c r="A7" s="242" t="s">
        <v>2</v>
      </c>
      <c r="B7" s="242"/>
      <c r="C7" s="242" t="s">
        <v>1</v>
      </c>
      <c r="D7" s="242"/>
      <c r="E7" s="242" t="s">
        <v>181</v>
      </c>
      <c r="F7" s="242"/>
      <c r="G7" s="289" t="s">
        <v>174</v>
      </c>
      <c r="H7" s="289"/>
      <c r="I7" s="289"/>
      <c r="J7" s="289"/>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301"/>
      <c r="B8" s="301"/>
      <c r="C8" s="298"/>
      <c r="D8" s="298"/>
      <c r="E8" s="236" t="s">
        <v>477</v>
      </c>
      <c r="F8" s="261"/>
      <c r="G8" s="236" t="s">
        <v>477</v>
      </c>
      <c r="H8" s="271"/>
      <c r="I8" s="271"/>
      <c r="J8" s="261"/>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99" t="str">
        <f>IF(OR(E8="Other Equivalence",G8="EV - Other Equivalence"),"FILL OUT THE MONOCOQUE/HYBRID/NON-FERROUS SES.",
IF(K4="REJECT","ILLOGICAL POWERTRAIN",""))</f>
        <v/>
      </c>
      <c r="B9" s="300"/>
      <c r="C9" s="300"/>
      <c r="D9" s="300"/>
      <c r="E9" s="300"/>
      <c r="F9" s="300"/>
      <c r="G9" s="300"/>
      <c r="H9" s="300"/>
      <c r="I9" s="300"/>
      <c r="J9" s="300"/>
      <c r="K9" s="163" t="str">
        <f>IF(K8="REJECT",K8,"")</f>
        <v/>
      </c>
      <c r="L9" s="3"/>
      <c r="M9" s="2"/>
      <c r="N9" s="9" t="s">
        <v>30</v>
      </c>
      <c r="O9" s="10"/>
      <c r="P9" s="10"/>
      <c r="Q9" s="10"/>
      <c r="R9" s="10"/>
      <c r="S9" s="10"/>
      <c r="T9" s="10"/>
      <c r="U9" s="10"/>
      <c r="V9" s="10"/>
      <c r="W9" s="10"/>
      <c r="X9" s="10"/>
      <c r="Y9" s="10"/>
      <c r="Z9" s="10"/>
      <c r="AA9" s="10"/>
      <c r="AB9" s="47"/>
      <c r="AC9" s="47"/>
      <c r="AD9" s="165"/>
      <c r="AE9" s="166"/>
      <c r="AF9" s="281" t="s">
        <v>79</v>
      </c>
      <c r="AG9" s="281"/>
      <c r="AH9" s="281"/>
      <c r="AI9" s="281"/>
      <c r="AJ9" s="281"/>
      <c r="AK9" s="281"/>
      <c r="AL9" s="281"/>
      <c r="AM9" s="281"/>
      <c r="AN9" s="281"/>
      <c r="AO9" s="281"/>
      <c r="AP9" s="281"/>
      <c r="AQ9" s="166"/>
      <c r="AR9" s="165"/>
      <c r="AS9" s="166"/>
      <c r="AT9" s="281" t="s">
        <v>80</v>
      </c>
      <c r="AU9" s="281"/>
      <c r="AV9" s="281"/>
      <c r="AW9" s="281"/>
      <c r="AX9" s="281"/>
      <c r="AY9" s="281"/>
      <c r="AZ9" s="281"/>
      <c r="BA9" s="281"/>
      <c r="BB9" s="281"/>
      <c r="BC9" s="281"/>
      <c r="BD9" s="281"/>
      <c r="BE9" s="166"/>
      <c r="BF9" s="165"/>
      <c r="BG9" s="167"/>
      <c r="BH9" s="281"/>
      <c r="BI9" s="281"/>
      <c r="BJ9" s="281"/>
      <c r="BK9" s="281"/>
      <c r="BL9" s="281"/>
      <c r="BM9" s="281"/>
      <c r="BN9" s="281"/>
      <c r="BO9" s="281"/>
      <c r="BP9" s="281"/>
      <c r="BQ9" s="281"/>
      <c r="BR9" s="281"/>
      <c r="BS9" s="167"/>
      <c r="BT9" s="165"/>
      <c r="BU9" s="270" t="s">
        <v>600</v>
      </c>
      <c r="BV9" s="270"/>
      <c r="BW9" s="270"/>
      <c r="BX9" s="270"/>
      <c r="BY9" s="270"/>
      <c r="BZ9" s="270"/>
      <c r="CA9" s="270"/>
      <c r="CB9" s="270"/>
      <c r="CC9" s="270"/>
      <c r="CD9" s="270"/>
      <c r="CE9" s="270"/>
      <c r="CF9" s="270"/>
      <c r="CG9" s="270"/>
      <c r="CH9" s="141"/>
      <c r="CI9" s="270" t="s">
        <v>598</v>
      </c>
      <c r="CJ9" s="270"/>
      <c r="CK9" s="270"/>
      <c r="CL9" s="270"/>
      <c r="CM9" s="270"/>
      <c r="CN9" s="270"/>
      <c r="CO9" s="270"/>
      <c r="CP9" s="270"/>
      <c r="CQ9" s="270"/>
      <c r="CR9" s="270"/>
      <c r="CS9" s="270"/>
      <c r="CT9" s="270"/>
      <c r="CU9" s="270"/>
      <c r="CV9" s="47"/>
      <c r="CW9" s="174" t="s">
        <v>528</v>
      </c>
      <c r="CX9" s="174"/>
      <c r="CY9" s="174"/>
      <c r="CZ9" s="174"/>
      <c r="DA9" s="174"/>
      <c r="DB9" s="174"/>
      <c r="DC9" s="174" t="s">
        <v>527</v>
      </c>
      <c r="DD9" s="174"/>
      <c r="DE9" s="174"/>
      <c r="DF9" s="174"/>
      <c r="DG9" s="174"/>
    </row>
    <row r="10" spans="1:173" ht="15.75" customHeight="1" thickBot="1" x14ac:dyDescent="0.35">
      <c r="A10" s="247" t="s">
        <v>190</v>
      </c>
      <c r="B10" s="247"/>
      <c r="C10" s="247"/>
      <c r="D10" s="247" t="s">
        <v>9</v>
      </c>
      <c r="E10" s="247"/>
      <c r="F10" s="247"/>
      <c r="G10" s="247"/>
      <c r="H10" s="247"/>
      <c r="I10" s="247"/>
      <c r="J10" s="247" t="str">
        <f>IF(OR(A18="EQ",A18="CHECK"),"YES","NO")</f>
        <v>NO</v>
      </c>
      <c r="K10" s="247"/>
      <c r="L10" s="93"/>
      <c r="M10" s="277" t="s">
        <v>173</v>
      </c>
      <c r="N10" s="278"/>
      <c r="O10" s="278"/>
      <c r="P10" s="278"/>
      <c r="Q10" s="278"/>
      <c r="R10" s="278"/>
      <c r="S10" s="278"/>
      <c r="T10" s="278"/>
      <c r="U10" s="278"/>
      <c r="V10" s="278"/>
      <c r="W10" s="278"/>
      <c r="X10" s="278"/>
      <c r="Y10" s="278"/>
      <c r="Z10" s="278"/>
      <c r="AA10" s="279"/>
      <c r="AB10" s="45"/>
      <c r="AC10" s="45"/>
      <c r="AD10" s="165"/>
      <c r="AE10" s="166"/>
      <c r="AF10" s="281"/>
      <c r="AG10" s="281"/>
      <c r="AH10" s="281"/>
      <c r="AI10" s="281"/>
      <c r="AJ10" s="281"/>
      <c r="AK10" s="281"/>
      <c r="AL10" s="281"/>
      <c r="AM10" s="281"/>
      <c r="AN10" s="281"/>
      <c r="AO10" s="281"/>
      <c r="AP10" s="281"/>
      <c r="AQ10" s="166"/>
      <c r="AR10" s="165"/>
      <c r="AS10" s="166"/>
      <c r="AT10" s="281"/>
      <c r="AU10" s="281"/>
      <c r="AV10" s="281"/>
      <c r="AW10" s="281"/>
      <c r="AX10" s="281"/>
      <c r="AY10" s="281"/>
      <c r="AZ10" s="281"/>
      <c r="BA10" s="281"/>
      <c r="BB10" s="281"/>
      <c r="BC10" s="281"/>
      <c r="BD10" s="281"/>
      <c r="BE10" s="166"/>
      <c r="BF10" s="165"/>
      <c r="BG10" s="167"/>
      <c r="BH10" s="281"/>
      <c r="BI10" s="281"/>
      <c r="BJ10" s="281"/>
      <c r="BK10" s="281"/>
      <c r="BL10" s="281"/>
      <c r="BM10" s="281"/>
      <c r="BN10" s="281"/>
      <c r="BO10" s="281"/>
      <c r="BP10" s="281"/>
      <c r="BQ10" s="281"/>
      <c r="BR10" s="281"/>
      <c r="BS10" s="167"/>
      <c r="BT10" s="165"/>
      <c r="BU10" s="270"/>
      <c r="BV10" s="270"/>
      <c r="BW10" s="270"/>
      <c r="BX10" s="270"/>
      <c r="BY10" s="270"/>
      <c r="BZ10" s="270"/>
      <c r="CA10" s="270"/>
      <c r="CB10" s="270"/>
      <c r="CC10" s="270"/>
      <c r="CD10" s="270"/>
      <c r="CE10" s="270"/>
      <c r="CF10" s="270"/>
      <c r="CG10" s="270"/>
      <c r="CH10" s="143"/>
      <c r="CI10" s="270"/>
      <c r="CJ10" s="270"/>
      <c r="CK10" s="270"/>
      <c r="CL10" s="270"/>
      <c r="CM10" s="270"/>
      <c r="CN10" s="270"/>
      <c r="CO10" s="270"/>
      <c r="CP10" s="270"/>
      <c r="CQ10" s="270"/>
      <c r="CR10" s="270"/>
      <c r="CS10" s="270"/>
      <c r="CT10" s="270"/>
      <c r="CU10" s="270"/>
      <c r="CV10" s="47"/>
      <c r="CW10" s="174" t="s">
        <v>168</v>
      </c>
      <c r="CX10" s="174"/>
      <c r="CY10" s="174"/>
      <c r="CZ10" s="174"/>
      <c r="DA10" s="174"/>
      <c r="DB10" s="174"/>
      <c r="DC10" s="174"/>
      <c r="DD10" s="174"/>
      <c r="DE10" s="174"/>
      <c r="DF10" s="174"/>
      <c r="DG10" s="174"/>
    </row>
    <row r="11" spans="1:173" ht="15.75" customHeight="1" x14ac:dyDescent="0.3">
      <c r="A11" s="247"/>
      <c r="B11" s="247"/>
      <c r="C11" s="247"/>
      <c r="D11" s="247"/>
      <c r="E11" s="247"/>
      <c r="F11" s="247"/>
      <c r="G11" s="247"/>
      <c r="H11" s="247"/>
      <c r="I11" s="247"/>
      <c r="J11" s="247"/>
      <c r="K11" s="247"/>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81" t="s">
        <v>69</v>
      </c>
      <c r="AH11" s="281"/>
      <c r="AI11" s="281"/>
      <c r="AJ11" s="281"/>
      <c r="AK11" s="281"/>
      <c r="AL11" s="281"/>
      <c r="AM11" s="281"/>
      <c r="AN11" s="281"/>
      <c r="AO11" s="281"/>
      <c r="AP11" s="166"/>
      <c r="AQ11" s="166"/>
      <c r="AR11" s="165"/>
      <c r="AS11" s="166"/>
      <c r="AT11" s="166"/>
      <c r="AU11" s="281" t="s">
        <v>69</v>
      </c>
      <c r="AV11" s="281"/>
      <c r="AW11" s="281"/>
      <c r="AX11" s="281"/>
      <c r="AY11" s="281"/>
      <c r="AZ11" s="281"/>
      <c r="BA11" s="281"/>
      <c r="BB11" s="281"/>
      <c r="BC11" s="281"/>
      <c r="BD11" s="166"/>
      <c r="BE11" s="166"/>
      <c r="BF11" s="165"/>
      <c r="BG11" s="167"/>
      <c r="BH11" s="302" t="s">
        <v>529</v>
      </c>
      <c r="BI11" s="302"/>
      <c r="BJ11" s="302"/>
      <c r="BK11" s="302"/>
      <c r="BL11" s="302"/>
      <c r="BM11" s="302"/>
      <c r="BN11" s="302"/>
      <c r="BO11" s="302"/>
      <c r="BP11" s="302"/>
      <c r="BQ11" s="302"/>
      <c r="BR11" s="302"/>
      <c r="BS11" s="167"/>
      <c r="BT11" s="165"/>
      <c r="BU11" s="270" t="s">
        <v>69</v>
      </c>
      <c r="BV11" s="270"/>
      <c r="BW11" s="270"/>
      <c r="BX11" s="270"/>
      <c r="BY11" s="270"/>
      <c r="BZ11" s="270"/>
      <c r="CA11" s="270"/>
      <c r="CB11" s="270"/>
      <c r="CC11" s="270"/>
      <c r="CD11" s="270"/>
      <c r="CE11" s="270"/>
      <c r="CF11" s="270"/>
      <c r="CG11" s="270"/>
      <c r="CH11" s="141"/>
      <c r="CI11" s="270" t="s">
        <v>69</v>
      </c>
      <c r="CJ11" s="270"/>
      <c r="CK11" s="270"/>
      <c r="CL11" s="270"/>
      <c r="CM11" s="270"/>
      <c r="CN11" s="270"/>
      <c r="CO11" s="270"/>
      <c r="CP11" s="270"/>
      <c r="CQ11" s="270"/>
      <c r="CR11" s="270"/>
      <c r="CS11" s="270"/>
      <c r="CT11" s="270"/>
      <c r="CU11" s="270"/>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81"/>
      <c r="AH12" s="281"/>
      <c r="AI12" s="281"/>
      <c r="AJ12" s="281"/>
      <c r="AK12" s="281"/>
      <c r="AL12" s="281"/>
      <c r="AM12" s="281"/>
      <c r="AN12" s="281"/>
      <c r="AO12" s="281"/>
      <c r="AP12" s="166"/>
      <c r="AQ12" s="166"/>
      <c r="AR12" s="165"/>
      <c r="AS12" s="166"/>
      <c r="AT12" s="166"/>
      <c r="AU12" s="281"/>
      <c r="AV12" s="281"/>
      <c r="AW12" s="281"/>
      <c r="AX12" s="281"/>
      <c r="AY12" s="281"/>
      <c r="AZ12" s="281"/>
      <c r="BA12" s="281"/>
      <c r="BB12" s="281"/>
      <c r="BC12" s="281"/>
      <c r="BD12" s="166"/>
      <c r="BE12" s="166"/>
      <c r="BF12" s="165"/>
      <c r="BG12" s="167"/>
      <c r="BH12" s="302"/>
      <c r="BI12" s="302"/>
      <c r="BJ12" s="302"/>
      <c r="BK12" s="302"/>
      <c r="BL12" s="302"/>
      <c r="BM12" s="302"/>
      <c r="BN12" s="302"/>
      <c r="BO12" s="302"/>
      <c r="BP12" s="302"/>
      <c r="BQ12" s="302"/>
      <c r="BR12" s="302"/>
      <c r="BS12" s="167"/>
      <c r="BT12" s="165"/>
      <c r="BU12" s="270"/>
      <c r="BV12" s="270"/>
      <c r="BW12" s="270"/>
      <c r="BX12" s="270"/>
      <c r="BY12" s="270"/>
      <c r="BZ12" s="270"/>
      <c r="CA12" s="270"/>
      <c r="CB12" s="270"/>
      <c r="CC12" s="270"/>
      <c r="CD12" s="270"/>
      <c r="CE12" s="270"/>
      <c r="CF12" s="270"/>
      <c r="CG12" s="270"/>
      <c r="CH12" s="63"/>
      <c r="CI12" s="270"/>
      <c r="CJ12" s="270"/>
      <c r="CK12" s="270"/>
      <c r="CL12" s="270"/>
      <c r="CM12" s="270"/>
      <c r="CN12" s="270"/>
      <c r="CO12" s="270"/>
      <c r="CP12" s="270"/>
      <c r="CQ12" s="270"/>
      <c r="CR12" s="270"/>
      <c r="CS12" s="270"/>
      <c r="CT12" s="270"/>
      <c r="CU12" s="270"/>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81" t="s">
        <v>70</v>
      </c>
      <c r="AH13" s="281"/>
      <c r="AI13" s="281"/>
      <c r="AJ13" s="281"/>
      <c r="AK13" s="281"/>
      <c r="AL13" s="281"/>
      <c r="AM13" s="281"/>
      <c r="AN13" s="281"/>
      <c r="AO13" s="281"/>
      <c r="AP13" s="166"/>
      <c r="AQ13" s="166"/>
      <c r="AR13" s="165"/>
      <c r="AS13" s="166"/>
      <c r="AT13" s="166"/>
      <c r="AU13" s="281" t="s">
        <v>70</v>
      </c>
      <c r="AV13" s="281"/>
      <c r="AW13" s="281"/>
      <c r="AX13" s="281"/>
      <c r="AY13" s="281"/>
      <c r="AZ13" s="281"/>
      <c r="BA13" s="281"/>
      <c r="BB13" s="281"/>
      <c r="BC13" s="281"/>
      <c r="BD13" s="166"/>
      <c r="BE13" s="166"/>
      <c r="BF13" s="165"/>
      <c r="BG13" s="167"/>
      <c r="BH13" s="302" t="s">
        <v>78</v>
      </c>
      <c r="BI13" s="302"/>
      <c r="BJ13" s="302"/>
      <c r="BK13" s="302"/>
      <c r="BL13" s="302"/>
      <c r="BM13" s="302"/>
      <c r="BN13" s="302"/>
      <c r="BO13" s="302"/>
      <c r="BP13" s="302"/>
      <c r="BQ13" s="302"/>
      <c r="BR13" s="302"/>
      <c r="BS13" s="167"/>
      <c r="BT13" s="165"/>
      <c r="BU13" s="270" t="s">
        <v>70</v>
      </c>
      <c r="BV13" s="270"/>
      <c r="BW13" s="270"/>
      <c r="BX13" s="270"/>
      <c r="BY13" s="270"/>
      <c r="BZ13" s="270"/>
      <c r="CA13" s="270"/>
      <c r="CB13" s="270"/>
      <c r="CC13" s="270"/>
      <c r="CD13" s="270"/>
      <c r="CE13" s="270"/>
      <c r="CF13" s="270"/>
      <c r="CG13" s="270"/>
      <c r="CH13" s="93"/>
      <c r="CI13" s="270" t="s">
        <v>70</v>
      </c>
      <c r="CJ13" s="270"/>
      <c r="CK13" s="270"/>
      <c r="CL13" s="270"/>
      <c r="CM13" s="270"/>
      <c r="CN13" s="270"/>
      <c r="CO13" s="270"/>
      <c r="CP13" s="270"/>
      <c r="CQ13" s="270"/>
      <c r="CR13" s="270"/>
      <c r="CS13" s="270"/>
      <c r="CT13" s="270"/>
      <c r="CU13" s="270"/>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81"/>
      <c r="AH14" s="281"/>
      <c r="AI14" s="281"/>
      <c r="AJ14" s="281"/>
      <c r="AK14" s="281"/>
      <c r="AL14" s="281"/>
      <c r="AM14" s="281"/>
      <c r="AN14" s="281"/>
      <c r="AO14" s="281"/>
      <c r="AP14" s="166"/>
      <c r="AQ14" s="166"/>
      <c r="AR14" s="165"/>
      <c r="AS14" s="166"/>
      <c r="AT14" s="166"/>
      <c r="AU14" s="281"/>
      <c r="AV14" s="281"/>
      <c r="AW14" s="281"/>
      <c r="AX14" s="281"/>
      <c r="AY14" s="281"/>
      <c r="AZ14" s="281"/>
      <c r="BA14" s="281"/>
      <c r="BB14" s="281"/>
      <c r="BC14" s="281"/>
      <c r="BD14" s="166"/>
      <c r="BE14" s="166"/>
      <c r="BF14" s="165"/>
      <c r="BG14" s="167"/>
      <c r="BH14" s="302"/>
      <c r="BI14" s="302"/>
      <c r="BJ14" s="302"/>
      <c r="BK14" s="302"/>
      <c r="BL14" s="302"/>
      <c r="BM14" s="302"/>
      <c r="BN14" s="302"/>
      <c r="BO14" s="302"/>
      <c r="BP14" s="302"/>
      <c r="BQ14" s="302"/>
      <c r="BR14" s="302"/>
      <c r="BS14" s="167"/>
      <c r="BT14" s="165"/>
      <c r="BU14" s="270"/>
      <c r="BV14" s="270"/>
      <c r="BW14" s="270"/>
      <c r="BX14" s="270"/>
      <c r="BY14" s="270"/>
      <c r="BZ14" s="270"/>
      <c r="CA14" s="270"/>
      <c r="CB14" s="270"/>
      <c r="CC14" s="270"/>
      <c r="CD14" s="270"/>
      <c r="CE14" s="270"/>
      <c r="CF14" s="270"/>
      <c r="CG14" s="270"/>
      <c r="CH14" s="82"/>
      <c r="CI14" s="270"/>
      <c r="CJ14" s="270"/>
      <c r="CK14" s="270"/>
      <c r="CL14" s="270"/>
      <c r="CM14" s="270"/>
      <c r="CN14" s="270"/>
      <c r="CO14" s="270"/>
      <c r="CP14" s="270"/>
      <c r="CQ14" s="270"/>
      <c r="CR14" s="270"/>
      <c r="CS14" s="270"/>
      <c r="CT14" s="270"/>
      <c r="CU14" s="270"/>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81" t="s">
        <v>71</v>
      </c>
      <c r="AG15" s="281"/>
      <c r="AH15" s="281"/>
      <c r="AI15" s="281"/>
      <c r="AJ15" s="281"/>
      <c r="AK15" s="281"/>
      <c r="AL15" s="281"/>
      <c r="AM15" s="281"/>
      <c r="AN15" s="281"/>
      <c r="AO15" s="281"/>
      <c r="AP15" s="281"/>
      <c r="AQ15" s="166"/>
      <c r="AR15" s="165"/>
      <c r="AS15" s="166"/>
      <c r="AT15" s="281" t="s">
        <v>71</v>
      </c>
      <c r="AU15" s="281"/>
      <c r="AV15" s="281"/>
      <c r="AW15" s="281"/>
      <c r="AX15" s="281"/>
      <c r="AY15" s="281"/>
      <c r="AZ15" s="281"/>
      <c r="BA15" s="281"/>
      <c r="BB15" s="281"/>
      <c r="BC15" s="281"/>
      <c r="BD15" s="281"/>
      <c r="BE15" s="166"/>
      <c r="BF15" s="165"/>
      <c r="BG15" s="167"/>
      <c r="BH15" s="281"/>
      <c r="BI15" s="281"/>
      <c r="BJ15" s="281"/>
      <c r="BK15" s="281"/>
      <c r="BL15" s="281"/>
      <c r="BM15" s="281"/>
      <c r="BN15" s="281"/>
      <c r="BO15" s="281"/>
      <c r="BP15" s="281"/>
      <c r="BQ15" s="281"/>
      <c r="BR15" s="281"/>
      <c r="BS15" s="167"/>
      <c r="BT15" s="165"/>
      <c r="BU15" s="270" t="s">
        <v>599</v>
      </c>
      <c r="BV15" s="270"/>
      <c r="BW15" s="270"/>
      <c r="BX15" s="270"/>
      <c r="BY15" s="270"/>
      <c r="BZ15" s="270"/>
      <c r="CA15" s="270"/>
      <c r="CB15" s="270"/>
      <c r="CC15" s="270"/>
      <c r="CD15" s="270"/>
      <c r="CE15" s="270"/>
      <c r="CF15" s="270"/>
      <c r="CG15" s="270"/>
      <c r="CH15" s="66"/>
      <c r="CI15" s="270" t="s">
        <v>599</v>
      </c>
      <c r="CJ15" s="270"/>
      <c r="CK15" s="270"/>
      <c r="CL15" s="270"/>
      <c r="CM15" s="270"/>
      <c r="CN15" s="270"/>
      <c r="CO15" s="270"/>
      <c r="CP15" s="270"/>
      <c r="CQ15" s="270"/>
      <c r="CR15" s="270"/>
      <c r="CS15" s="270"/>
      <c r="CT15" s="270"/>
      <c r="CU15" s="270"/>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81"/>
      <c r="AG16" s="281"/>
      <c r="AH16" s="281"/>
      <c r="AI16" s="281"/>
      <c r="AJ16" s="281"/>
      <c r="AK16" s="281"/>
      <c r="AL16" s="281"/>
      <c r="AM16" s="281"/>
      <c r="AN16" s="281"/>
      <c r="AO16" s="281"/>
      <c r="AP16" s="281"/>
      <c r="AQ16" s="166"/>
      <c r="AR16" s="165"/>
      <c r="AS16" s="166"/>
      <c r="AT16" s="281"/>
      <c r="AU16" s="281"/>
      <c r="AV16" s="281"/>
      <c r="AW16" s="281"/>
      <c r="AX16" s="281"/>
      <c r="AY16" s="281"/>
      <c r="AZ16" s="281"/>
      <c r="BA16" s="281"/>
      <c r="BB16" s="281"/>
      <c r="BC16" s="281"/>
      <c r="BD16" s="281"/>
      <c r="BE16" s="166"/>
      <c r="BF16" s="165"/>
      <c r="BG16" s="167"/>
      <c r="BH16" s="281"/>
      <c r="BI16" s="281"/>
      <c r="BJ16" s="281"/>
      <c r="BK16" s="281"/>
      <c r="BL16" s="281"/>
      <c r="BM16" s="281"/>
      <c r="BN16" s="281"/>
      <c r="BO16" s="281"/>
      <c r="BP16" s="281"/>
      <c r="BQ16" s="281"/>
      <c r="BR16" s="281"/>
      <c r="BS16" s="167"/>
      <c r="BT16" s="165"/>
      <c r="BU16" s="270"/>
      <c r="BV16" s="270"/>
      <c r="BW16" s="270"/>
      <c r="BX16" s="270"/>
      <c r="BY16" s="270"/>
      <c r="BZ16" s="270"/>
      <c r="CA16" s="270"/>
      <c r="CB16" s="270"/>
      <c r="CC16" s="270"/>
      <c r="CD16" s="270"/>
      <c r="CE16" s="270"/>
      <c r="CF16" s="270"/>
      <c r="CG16" s="270"/>
      <c r="CH16" s="66"/>
      <c r="CI16" s="270"/>
      <c r="CJ16" s="270"/>
      <c r="CK16" s="270"/>
      <c r="CL16" s="270"/>
      <c r="CM16" s="270"/>
      <c r="CN16" s="270"/>
      <c r="CO16" s="270"/>
      <c r="CP16" s="270"/>
      <c r="CQ16" s="270"/>
      <c r="CR16" s="270"/>
      <c r="CS16" s="270"/>
      <c r="CT16" s="270"/>
      <c r="CU16" s="270"/>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97" t="str">
        <f>IF(SUMPRODUCT(--ISERROR(C12:C17))&gt;0,"REJECT",
IF(COUNTIF(C12:C17,"BLANK"),"BLANK",
IF(COUNTIF(C12:C17,"REJECT"),"REJECT",
IF(COUNTIF(C12:C17,"CHECK"),"CHECK","EQ"))))</f>
        <v>BLANK</v>
      </c>
      <c r="B18" s="297"/>
      <c r="C18" s="297"/>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97"/>
      <c r="B19" s="297"/>
      <c r="C19" s="297"/>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65" t="s">
        <v>149</v>
      </c>
      <c r="CX19" s="265"/>
      <c r="CY19" s="12" t="s">
        <v>148</v>
      </c>
    </row>
    <row r="20" spans="1:111" ht="15.75" customHeight="1" x14ac:dyDescent="0.3">
      <c r="A20" s="297"/>
      <c r="B20" s="297"/>
      <c r="C20" s="297"/>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97"/>
      <c r="B21" s="297"/>
      <c r="C21" s="297"/>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68" t="s">
        <v>116</v>
      </c>
      <c r="CX21" s="268"/>
      <c r="CY21" s="268"/>
      <c r="DC21" s="173"/>
      <c r="DD21" s="173"/>
      <c r="DE21" s="173"/>
      <c r="DF21" s="173"/>
      <c r="DG21" s="173"/>
    </row>
    <row r="22" spans="1:111" ht="15.75" customHeight="1" x14ac:dyDescent="0.3">
      <c r="A22" s="297"/>
      <c r="B22" s="297"/>
      <c r="C22" s="297"/>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68"/>
      <c r="CX22" s="268"/>
      <c r="CY22" s="268"/>
      <c r="DC22" s="173"/>
      <c r="DD22" s="173"/>
      <c r="DE22" s="173"/>
      <c r="DF22" s="173"/>
      <c r="DG22" s="173"/>
    </row>
    <row r="23" spans="1:111" ht="15.75" customHeight="1" x14ac:dyDescent="0.3">
      <c r="A23" s="297"/>
      <c r="B23" s="297"/>
      <c r="C23" s="297"/>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97"/>
      <c r="B24" s="297"/>
      <c r="C24" s="297"/>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47" t="s">
        <v>19</v>
      </c>
      <c r="B25" s="247"/>
      <c r="C25" s="296"/>
      <c r="D25" s="290" t="s">
        <v>202</v>
      </c>
      <c r="E25" s="291"/>
      <c r="F25" s="291"/>
      <c r="G25" s="291"/>
      <c r="H25" s="291"/>
      <c r="I25" s="291"/>
      <c r="J25" s="291"/>
      <c r="K25" s="292"/>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47"/>
      <c r="B26" s="247"/>
      <c r="C26" s="296"/>
      <c r="D26" s="293"/>
      <c r="E26" s="294"/>
      <c r="F26" s="294"/>
      <c r="G26" s="294"/>
      <c r="H26" s="294"/>
      <c r="I26" s="294"/>
      <c r="J26" s="294"/>
      <c r="K26" s="295"/>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0"/>
      <c r="B33" s="280"/>
      <c r="C33" s="280"/>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81" t="s">
        <v>112</v>
      </c>
      <c r="B38" s="281"/>
      <c r="C38" s="281"/>
      <c r="D38" s="281"/>
      <c r="E38" s="281"/>
      <c r="F38" s="281"/>
      <c r="G38" s="281"/>
      <c r="H38" s="281"/>
      <c r="I38" s="281"/>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81"/>
      <c r="B39" s="281"/>
      <c r="C39" s="281"/>
      <c r="D39" s="281"/>
      <c r="E39" s="281"/>
      <c r="F39" s="281"/>
      <c r="G39" s="281"/>
      <c r="H39" s="281"/>
      <c r="I39" s="281"/>
      <c r="J39" s="193"/>
      <c r="K39" s="281" t="s">
        <v>72</v>
      </c>
      <c r="L39" s="281"/>
      <c r="M39" s="281"/>
      <c r="N39" s="281"/>
      <c r="O39" s="281"/>
      <c r="P39" s="281"/>
      <c r="Q39" s="281"/>
      <c r="R39" s="281"/>
      <c r="S39" s="281"/>
      <c r="T39" s="193"/>
      <c r="U39" s="281" t="s">
        <v>73</v>
      </c>
      <c r="V39" s="281"/>
      <c r="W39" s="281"/>
      <c r="X39" s="281"/>
      <c r="Y39" s="281"/>
      <c r="Z39" s="281"/>
      <c r="AA39" s="281"/>
      <c r="AB39" s="281"/>
      <c r="AC39" s="281"/>
      <c r="AD39" s="193"/>
      <c r="AE39" s="281" t="s">
        <v>74</v>
      </c>
      <c r="AF39" s="281"/>
      <c r="AG39" s="281"/>
      <c r="AH39" s="281"/>
      <c r="AI39" s="281"/>
      <c r="AJ39" s="281"/>
      <c r="AK39" s="281"/>
      <c r="AL39" s="281"/>
      <c r="AM39" s="281"/>
      <c r="AN39" s="193"/>
      <c r="AO39" s="281" t="s">
        <v>75</v>
      </c>
      <c r="AP39" s="281"/>
      <c r="AQ39" s="281"/>
      <c r="AR39" s="281"/>
      <c r="AS39" s="281"/>
      <c r="AT39" s="281"/>
      <c r="AU39" s="281"/>
      <c r="AV39" s="281"/>
      <c r="AW39" s="281"/>
      <c r="AX39" s="193"/>
      <c r="AY39" s="281" t="s">
        <v>76</v>
      </c>
      <c r="AZ39" s="281"/>
      <c r="BA39" s="281"/>
      <c r="BB39" s="281"/>
      <c r="BC39" s="281"/>
      <c r="BD39" s="281"/>
      <c r="BE39" s="281"/>
      <c r="BF39" s="281"/>
      <c r="BG39" s="281"/>
      <c r="BH39" s="193"/>
      <c r="BI39" s="281" t="s">
        <v>77</v>
      </c>
      <c r="BJ39" s="281"/>
      <c r="BK39" s="281"/>
      <c r="BL39" s="281"/>
      <c r="BM39" s="281"/>
      <c r="BN39" s="281"/>
      <c r="BO39" s="281"/>
      <c r="BP39" s="281"/>
      <c r="BQ39" s="281"/>
      <c r="BR39" s="193"/>
      <c r="BS39" s="270" t="s">
        <v>448</v>
      </c>
      <c r="BT39" s="270"/>
      <c r="BU39" s="270"/>
      <c r="BV39" s="270"/>
      <c r="BW39" s="270"/>
      <c r="BX39" s="270"/>
      <c r="BY39" s="270"/>
      <c r="BZ39" s="270"/>
      <c r="CA39" s="270"/>
      <c r="CB39" s="20"/>
      <c r="CC39" s="270" t="s">
        <v>449</v>
      </c>
      <c r="CD39" s="270"/>
      <c r="CE39" s="270"/>
      <c r="CF39" s="270"/>
      <c r="CG39" s="270"/>
      <c r="CH39" s="270"/>
      <c r="CI39" s="270"/>
      <c r="CJ39" s="270"/>
      <c r="CK39" s="270"/>
      <c r="CL39" s="20"/>
      <c r="CM39" s="270" t="s">
        <v>450</v>
      </c>
      <c r="CN39" s="270"/>
      <c r="CO39" s="270"/>
      <c r="CP39" s="270"/>
      <c r="CQ39" s="270"/>
      <c r="CR39" s="270"/>
      <c r="CS39" s="270"/>
      <c r="CT39" s="270"/>
      <c r="CU39" s="270"/>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81"/>
      <c r="L40" s="281"/>
      <c r="M40" s="281"/>
      <c r="N40" s="281"/>
      <c r="O40" s="281"/>
      <c r="P40" s="281"/>
      <c r="Q40" s="281"/>
      <c r="R40" s="281"/>
      <c r="S40" s="281"/>
      <c r="T40" s="193"/>
      <c r="U40" s="281"/>
      <c r="V40" s="281"/>
      <c r="W40" s="281"/>
      <c r="X40" s="281"/>
      <c r="Y40" s="281"/>
      <c r="Z40" s="281"/>
      <c r="AA40" s="281"/>
      <c r="AB40" s="281"/>
      <c r="AC40" s="281"/>
      <c r="AD40" s="193"/>
      <c r="AE40" s="281"/>
      <c r="AF40" s="281"/>
      <c r="AG40" s="281"/>
      <c r="AH40" s="281"/>
      <c r="AI40" s="281"/>
      <c r="AJ40" s="281"/>
      <c r="AK40" s="281"/>
      <c r="AL40" s="281"/>
      <c r="AM40" s="281"/>
      <c r="AN40" s="193"/>
      <c r="AO40" s="281"/>
      <c r="AP40" s="281"/>
      <c r="AQ40" s="281"/>
      <c r="AR40" s="281"/>
      <c r="AS40" s="281"/>
      <c r="AT40" s="281"/>
      <c r="AU40" s="281"/>
      <c r="AV40" s="281"/>
      <c r="AW40" s="281"/>
      <c r="AX40" s="193"/>
      <c r="AY40" s="281"/>
      <c r="AZ40" s="281"/>
      <c r="BA40" s="281"/>
      <c r="BB40" s="281"/>
      <c r="BC40" s="281"/>
      <c r="BD40" s="281"/>
      <c r="BE40" s="281"/>
      <c r="BF40" s="281"/>
      <c r="BG40" s="281"/>
      <c r="BH40" s="193"/>
      <c r="BI40" s="281"/>
      <c r="BJ40" s="281"/>
      <c r="BK40" s="281"/>
      <c r="BL40" s="281"/>
      <c r="BM40" s="281"/>
      <c r="BN40" s="281"/>
      <c r="BO40" s="281"/>
      <c r="BP40" s="281"/>
      <c r="BQ40" s="281"/>
      <c r="BR40" s="19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81" t="s">
        <v>68</v>
      </c>
      <c r="V41" s="281"/>
      <c r="W41" s="281"/>
      <c r="X41" s="281"/>
      <c r="Y41" s="281"/>
      <c r="Z41" s="281"/>
      <c r="AA41" s="281"/>
      <c r="AB41" s="281"/>
      <c r="AC41" s="281"/>
      <c r="AD41" s="193"/>
      <c r="AE41" s="281" t="s">
        <v>68</v>
      </c>
      <c r="AF41" s="281"/>
      <c r="AG41" s="281"/>
      <c r="AH41" s="281"/>
      <c r="AI41" s="281"/>
      <c r="AJ41" s="281"/>
      <c r="AK41" s="281"/>
      <c r="AL41" s="281"/>
      <c r="AM41" s="281"/>
      <c r="AN41" s="193"/>
      <c r="AO41" s="166"/>
      <c r="AP41" s="166"/>
      <c r="AQ41" s="166"/>
      <c r="AR41" s="166"/>
      <c r="AS41" s="166"/>
      <c r="AT41" s="166"/>
      <c r="AU41" s="166"/>
      <c r="AV41" s="166"/>
      <c r="AW41" s="166"/>
      <c r="AX41" s="193"/>
      <c r="AY41" s="281" t="s">
        <v>68</v>
      </c>
      <c r="AZ41" s="281"/>
      <c r="BA41" s="281"/>
      <c r="BB41" s="281"/>
      <c r="BC41" s="281"/>
      <c r="BD41" s="281"/>
      <c r="BE41" s="281"/>
      <c r="BF41" s="281"/>
      <c r="BG41" s="281"/>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45"/>
      <c r="CW41" s="267" t="s">
        <v>411</v>
      </c>
      <c r="CX41" s="267"/>
      <c r="CY41" s="267"/>
      <c r="CZ41" s="267"/>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81"/>
      <c r="V42" s="281"/>
      <c r="W42" s="281"/>
      <c r="X42" s="281"/>
      <c r="Y42" s="281"/>
      <c r="Z42" s="281"/>
      <c r="AA42" s="281"/>
      <c r="AB42" s="281"/>
      <c r="AC42" s="281"/>
      <c r="AD42" s="193"/>
      <c r="AE42" s="281"/>
      <c r="AF42" s="281"/>
      <c r="AG42" s="281"/>
      <c r="AH42" s="281"/>
      <c r="AI42" s="281"/>
      <c r="AJ42" s="281"/>
      <c r="AK42" s="281"/>
      <c r="AL42" s="281"/>
      <c r="AM42" s="281"/>
      <c r="AN42" s="193"/>
      <c r="AO42" s="166"/>
      <c r="AP42" s="166"/>
      <c r="AQ42" s="166"/>
      <c r="AR42" s="166"/>
      <c r="AS42" s="166"/>
      <c r="AT42" s="166"/>
      <c r="AU42" s="166"/>
      <c r="AV42" s="166"/>
      <c r="AW42" s="166"/>
      <c r="AX42" s="193"/>
      <c r="AY42" s="281"/>
      <c r="AZ42" s="281"/>
      <c r="BA42" s="281"/>
      <c r="BB42" s="281"/>
      <c r="BC42" s="281"/>
      <c r="BD42" s="281"/>
      <c r="BE42" s="281"/>
      <c r="BF42" s="281"/>
      <c r="BG42" s="281"/>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45"/>
      <c r="CW42" s="267"/>
      <c r="CX42" s="267"/>
      <c r="CY42" s="267"/>
      <c r="CZ42" s="267"/>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66" t="s">
        <v>165</v>
      </c>
      <c r="B55" s="266"/>
      <c r="C55" s="266"/>
      <c r="D55" s="266"/>
      <c r="E55" s="266"/>
      <c r="F55" s="266"/>
      <c r="G55" s="266"/>
      <c r="H55" s="266"/>
      <c r="I55" s="266"/>
      <c r="J55" s="165"/>
      <c r="K55" s="266" t="s">
        <v>165</v>
      </c>
      <c r="L55" s="266"/>
      <c r="M55" s="266"/>
      <c r="N55" s="266"/>
      <c r="O55" s="266"/>
      <c r="P55" s="266"/>
      <c r="Q55" s="266"/>
      <c r="R55" s="266"/>
      <c r="S55" s="266"/>
      <c r="T55" s="165"/>
      <c r="U55" s="266" t="s">
        <v>165</v>
      </c>
      <c r="V55" s="266"/>
      <c r="W55" s="266"/>
      <c r="X55" s="266"/>
      <c r="Y55" s="266"/>
      <c r="Z55" s="266"/>
      <c r="AA55" s="266"/>
      <c r="AB55" s="266"/>
      <c r="AC55" s="266"/>
      <c r="AD55" s="165"/>
      <c r="AE55" s="266" t="s">
        <v>165</v>
      </c>
      <c r="AF55" s="266"/>
      <c r="AG55" s="266"/>
      <c r="AH55" s="266"/>
      <c r="AI55" s="266"/>
      <c r="AJ55" s="266"/>
      <c r="AK55" s="266"/>
      <c r="AL55" s="266"/>
      <c r="AM55" s="266"/>
      <c r="AN55" s="165"/>
      <c r="AO55" s="266" t="s">
        <v>165</v>
      </c>
      <c r="AP55" s="266"/>
      <c r="AQ55" s="266"/>
      <c r="AR55" s="266"/>
      <c r="AS55" s="266"/>
      <c r="AT55" s="266"/>
      <c r="AU55" s="266"/>
      <c r="AV55" s="266"/>
      <c r="AW55" s="266"/>
      <c r="AX55" s="165"/>
      <c r="AY55" s="266" t="s">
        <v>165</v>
      </c>
      <c r="AZ55" s="266"/>
      <c r="BA55" s="266"/>
      <c r="BB55" s="266"/>
      <c r="BC55" s="266"/>
      <c r="BD55" s="266"/>
      <c r="BE55" s="266"/>
      <c r="BF55" s="266"/>
      <c r="BG55" s="266"/>
      <c r="BH55" s="165"/>
      <c r="BI55" s="266" t="s">
        <v>165</v>
      </c>
      <c r="BJ55" s="266"/>
      <c r="BK55" s="266"/>
      <c r="BL55" s="266"/>
      <c r="BM55" s="266"/>
      <c r="BN55" s="266"/>
      <c r="BO55" s="266"/>
      <c r="BP55" s="266"/>
      <c r="BQ55" s="266"/>
      <c r="BR55" s="165"/>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X55" s="93" t="s">
        <v>433</v>
      </c>
    </row>
    <row r="56" spans="1:102" ht="15" customHeight="1" x14ac:dyDescent="0.3">
      <c r="A56" s="247" t="str">
        <f>IF(COUNTIF(A59:I117,"BLANK"),"BLANK",IF(OR(SUMPRODUCT(--ISERROR(A59:I117))&gt;0,COUNTIF(A59:I117,"REJECT")),"REJECT",IF(COUNTIF(A59:I117,"CHECK"),"CHECK","EQ")))</f>
        <v>BLANK</v>
      </c>
      <c r="B56" s="247"/>
      <c r="C56" s="247" t="s">
        <v>21</v>
      </c>
      <c r="D56" s="247"/>
      <c r="E56" s="247"/>
      <c r="F56" s="247"/>
      <c r="G56" s="247"/>
      <c r="H56" s="247"/>
      <c r="I56" s="247"/>
      <c r="K56" s="247" t="str">
        <f>IF(COUNTIF(K62:S83,"BLANK"),"BLANK",IF(OR(SUMPRODUCT(--ISERROR(K62:S83))&gt;0,COUNTIF(K62:S83,"REJECT")),"REJECT",IF(COUNTIF(K62:S83,"CHECK"),"CHECK","EQ")))</f>
        <v>BLANK</v>
      </c>
      <c r="L56" s="247"/>
      <c r="M56" s="247" t="s">
        <v>28</v>
      </c>
      <c r="N56" s="247"/>
      <c r="O56" s="247"/>
      <c r="P56" s="247"/>
      <c r="Q56" s="247"/>
      <c r="R56" s="247"/>
      <c r="S56" s="247"/>
      <c r="U56" s="247" t="str">
        <f>IF(COUNTIF(U88:AC129,"BLANK"),"BLANK",IF(OR(SUMPRODUCT(--ISERROR(U88:AC129))&gt;0,COUNTIF(U88:AC129,"REJECT")),"REJECT",IF(COUNTIF(U88:AC129,"CHECK"),"CHECK","EQ")))</f>
        <v>EQ</v>
      </c>
      <c r="V56" s="247"/>
      <c r="W56" s="247" t="s">
        <v>25</v>
      </c>
      <c r="X56" s="247"/>
      <c r="Y56" s="247"/>
      <c r="Z56" s="247"/>
      <c r="AA56" s="247"/>
      <c r="AB56" s="247"/>
      <c r="AC56" s="247"/>
      <c r="AE56" s="247" t="str">
        <f>IF(COUNTIF(AE70:AM95,"BLANK"),"BLANK",IF(COUNTIF(AE70:AM95,"REJECT"),"REJECT",IF(COUNTIF(AE70:AM95,"CHECK"),"CHECK","EQ")))</f>
        <v>EQ</v>
      </c>
      <c r="AF56" s="247"/>
      <c r="AG56" s="247" t="s">
        <v>39</v>
      </c>
      <c r="AH56" s="247"/>
      <c r="AI56" s="247"/>
      <c r="AJ56" s="247"/>
      <c r="AK56" s="247"/>
      <c r="AL56" s="247"/>
      <c r="AM56" s="247"/>
      <c r="AO56" s="247" t="str">
        <f>IF(COUNTIF(AO71:AW126,"BLANK"),"BLANK",IF(OR(SUMPRODUCT(--ISERROR(AO71:AW126))&gt;0,COUNTIF(AO71:AW126,"REJECT")),"REJECT",IF(COUNTIF(AO71:AW126,"CHECK"),"CHECK","EQ")))</f>
        <v>EQ</v>
      </c>
      <c r="AP56" s="247"/>
      <c r="AQ56" s="247" t="s">
        <v>42</v>
      </c>
      <c r="AR56" s="247"/>
      <c r="AS56" s="247"/>
      <c r="AT56" s="247"/>
      <c r="AU56" s="247"/>
      <c r="AV56" s="247"/>
      <c r="AW56" s="247"/>
      <c r="AY56" s="247" t="str">
        <f>IF(COUNTIF(AY76:BG101,"BLANK"),"BLANK",IF(OR(SUMPRODUCT(--ISERROR(AY76:BG101))&gt;0,COUNTIF(AY76:BG101,"REJECT")),"REJECT",IF(COUNTIF(AY76:BG101,"CHECK"),"CHECK","EQ")))</f>
        <v>EQ</v>
      </c>
      <c r="AZ56" s="247"/>
      <c r="BA56" s="247" t="s">
        <v>52</v>
      </c>
      <c r="BB56" s="247"/>
      <c r="BC56" s="247"/>
      <c r="BD56" s="247"/>
      <c r="BE56" s="247"/>
      <c r="BF56" s="247"/>
      <c r="BG56" s="247"/>
      <c r="BI56" s="247" t="str">
        <f>IF(COUNTIF(BI74:BQ105,"BLANK"),"BLANK",IF(OR(SUMPRODUCT(--ISERROR(BI74:BQ105))&gt;0,COUNTIF(BI74:BQ105,"REJECT")),"REJECT",IF(COUNTIF(BI74:BQ105,"CHECK"),"CHECK","EQ")))</f>
        <v>BLANK</v>
      </c>
      <c r="BJ56" s="247"/>
      <c r="BK56" s="247" t="s">
        <v>62</v>
      </c>
      <c r="BL56" s="247"/>
      <c r="BM56" s="247"/>
      <c r="BN56" s="247"/>
      <c r="BO56" s="247"/>
      <c r="BP56" s="247"/>
      <c r="BQ56" s="247"/>
      <c r="BS56" s="235" t="str">
        <f>IF($G$8="IC - Internal Combustion","N/A",
IF(COUNTIF(BS67:CA84,"BLANK"),"BLANK",IF(COUNTIF(BS67:CA84,"REJECT"),"REJECT",IF(COUNTIF(BS67:CA84,"CHECK"),"CHECK","EQ"))))</f>
        <v>BLANK</v>
      </c>
      <c r="BT56" s="235"/>
      <c r="BU56" s="235" t="s">
        <v>452</v>
      </c>
      <c r="BV56" s="235"/>
      <c r="BW56" s="235"/>
      <c r="BX56" s="235"/>
      <c r="BY56" s="235"/>
      <c r="BZ56" s="235"/>
      <c r="CA56" s="235"/>
      <c r="CC56" s="235" t="str">
        <f>IF($G$8="IC - Internal Combustion","N/A",
IF(COUNTIF(CC67:CK84,"BLANK"),"BLANK",IF(COUNTIF(CC67:CK84,"REJECT"),"REJECT",IF(COUNTIF(CC67:CK84,"CHECK"),"CHECK","EQ"))))</f>
        <v>BLANK</v>
      </c>
      <c r="CD56" s="235"/>
      <c r="CE56" s="235" t="s">
        <v>453</v>
      </c>
      <c r="CF56" s="235"/>
      <c r="CG56" s="235"/>
      <c r="CH56" s="235"/>
      <c r="CI56" s="235"/>
      <c r="CJ56" s="235"/>
      <c r="CK56" s="235"/>
      <c r="CM56" s="235" t="str">
        <f>IF($G$8="IC - Internal Combustion","N/A",
IF(COUNTIF(CM80:CU113,"BLANK"),"BLANK",IF(COUNTIF(CM80:CU113,"REJECT"),"REJECT",IF(COUNTIF(CM80:CU113,"CHECK"),"CHECK","EQ"))))</f>
        <v>BLANK</v>
      </c>
      <c r="CN56" s="235"/>
      <c r="CO56" s="235" t="s">
        <v>454</v>
      </c>
      <c r="CP56" s="235"/>
      <c r="CQ56" s="235"/>
      <c r="CR56" s="235"/>
      <c r="CS56" s="235"/>
      <c r="CT56" s="235"/>
      <c r="CU56" s="235"/>
      <c r="CW56" s="202"/>
    </row>
    <row r="57" spans="1:102" ht="15" customHeight="1" x14ac:dyDescent="0.3">
      <c r="A57" s="247"/>
      <c r="B57" s="247"/>
      <c r="C57" s="247"/>
      <c r="D57" s="247"/>
      <c r="E57" s="247"/>
      <c r="F57" s="247"/>
      <c r="G57" s="247"/>
      <c r="H57" s="247"/>
      <c r="I57" s="247"/>
      <c r="K57" s="247"/>
      <c r="L57" s="247"/>
      <c r="M57" s="247"/>
      <c r="N57" s="247"/>
      <c r="O57" s="247"/>
      <c r="P57" s="247"/>
      <c r="Q57" s="247"/>
      <c r="R57" s="247"/>
      <c r="S57" s="247"/>
      <c r="U57" s="247"/>
      <c r="V57" s="247"/>
      <c r="W57" s="247"/>
      <c r="X57" s="247"/>
      <c r="Y57" s="247"/>
      <c r="Z57" s="247"/>
      <c r="AA57" s="247"/>
      <c r="AB57" s="247"/>
      <c r="AC57" s="247"/>
      <c r="AE57" s="247"/>
      <c r="AF57" s="247"/>
      <c r="AG57" s="247"/>
      <c r="AH57" s="247"/>
      <c r="AI57" s="247"/>
      <c r="AJ57" s="247"/>
      <c r="AK57" s="247"/>
      <c r="AL57" s="247"/>
      <c r="AM57" s="247"/>
      <c r="AO57" s="247"/>
      <c r="AP57" s="247"/>
      <c r="AQ57" s="247"/>
      <c r="AR57" s="247"/>
      <c r="AS57" s="247"/>
      <c r="AT57" s="247"/>
      <c r="AU57" s="247"/>
      <c r="AV57" s="247"/>
      <c r="AW57" s="247"/>
      <c r="AY57" s="247"/>
      <c r="AZ57" s="247"/>
      <c r="BA57" s="247"/>
      <c r="BB57" s="247"/>
      <c r="BC57" s="247"/>
      <c r="BD57" s="247"/>
      <c r="BE57" s="247"/>
      <c r="BF57" s="247"/>
      <c r="BG57" s="247"/>
      <c r="BI57" s="247"/>
      <c r="BJ57" s="247"/>
      <c r="BK57" s="247"/>
      <c r="BL57" s="247"/>
      <c r="BM57" s="247"/>
      <c r="BN57" s="247"/>
      <c r="BO57" s="247"/>
      <c r="BP57" s="247"/>
      <c r="BQ57" s="247"/>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47" t="s">
        <v>26</v>
      </c>
      <c r="V58" s="247"/>
      <c r="W58" s="247"/>
      <c r="X58" s="247"/>
      <c r="Y58" s="247"/>
      <c r="Z58" s="247"/>
      <c r="AA58" s="247"/>
      <c r="AB58" s="247"/>
      <c r="AC58" s="247"/>
      <c r="AE58" s="204"/>
      <c r="AF58" s="204"/>
      <c r="AG58" s="204"/>
      <c r="AH58" s="204"/>
      <c r="AI58" s="204"/>
      <c r="AJ58" s="204"/>
      <c r="AK58" s="204"/>
      <c r="AL58" s="204"/>
      <c r="AM58" s="204"/>
      <c r="AO58" s="247" t="s">
        <v>41</v>
      </c>
      <c r="AP58" s="247"/>
      <c r="AQ58" s="247"/>
      <c r="AR58" s="247"/>
      <c r="AS58" s="247"/>
      <c r="AT58" s="247"/>
      <c r="AU58" s="247"/>
      <c r="AV58" s="247"/>
      <c r="AW58" s="247"/>
      <c r="AY58" s="247" t="s">
        <v>53</v>
      </c>
      <c r="AZ58" s="247"/>
      <c r="BA58" s="247"/>
      <c r="BB58" s="247"/>
      <c r="BC58" s="247"/>
      <c r="BD58" s="247"/>
      <c r="BE58" s="247"/>
      <c r="BF58" s="247"/>
      <c r="BG58" s="247"/>
      <c r="BI58" s="247" t="s">
        <v>58</v>
      </c>
      <c r="BJ58" s="247"/>
      <c r="BK58" s="247"/>
      <c r="BL58" s="247"/>
      <c r="BM58" s="247"/>
      <c r="BN58" s="247"/>
      <c r="BO58" s="247"/>
      <c r="BP58" s="247"/>
      <c r="BQ58" s="247"/>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41" t="str">
        <f>IF(COUNTIF(I60:I61,"BLANK"),"BLANK",IF(OR(SUMPRODUCT(--ISERROR(I60:I61))&gt;0,COUNTIF(I60:I61,"REJECT")),"REJECT",IF(COUNTIF(I60:I61,"CHECK"),"CHECK","EQ")))</f>
        <v>BLANK</v>
      </c>
      <c r="B59" s="241"/>
      <c r="C59" s="241"/>
      <c r="D59" s="241"/>
      <c r="E59" s="241"/>
      <c r="F59" s="241"/>
      <c r="G59" s="241"/>
      <c r="H59" s="241"/>
      <c r="I59" s="241"/>
      <c r="K59" s="19" t="s">
        <v>380</v>
      </c>
      <c r="L59" s="12"/>
      <c r="U59" s="247"/>
      <c r="V59" s="247"/>
      <c r="W59" s="247"/>
      <c r="X59" s="247"/>
      <c r="Y59" s="247"/>
      <c r="Z59" s="247"/>
      <c r="AA59" s="247"/>
      <c r="AB59" s="247"/>
      <c r="AC59" s="247"/>
      <c r="AE59" s="19" t="s">
        <v>337</v>
      </c>
      <c r="AF59" s="19"/>
      <c r="AG59" s="19"/>
      <c r="AH59" s="19"/>
      <c r="AI59" s="19"/>
      <c r="AJ59" s="19"/>
      <c r="AK59" s="19"/>
      <c r="AL59" s="19"/>
      <c r="AM59" s="19"/>
      <c r="AO59" s="247"/>
      <c r="AP59" s="247"/>
      <c r="AQ59" s="247"/>
      <c r="AR59" s="247"/>
      <c r="AS59" s="247"/>
      <c r="AT59" s="247"/>
      <c r="AU59" s="247"/>
      <c r="AV59" s="247"/>
      <c r="AW59" s="247"/>
      <c r="AY59" s="247"/>
      <c r="AZ59" s="247"/>
      <c r="BA59" s="247"/>
      <c r="BB59" s="247"/>
      <c r="BC59" s="247"/>
      <c r="BD59" s="247"/>
      <c r="BE59" s="247"/>
      <c r="BF59" s="247"/>
      <c r="BG59" s="247"/>
      <c r="BI59" s="247"/>
      <c r="BJ59" s="247"/>
      <c r="BK59" s="247"/>
      <c r="BL59" s="247"/>
      <c r="BM59" s="247"/>
      <c r="BN59" s="247"/>
      <c r="BO59" s="247"/>
      <c r="BP59" s="247"/>
      <c r="BQ59" s="247"/>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34" t="s">
        <v>20</v>
      </c>
      <c r="C60" s="234"/>
      <c r="D60" s="234"/>
      <c r="E60" s="234"/>
      <c r="F60" s="243"/>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34" t="s">
        <v>169</v>
      </c>
      <c r="C61" s="234"/>
      <c r="D61" s="234"/>
      <c r="E61" s="234"/>
      <c r="F61" s="248"/>
      <c r="G61" s="57"/>
      <c r="H61" s="12" t="str">
        <f>IF($D$25="mm","mm","in")</f>
        <v>mm</v>
      </c>
      <c r="I61" s="163" t="str">
        <f>IF(G61="","BLANK",IF($D$25="mm",IF(AND(G60="Steel",G61&gt;=1.5),"EQ",IF(AND(G60="Aluminum",G61&gt;=4),"EQ","REJECT")),
IF(AND(G60="Steel",G61&gt;=0.06),"EQ",IF(AND(G60="Aluminum",G61&gt;=0.157),"EQ","REJECT"))))</f>
        <v>BLANK</v>
      </c>
      <c r="U61" s="264"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41" t="str">
        <f>IF(COUNTIF(S63:S70,"BLANK"),"BLANK",IF(OR(SUMPRODUCT(--ISERROR(S63:S70))&gt;0,COUNTIF(S63:S70,"REJECT")),"REJECT",IF(COUNTIF(S63:S70,"CHECK"),"CHECK","EQ")))</f>
        <v>EQ</v>
      </c>
      <c r="L62" s="241"/>
      <c r="M62" s="241"/>
      <c r="N62" s="241"/>
      <c r="O62" s="241"/>
      <c r="P62" s="241"/>
      <c r="Q62" s="241"/>
      <c r="R62" s="241"/>
      <c r="S62" s="241"/>
      <c r="U62" s="264"/>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41" t="str">
        <f>IF(COUNTIF(I64:I67,"BLANK"),"BLANK",IF(OR(SUMPRODUCT(--ISERROR(I64:I67))&gt;0,COUNTIF(I64:I67,"REJECT")),"REJECT",IF(COUNTIF(I64:I67,"CHECK"),"CHECK","EQ")))</f>
        <v>BLANK</v>
      </c>
      <c r="B63" s="241"/>
      <c r="C63" s="241"/>
      <c r="D63" s="241"/>
      <c r="E63" s="241"/>
      <c r="F63" s="241"/>
      <c r="G63" s="241"/>
      <c r="H63" s="241"/>
      <c r="I63" s="241"/>
      <c r="K63" s="200" t="s">
        <v>313</v>
      </c>
      <c r="L63" s="191" t="s">
        <v>28</v>
      </c>
      <c r="M63" s="163"/>
      <c r="N63" s="163"/>
      <c r="O63" s="163"/>
      <c r="P63" s="200" t="s">
        <v>304</v>
      </c>
      <c r="Q63" s="242" t="s">
        <v>305</v>
      </c>
      <c r="R63" s="242"/>
      <c r="S63" s="163" t="s">
        <v>89</v>
      </c>
      <c r="U63" s="264"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34" t="s">
        <v>22</v>
      </c>
      <c r="C64" s="234"/>
      <c r="D64" s="234"/>
      <c r="E64" s="234"/>
      <c r="F64" s="243"/>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4"/>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41" t="str">
        <f>IF(G64="Welded","AI plate must at least reach the centerline of Front Bulkhead tubes.","AI plate must match entire Front Bulkhead perimeter.")</f>
        <v>AI plate must at least reach the centerline of Front Bulkhead tubes.</v>
      </c>
      <c r="C65" s="241"/>
      <c r="D65" s="241"/>
      <c r="E65" s="241"/>
      <c r="F65" s="241"/>
      <c r="G65" s="241"/>
      <c r="H65" s="241"/>
      <c r="I65" s="163" t="s">
        <v>89</v>
      </c>
      <c r="K65" s="200" t="s">
        <v>489</v>
      </c>
      <c r="L65" s="12"/>
      <c r="M65" s="212"/>
      <c r="N65" s="212"/>
      <c r="O65" s="212" t="s">
        <v>23</v>
      </c>
      <c r="P65" s="213">
        <f>IF($D$25="mm",2,0.079)</f>
        <v>2</v>
      </c>
      <c r="Q65" s="50">
        <v>2</v>
      </c>
      <c r="R65" s="12" t="str">
        <f>IF($D$25="mm","mm","in")</f>
        <v>mm</v>
      </c>
      <c r="S65" s="163" t="str">
        <f>IF(Q65="","BLANK",IF(Q65&lt;P65,"REJECT","EQ"))</f>
        <v>EQ</v>
      </c>
      <c r="T65" s="1"/>
      <c r="U65" s="264"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34" t="str">
        <f>IF(G64="Welded","At least half the perimeter must be welded:",IF($D$25="mm","Number of 8mm critical fasteners (8 required):","Number of 5/16in critical fasteners (8 required):"))</f>
        <v>At least half the perimeter must be welded:</v>
      </c>
      <c r="C66" s="234"/>
      <c r="D66" s="234"/>
      <c r="E66" s="234"/>
      <c r="F66" s="248"/>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4"/>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63"/>
      <c r="CD66" s="263"/>
      <c r="CE66" s="263"/>
      <c r="CF66" s="263"/>
      <c r="CG66" s="263"/>
      <c r="CH66" s="263"/>
      <c r="CI66" s="263"/>
      <c r="CJ66" s="263"/>
      <c r="CK66" s="263"/>
      <c r="CL66" s="52"/>
      <c r="CM66" s="19" t="s">
        <v>456</v>
      </c>
      <c r="CN66" s="45"/>
      <c r="CO66" s="45"/>
      <c r="CP66" s="45"/>
      <c r="CQ66" s="45"/>
      <c r="CR66" s="45"/>
      <c r="CS66" s="45"/>
      <c r="CT66" s="45"/>
      <c r="CU66" s="45"/>
      <c r="CW66" s="93" t="s">
        <v>435</v>
      </c>
    </row>
    <row r="67" spans="1:111" ht="15" customHeight="1" x14ac:dyDescent="0.3">
      <c r="B67" s="234" t="str">
        <f>IF(G64="Welded","Shortest weld &gt;= 25mm (1in):","Minimum distance between bolt centers:")</f>
        <v>Shortest weld &gt;= 25mm (1in):</v>
      </c>
      <c r="C67" s="234"/>
      <c r="D67" s="234"/>
      <c r="E67" s="234"/>
      <c r="F67" s="248"/>
      <c r="G67" s="50"/>
      <c r="H67" s="12" t="str">
        <f>IF($D$25="mm","mm","in")</f>
        <v>mm</v>
      </c>
      <c r="I67" s="163" t="str">
        <f>IF(G67="","BLANK",IF(AND(G$64="Welded",OR(AND($D$25="mm",G67&gt;=25),AND($D$25="Inch",G67&gt;=1))),"EQ",IF(AND(G$64="Bolted",OR(AND($D$25="mm",G67&gt;=50),AND($D$25="Inch",G67&gt;=2))),"EQ","REJECT")))</f>
        <v>BLANK</v>
      </c>
      <c r="K67" s="12"/>
      <c r="L67" s="12"/>
      <c r="M67" s="212"/>
      <c r="N67" s="212"/>
      <c r="O67" s="212" t="s">
        <v>23</v>
      </c>
      <c r="P67" s="216">
        <v>2</v>
      </c>
      <c r="Q67" s="163">
        <f>IF(Q65="","",IF($D$25="mm",Q65,ROUND(Q65*25.4,1)))</f>
        <v>2</v>
      </c>
      <c r="R67" s="12" t="s">
        <v>202</v>
      </c>
      <c r="S67" s="163" t="str">
        <f t="shared" si="0"/>
        <v>EQ</v>
      </c>
      <c r="U67" s="264"/>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41" t="str">
        <f>IF(COUNTIF(CA68:CA75,"BLANK"),"BLANK",IF(OR(SUMPRODUCT(--ISERROR(CA68:CA75))&gt;0,COUNTIF(CA68:CA75,"REJECT")),"REJECT",IF(COUNTIF(CA68:CA75,"CHECK"),"CHECK","EQ")))</f>
        <v>BLANK</v>
      </c>
      <c r="BT67" s="241"/>
      <c r="BU67" s="241"/>
      <c r="BV67" s="241"/>
      <c r="BW67" s="241"/>
      <c r="BX67" s="241"/>
      <c r="BY67" s="241"/>
      <c r="BZ67" s="241"/>
      <c r="CA67" s="241"/>
      <c r="CC67" s="241" t="str">
        <f>IF(COUNTIF(CK68:CK75,"BLANK"),"BLANK",IF(OR(SUMPRODUCT(--ISERROR(CK68:CK75))&gt;0,COUNTIF(CK68:CK75,"REJECT")),"REJECT",IF(COUNTIF(CK68:CK75,"CHECK"),"CHECK","EQ")))</f>
        <v>BLANK</v>
      </c>
      <c r="CD67" s="241"/>
      <c r="CE67" s="241"/>
      <c r="CF67" s="241"/>
      <c r="CG67" s="241"/>
      <c r="CH67" s="241"/>
      <c r="CI67" s="241"/>
      <c r="CJ67" s="241"/>
      <c r="CK67" s="241"/>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42" t="s">
        <v>305</v>
      </c>
      <c r="BZ68" s="242"/>
      <c r="CA68" s="163" t="s">
        <v>89</v>
      </c>
      <c r="CC68" s="200" t="s">
        <v>368</v>
      </c>
      <c r="CD68" s="46" t="s">
        <v>545</v>
      </c>
      <c r="CE68" s="163"/>
      <c r="CF68" s="163"/>
      <c r="CG68" s="163"/>
      <c r="CH68" s="200" t="s">
        <v>304</v>
      </c>
      <c r="CI68" s="242" t="s">
        <v>305</v>
      </c>
      <c r="CJ68" s="242"/>
      <c r="CK68" s="163" t="s">
        <v>89</v>
      </c>
      <c r="CM68" s="19" t="s">
        <v>460</v>
      </c>
      <c r="CN68" s="45"/>
      <c r="CO68" s="45"/>
      <c r="CP68" s="45"/>
      <c r="CQ68" s="45"/>
      <c r="CR68" s="45"/>
      <c r="CS68" s="45"/>
      <c r="CT68" s="45"/>
      <c r="CU68" s="45"/>
      <c r="CW68" s="93" t="s">
        <v>424</v>
      </c>
    </row>
    <row r="69" spans="1:111" ht="15" customHeight="1" thickBot="1" x14ac:dyDescent="0.35">
      <c r="A69" s="241" t="str">
        <f>IF(COUNTIF(I70:I87,"BLANK"),"BLANK",IF(OR(SUMPRODUCT(--ISERROR(I70:I87))&gt;0,COUNTIF(I70:I87,"REJECT")),"REJECT",IF(COUNTIF(I70:I87,"CHECK"),"CHECK","EQ")))</f>
        <v>EQ</v>
      </c>
      <c r="B69" s="241"/>
      <c r="C69" s="241"/>
      <c r="D69" s="241"/>
      <c r="E69" s="241"/>
      <c r="F69" s="241"/>
      <c r="G69" s="241"/>
      <c r="H69" s="241"/>
      <c r="I69" s="241"/>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42" t="s">
        <v>305</v>
      </c>
      <c r="H70" s="242"/>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62" t="str">
        <f>IF(COUNTIF(AM71:AM74,"BLANK"),"BLANK",IF(OR(SUMPRODUCT(--ISERROR(AM71:AM74))&gt;0,COUNTIF(AM71:AM74,"REJECT")),"REJECT",IF(COUNTIF(AM71:AM74,"CHECK"),"CHECK","EQ")))</f>
        <v>EQ</v>
      </c>
      <c r="AF70" s="262"/>
      <c r="AG70" s="262"/>
      <c r="AH70" s="262"/>
      <c r="AI70" s="262"/>
      <c r="AJ70" s="262"/>
      <c r="AK70" s="262"/>
      <c r="AL70" s="262"/>
      <c r="AM70" s="26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68" t="s">
        <v>436</v>
      </c>
      <c r="CX70" s="268"/>
      <c r="CY70" s="268"/>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36" t="s">
        <v>347</v>
      </c>
      <c r="AL71" s="237"/>
      <c r="AM71" s="25" t="str">
        <f>IF(AJ45="Composite","N/A",IF(AK71="","BLANK","EQ"))</f>
        <v>EQ</v>
      </c>
      <c r="AO71" s="241" t="str">
        <f>IF(COUNTIF(AW72:AW79,"BLANK"),"BLANK",IF(OR(SUMPRODUCT(--ISERROR(AW72:AW79))&gt;0,COUNTIF(AW72:AW79,"REJECT")),"REJECT",IF(COUNTIF(AW72:AW79,"CHECK"),"CHECK","EQ")))</f>
        <v>EQ</v>
      </c>
      <c r="AP71" s="241"/>
      <c r="AQ71" s="241"/>
      <c r="AR71" s="241"/>
      <c r="AS71" s="241"/>
      <c r="AT71" s="241"/>
      <c r="AU71" s="241"/>
      <c r="AV71" s="241"/>
      <c r="AW71" s="241"/>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68"/>
      <c r="CX71" s="268"/>
      <c r="CY71" s="268"/>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41" t="str">
        <f>IF(COUNTIF(S73,"BLANK"),"BLANK",IF(OR(SUMPRODUCT(--ISERROR(S73))&gt;0,COUNTIF(S73,"REJECT")),"REJECT",IF(COUNTIF(S73,"CHECK"),"CHECK","EQ")))</f>
        <v>BLANK</v>
      </c>
      <c r="L72" s="241"/>
      <c r="M72" s="241"/>
      <c r="N72" s="241"/>
      <c r="O72" s="241"/>
      <c r="P72" s="241"/>
      <c r="Q72" s="241"/>
      <c r="R72" s="241"/>
      <c r="S72" s="241"/>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42" t="s">
        <v>305</v>
      </c>
      <c r="AV72" s="242"/>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34" t="s">
        <v>32</v>
      </c>
      <c r="M73" s="234"/>
      <c r="N73" s="234"/>
      <c r="O73" s="234"/>
      <c r="P73" s="248"/>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41" t="str">
        <f>IF(COUNTIF(BQ75,"BLANK"),"BLANK",IF(OR(SUMPRODUCT(--ISERROR(BQ75))&gt;0,COUNTIF(BQ75,"REJECT")),"REJECT",IF(COUNTIF(BQ75,"CHECK"),"CHECK","EQ")))</f>
        <v>BLANK</v>
      </c>
      <c r="BJ74" s="241"/>
      <c r="BK74" s="241"/>
      <c r="BL74" s="241"/>
      <c r="BM74" s="241"/>
      <c r="BN74" s="241"/>
      <c r="BO74" s="241"/>
      <c r="BP74" s="241"/>
      <c r="BQ74" s="241"/>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41" t="str">
        <f>IF(COUNTIF(S76,"BLANK"),"BLANK",IF(OR(SUMPRODUCT(--ISERROR(S76))&gt;0,COUNTIF(S76,"REJECT")),"REJECT",IF(COUNTIF(S76,"CHECK"),"CHECK","EQ")))</f>
        <v>BLANK</v>
      </c>
      <c r="L75" s="241"/>
      <c r="M75" s="241"/>
      <c r="N75" s="241"/>
      <c r="O75" s="241"/>
      <c r="P75" s="241"/>
      <c r="Q75" s="241"/>
      <c r="R75" s="241"/>
      <c r="S75" s="241"/>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42" t="str">
        <f>AP113</f>
        <v>Main Hoop requires braces that run rearward.</v>
      </c>
      <c r="BA75" s="242"/>
      <c r="BB75" s="242"/>
      <c r="BC75" s="242"/>
      <c r="BD75" s="242"/>
      <c r="BE75" s="242"/>
      <c r="BF75" s="242"/>
      <c r="BI75" s="200" t="s">
        <v>398</v>
      </c>
      <c r="BJ75" s="234" t="s">
        <v>59</v>
      </c>
      <c r="BK75" s="234"/>
      <c r="BL75" s="234"/>
      <c r="BM75" s="234"/>
      <c r="BN75" s="248"/>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34" t="s">
        <v>31</v>
      </c>
      <c r="M76" s="234"/>
      <c r="N76" s="234"/>
      <c r="O76" s="234"/>
      <c r="P76" s="248"/>
      <c r="Q76" s="50"/>
      <c r="R76" s="12" t="str">
        <f>IF($D$25="mm","mm","in")</f>
        <v>mm</v>
      </c>
      <c r="S76" s="163" t="str">
        <f>IF(Q76="","BLANK",IF(OR(AND($D$25="mm",Q76&lt;=250),AND($D$25="Inch",Q76&lt;=9.8)),"EQ","REJECT"))</f>
        <v>BLANK</v>
      </c>
      <c r="U76" s="19" t="s">
        <v>27</v>
      </c>
      <c r="V76" s="19"/>
      <c r="W76" s="19"/>
      <c r="X76" s="19"/>
      <c r="Y76" s="19"/>
      <c r="Z76" s="19"/>
      <c r="AA76" s="19"/>
      <c r="AB76" s="19"/>
      <c r="AC76" s="19"/>
      <c r="AD76" s="19"/>
      <c r="AE76" s="241" t="str">
        <f>IF(COUNTIF(AM77:AM85,"BLANK"),"BLANK",IF(OR(SUMPRODUCT(--ISERROR(AM77:AM85))&gt;0,COUNTIF(AM77:AM85,"REJECT")),"REJECT",IF(COUNTIF(AM77:AM85,"CHECK"),"CHECK","EQ")))</f>
        <v>EQ</v>
      </c>
      <c r="AF76" s="241"/>
      <c r="AG76" s="241"/>
      <c r="AH76" s="241"/>
      <c r="AI76" s="241"/>
      <c r="AJ76" s="241"/>
      <c r="AK76" s="241"/>
      <c r="AL76" s="241"/>
      <c r="AM76" s="241"/>
      <c r="AQ76" s="212"/>
      <c r="AR76" s="212"/>
      <c r="AS76" s="212" t="s">
        <v>23</v>
      </c>
      <c r="AT76" s="216">
        <v>2</v>
      </c>
      <c r="AU76" s="163">
        <f>IF(AU74="","",IF($D$25="mm",AU74,ROUND(AU74*25.4,1)))</f>
        <v>2</v>
      </c>
      <c r="AV76" s="12" t="s">
        <v>202</v>
      </c>
      <c r="AW76" s="163" t="str">
        <f t="shared" si="4"/>
        <v>EQ</v>
      </c>
      <c r="AY76" s="241" t="str">
        <f>IF(COUNTIF(BG77:BG78,"BLANK"),"BLANK",IF(OR(SUMPRODUCT(--ISERROR(BG77:BG78))&gt;0,COUNTIF(BG77:BG78,"REJECT")),"REJECT",IF(COUNTIF(BG77:BG78,"CHECK"),"CHECK","EQ")))</f>
        <v>EQ</v>
      </c>
      <c r="AZ76" s="241"/>
      <c r="BA76" s="241"/>
      <c r="BB76" s="241"/>
      <c r="BC76" s="241"/>
      <c r="BD76" s="241"/>
      <c r="BE76" s="241"/>
      <c r="BF76" s="241"/>
      <c r="BG76" s="241"/>
      <c r="BS76" s="49"/>
      <c r="BT76" s="246"/>
      <c r="BU76" s="246"/>
      <c r="BV76" s="246"/>
      <c r="BW76" s="246"/>
      <c r="BX76" s="58"/>
      <c r="BY76" s="58"/>
      <c r="CA76" s="25"/>
      <c r="CC76" s="49"/>
      <c r="CD76" s="246"/>
      <c r="CE76" s="246"/>
      <c r="CF76" s="246"/>
      <c r="CG76" s="246"/>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36" t="s">
        <v>40</v>
      </c>
      <c r="AL77" s="261"/>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34" t="s">
        <v>55</v>
      </c>
      <c r="BA77" s="234"/>
      <c r="BB77" s="234"/>
      <c r="BC77" s="234"/>
      <c r="BD77" s="234"/>
      <c r="BE77" s="148" t="s">
        <v>45</v>
      </c>
      <c r="BG77" s="163" t="str">
        <f>IF(BE77="","BLANK",IF(AU112=0,"EQ",IF(AU111=BE77,"EQ","REJECT")))</f>
        <v>EQ</v>
      </c>
      <c r="BI77" s="241" t="str">
        <f>IF(COUNTIF(BQ78:BQ79,"BLANK"),"BLANK",IF(OR(SUMPRODUCT(--ISERROR(BQ78:BQ79))&gt;0,COUNTIF(BQ78:BQ79,"REJECT")),"REJECT",IF(COUNTIF(BQ78:BQ79,"CHECK"),"CHECK","EQ")))</f>
        <v>BLANK</v>
      </c>
      <c r="BJ77" s="241"/>
      <c r="BK77" s="241"/>
      <c r="BL77" s="241"/>
      <c r="BM77" s="241"/>
      <c r="BN77" s="241"/>
      <c r="BO77" s="241"/>
      <c r="BP77" s="241"/>
      <c r="BQ77" s="241"/>
      <c r="BS77" s="60"/>
      <c r="BT77" s="246"/>
      <c r="BU77" s="246"/>
      <c r="BV77" s="246"/>
      <c r="BW77" s="246"/>
      <c r="BX77" s="58"/>
      <c r="BY77" s="58"/>
      <c r="CA77" s="25"/>
      <c r="CB77" s="52"/>
      <c r="CC77" s="60"/>
      <c r="CD77" s="246"/>
      <c r="CE77" s="246"/>
      <c r="CF77" s="246"/>
      <c r="CG77" s="246"/>
      <c r="CH77" s="58"/>
      <c r="CI77" s="58"/>
      <c r="CK77" s="25"/>
      <c r="CW77" s="12" t="s">
        <v>447</v>
      </c>
    </row>
    <row r="78" spans="1:111" ht="15" customHeight="1" thickBot="1" x14ac:dyDescent="0.35">
      <c r="A78" s="47" t="s">
        <v>562</v>
      </c>
      <c r="B78" s="25"/>
      <c r="C78" s="25"/>
      <c r="D78" s="25"/>
      <c r="E78" s="25"/>
      <c r="F78" s="49" t="s">
        <v>561</v>
      </c>
      <c r="G78" s="236" t="s">
        <v>563</v>
      </c>
      <c r="H78" s="237"/>
      <c r="I78" s="163" t="str">
        <f>IF(G78="","BLANK","EQ")</f>
        <v>EQ</v>
      </c>
      <c r="K78" s="241" t="str">
        <f>IF(COUNTIF(S79,"BLANK"),"BLANK",IF(OR(SUMPRODUCT(--ISERROR(S79))&gt;0,COUNTIF(S79,"REJECT")),"REJECT",IF(COUNTIF(S79,"CHECK"),"CHECK","EQ")))</f>
        <v>EQ</v>
      </c>
      <c r="L78" s="241"/>
      <c r="M78" s="241"/>
      <c r="N78" s="241"/>
      <c r="O78" s="241"/>
      <c r="P78" s="241"/>
      <c r="Q78" s="241"/>
      <c r="R78" s="241"/>
      <c r="S78" s="241"/>
      <c r="U78" s="12" t="s">
        <v>410</v>
      </c>
      <c r="V78" s="19"/>
      <c r="W78" s="19"/>
      <c r="X78" s="19"/>
      <c r="Y78" s="19"/>
      <c r="Z78" s="19"/>
      <c r="AA78" s="19"/>
      <c r="AB78" s="19"/>
      <c r="AC78" s="19"/>
      <c r="AD78" s="19"/>
      <c r="AE78" s="200"/>
      <c r="AG78" s="163"/>
      <c r="AH78" s="163"/>
      <c r="AI78" s="163"/>
      <c r="AJ78" s="200" t="s">
        <v>304</v>
      </c>
      <c r="AK78" s="242" t="s">
        <v>305</v>
      </c>
      <c r="AL78" s="242"/>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34" t="s">
        <v>56</v>
      </c>
      <c r="BA78" s="234"/>
      <c r="BB78" s="234"/>
      <c r="BC78" s="234"/>
      <c r="BD78" s="234"/>
      <c r="BE78" s="57">
        <v>42</v>
      </c>
      <c r="BF78" s="12" t="s">
        <v>29</v>
      </c>
      <c r="BG78" s="163" t="str">
        <f>IF(BE78="","BLANK",IF(AND(ABS(BE78)&gt;=30,ABS(BE78)&lt;90),"EQ","REJECT"))</f>
        <v>EQ</v>
      </c>
      <c r="BI78" s="200" t="s">
        <v>396</v>
      </c>
      <c r="BJ78" s="234" t="s">
        <v>60</v>
      </c>
      <c r="BK78" s="234"/>
      <c r="BL78" s="234"/>
      <c r="BM78" s="234"/>
      <c r="BN78" s="234"/>
      <c r="BO78" s="148" t="s">
        <v>45</v>
      </c>
      <c r="BQ78" s="163" t="str">
        <f>IF(BO78="","BLANK","EQ")</f>
        <v>EQ</v>
      </c>
      <c r="BS78" s="47"/>
      <c r="BT78" s="246"/>
      <c r="BU78" s="246"/>
      <c r="BV78" s="246"/>
      <c r="BW78" s="246"/>
      <c r="BX78" s="58"/>
      <c r="BY78" s="58"/>
      <c r="CA78" s="25"/>
      <c r="CD78" s="246"/>
      <c r="CE78" s="246"/>
      <c r="CF78" s="246"/>
      <c r="CG78" s="246"/>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34" t="s">
        <v>57</v>
      </c>
      <c r="M79" s="234"/>
      <c r="N79" s="234"/>
      <c r="O79" s="234"/>
      <c r="P79" s="248"/>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34" t="str">
        <f>IF(BO78="Rearward","Helmet &gt;=50mm (2in) below Hoop/Brace plane:","Helmet &gt;=0 ahead of Main Hoop rear surface:")</f>
        <v>Helmet &gt;=50mm (2in) below Hoop/Brace plane:</v>
      </c>
      <c r="BK79" s="234"/>
      <c r="BL79" s="234"/>
      <c r="BM79" s="234"/>
      <c r="BN79" s="234"/>
      <c r="BO79" s="50"/>
      <c r="BP79" s="12" t="str">
        <f>IF($D$25="mm","mm","in")</f>
        <v>mm</v>
      </c>
      <c r="BQ79" s="163" t="str">
        <f>IF(BO79="","BLANK",IF(OR(AND(BO78="Forward",BO79&gt;=0),AND($D$25="mm",BO79&gt;=50),AND($D$25="Inch",BO79&gt;=2)),"EQ","REJECT"))</f>
        <v>BLANK</v>
      </c>
      <c r="BS79" s="72"/>
      <c r="BT79" s="246"/>
      <c r="BU79" s="246"/>
      <c r="BV79" s="246"/>
      <c r="BW79" s="246"/>
      <c r="BX79" s="58"/>
      <c r="BY79" s="58"/>
      <c r="CA79" s="25"/>
      <c r="CC79" s="72"/>
      <c r="CD79" s="246"/>
      <c r="CE79" s="246"/>
      <c r="CF79" s="246"/>
      <c r="CG79" s="246"/>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41" t="str">
        <f>IF(COUNTIF(BG81,"BLANK"),"BLANK",IF(OR(SUMPRODUCT(--ISERROR(BG81))&gt;0,COUNTIF(BG81,"REJECT")),"REJECT",IF(COUNTIF(BG81,"CHECK"),"CHECK","EQ")))</f>
        <v>EQ</v>
      </c>
      <c r="AZ80" s="241"/>
      <c r="BA80" s="241"/>
      <c r="BB80" s="241"/>
      <c r="BC80" s="241"/>
      <c r="BD80" s="241"/>
      <c r="BE80" s="241"/>
      <c r="BF80" s="241"/>
      <c r="BG80" s="241"/>
      <c r="BS80" s="244"/>
      <c r="BT80" s="244"/>
      <c r="BU80" s="245"/>
      <c r="BV80" s="245"/>
      <c r="BW80" s="245"/>
      <c r="BX80" s="67"/>
      <c r="BY80" s="67"/>
      <c r="BZ80" s="68"/>
      <c r="CA80" s="55"/>
      <c r="CC80" s="244"/>
      <c r="CD80" s="244"/>
      <c r="CE80" s="245"/>
      <c r="CF80" s="245"/>
      <c r="CG80" s="245"/>
      <c r="CH80" s="67"/>
      <c r="CI80" s="67"/>
      <c r="CJ80" s="68"/>
      <c r="CK80" s="55"/>
      <c r="CM80" s="241" t="str">
        <f>IF(COUNTIF(CU82:CU89,"BLANK"),"BLANK",IF(OR(SUMPRODUCT(--ISERROR(CU82:CU89))&gt;0,COUNTIF(CU82:CU89,"REJECT")),"REJECT",IF(COUNTIF(CU82:CU89,"CHECK"),"CHECK","EQ")))</f>
        <v>BLANK</v>
      </c>
      <c r="CN80" s="241"/>
      <c r="CO80" s="241"/>
      <c r="CP80" s="241"/>
      <c r="CQ80" s="241"/>
      <c r="CR80" s="241"/>
      <c r="CS80" s="241"/>
      <c r="CT80" s="241"/>
      <c r="CU80" s="241"/>
      <c r="CW80" s="219"/>
    </row>
    <row r="81" spans="1:111" ht="15" customHeight="1" thickBot="1" x14ac:dyDescent="0.35">
      <c r="A81" s="47" t="s">
        <v>534</v>
      </c>
      <c r="B81" s="19"/>
      <c r="C81" s="19"/>
      <c r="D81" s="19"/>
      <c r="E81" s="19"/>
      <c r="F81" s="49" t="s">
        <v>557</v>
      </c>
      <c r="G81" s="50"/>
      <c r="H81" s="19" t="str">
        <f>IF($D$25="mm","mm","in")</f>
        <v>mm</v>
      </c>
      <c r="I81" s="25" t="str">
        <f>IF(I80="N/A","N/A",IF(G81="","BLANK","EQ"))</f>
        <v>N/A</v>
      </c>
      <c r="K81" s="241" t="str">
        <f>IF(COUNTIF(S82,"BLANK"),"BLANK",IF(OR(SUMPRODUCT(--ISERROR(S82))&gt;0,COUNTIF(S82,"REJECT")),"REJECT",IF(COUNTIF(S82,"CHECK"),"CHECK","EQ")))</f>
        <v>EQ</v>
      </c>
      <c r="L81" s="241"/>
      <c r="M81" s="241"/>
      <c r="N81" s="241"/>
      <c r="O81" s="241"/>
      <c r="P81" s="241"/>
      <c r="Q81" s="241"/>
      <c r="R81" s="241"/>
      <c r="S81" s="241"/>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41" t="str">
        <f>IF(COUNTIF(AW82:AW90,"BLANK"),"BLANK",IF(OR(SUMPRODUCT(--ISERROR(AW82:AW90))&gt;0,COUNTIF(AW82:AW90,"REJECT")),"REJECT",IF(COUNTIF(AW82:AW90,"CHECK"),"CHECK","EQ")))</f>
        <v>EQ</v>
      </c>
      <c r="AP81" s="241"/>
      <c r="AQ81" s="241"/>
      <c r="AR81" s="241"/>
      <c r="AS81" s="241"/>
      <c r="AT81" s="241"/>
      <c r="AU81" s="241"/>
      <c r="AV81" s="241"/>
      <c r="AW81" s="241"/>
      <c r="AY81" s="47" t="s">
        <v>384</v>
      </c>
      <c r="AZ81" s="234" t="str">
        <f>IF($D$25="mm","Top of MH of MHB tube, 160mm vertical limit:","Top of MH to top of MHB tube, 6.3in vertical limit:")</f>
        <v>Top of MH of MHB tube, 160mm vertical limit:</v>
      </c>
      <c r="BA81" s="234"/>
      <c r="BB81" s="234"/>
      <c r="BC81" s="234"/>
      <c r="BD81" s="248"/>
      <c r="BE81" s="50">
        <v>147</v>
      </c>
      <c r="BF81" s="12" t="str">
        <f>IF($D$25="mm","mm","in")</f>
        <v>mm</v>
      </c>
      <c r="BG81" s="163" t="str">
        <f>IF(BE81="","BLANK",IF(OR(AND($D$25="mm",ABS(BE81)&lt;=160),AND($D$25="Inch",ABS(BE81)&lt;=6.3)),"EQ","REJECT"))</f>
        <v>EQ</v>
      </c>
      <c r="BI81" s="241" t="str">
        <f>IF(COUNTIF(BQ82,"BLANK"),"BLANK",IF(OR(SUMPRODUCT(--ISERROR(BQ82))&gt;0,COUNTIF(BQ82,"REJECT")),"REJECT",IF(COUNTIF(BQ82,"CHECK"),"CHECK","EQ")))</f>
        <v>BLANK</v>
      </c>
      <c r="BJ81" s="241"/>
      <c r="BK81" s="241"/>
      <c r="BL81" s="241"/>
      <c r="BM81" s="241"/>
      <c r="BN81" s="241"/>
      <c r="BO81" s="241"/>
      <c r="BP81" s="241"/>
      <c r="BQ81" s="241"/>
      <c r="BS81" s="72"/>
      <c r="BT81" s="245"/>
      <c r="BU81" s="245"/>
      <c r="BV81" s="245"/>
      <c r="BW81" s="245"/>
      <c r="BX81" s="67"/>
      <c r="BY81" s="67"/>
      <c r="BZ81" s="68"/>
      <c r="CA81" s="55"/>
      <c r="CC81" s="72"/>
      <c r="CD81" s="245"/>
      <c r="CE81" s="245"/>
      <c r="CF81" s="245"/>
      <c r="CG81" s="245"/>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34" t="s">
        <v>38</v>
      </c>
      <c r="M82" s="234"/>
      <c r="N82" s="234"/>
      <c r="O82" s="234"/>
      <c r="P82" s="248"/>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36" t="s">
        <v>40</v>
      </c>
      <c r="AV82" s="261"/>
      <c r="AW82" s="163" t="str">
        <f>IF(AU82="","BLANK",IF(AND(AU82="Bent",AU90="Square"),"REJECT","EQ"))</f>
        <v>EQ</v>
      </c>
      <c r="BI82" s="200" t="s">
        <v>397</v>
      </c>
      <c r="BJ82" s="234" t="s">
        <v>61</v>
      </c>
      <c r="BK82" s="234"/>
      <c r="BL82" s="234"/>
      <c r="BM82" s="234"/>
      <c r="BN82" s="248"/>
      <c r="BO82" s="50"/>
      <c r="BP82" s="12" t="str">
        <f>IF($D$25="mm","mm","in")</f>
        <v>mm</v>
      </c>
      <c r="BQ82" s="163" t="str">
        <f>IF(BO82="","BLANK",IF(BO82&gt;=0,"EQ","REJECT"))</f>
        <v>BLANK</v>
      </c>
      <c r="BS82" s="72"/>
      <c r="BT82" s="245"/>
      <c r="BU82" s="245"/>
      <c r="BV82" s="245"/>
      <c r="BW82" s="245"/>
      <c r="BX82" s="67"/>
      <c r="BY82" s="67"/>
      <c r="BZ82" s="68"/>
      <c r="CA82" s="55"/>
      <c r="CC82" s="72"/>
      <c r="CD82" s="245"/>
      <c r="CE82" s="245"/>
      <c r="CF82" s="245"/>
      <c r="CG82" s="245"/>
      <c r="CH82" s="67"/>
      <c r="CI82" s="67"/>
      <c r="CJ82" s="68"/>
      <c r="CK82" s="55"/>
      <c r="CM82" s="200"/>
      <c r="CN82" s="191" t="str">
        <f>IF(CR83="Size B",
"Accumulator Rear Impact Protection",
"Tractive Rear Impact Protection")</f>
        <v>Tractive Rear Impact Protection</v>
      </c>
      <c r="CO82" s="163"/>
      <c r="CP82" s="163"/>
      <c r="CQ82" s="163"/>
      <c r="CR82" s="200" t="s">
        <v>304</v>
      </c>
      <c r="CS82" s="242" t="s">
        <v>305</v>
      </c>
      <c r="CT82" s="242"/>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42" t="str">
        <f>IF(Q82&lt;=10,"Rearward Front Hoop Brace is not required.","Rearward Front Hoop Brace Required by Front Hoop.")</f>
        <v>Rearward Front Hoop Brace is not required.</v>
      </c>
      <c r="M83" s="242"/>
      <c r="N83" s="242"/>
      <c r="O83" s="242"/>
      <c r="P83" s="242"/>
      <c r="Q83" s="242"/>
      <c r="R83" s="242"/>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42" t="s">
        <v>305</v>
      </c>
      <c r="AV83" s="242"/>
      <c r="AW83" s="163" t="s">
        <v>89</v>
      </c>
      <c r="AY83" s="241" t="str">
        <f>IF(COUNTIF(BG84:BG91,"BLANK"),"BLANK",IF(OR(SUMPRODUCT(--ISERROR(BG84:BG91))&gt;0,COUNTIF(BG84:BG91,"REJECT")),"REJECT",IF(COUNTIF(BG84:BG91,"CHECK"),"CHECK","EQ")))</f>
        <v>EQ</v>
      </c>
      <c r="AZ83" s="241"/>
      <c r="BA83" s="241"/>
      <c r="BB83" s="241"/>
      <c r="BC83" s="241"/>
      <c r="BD83" s="241"/>
      <c r="BE83" s="241"/>
      <c r="BF83" s="241"/>
      <c r="BG83" s="241"/>
      <c r="BS83" s="47"/>
      <c r="BT83" s="246"/>
      <c r="BU83" s="246"/>
      <c r="BV83" s="246"/>
      <c r="BW83" s="246"/>
      <c r="BX83" s="12"/>
      <c r="BY83" s="67"/>
      <c r="BZ83" s="68"/>
      <c r="CA83" s="55"/>
      <c r="CD83" s="246"/>
      <c r="CE83" s="246"/>
      <c r="CF83" s="246"/>
      <c r="CG83" s="246"/>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42" t="s">
        <v>305</v>
      </c>
      <c r="BF84" s="242"/>
      <c r="BG84" s="163" t="s">
        <v>89</v>
      </c>
      <c r="BI84" s="250" t="s">
        <v>115</v>
      </c>
      <c r="BJ84" s="250"/>
      <c r="BK84" s="250"/>
      <c r="BL84" s="250"/>
      <c r="BM84" s="250"/>
      <c r="BN84" s="250"/>
      <c r="BO84" s="250"/>
      <c r="BP84" s="250"/>
      <c r="BQ84" s="250"/>
      <c r="BS84" s="47"/>
      <c r="BT84" s="246"/>
      <c r="BU84" s="246"/>
      <c r="BV84" s="246"/>
      <c r="BW84" s="246"/>
      <c r="BX84" s="67"/>
      <c r="BY84" s="67"/>
      <c r="BZ84" s="68"/>
      <c r="CA84" s="55"/>
      <c r="CD84" s="246"/>
      <c r="CE84" s="246"/>
      <c r="CF84" s="246"/>
      <c r="CG84" s="246"/>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68" t="s">
        <v>438</v>
      </c>
      <c r="CX84" s="268"/>
      <c r="CY84" s="268"/>
      <c r="CZ84" s="268"/>
      <c r="DA84" s="268"/>
      <c r="DB84" s="268"/>
      <c r="DC84" s="268"/>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v>2</v>
      </c>
      <c r="AV85" s="12" t="str">
        <f>IF($D$25="mm","mm","in")</f>
        <v>mm</v>
      </c>
      <c r="AW85" s="163" t="str">
        <f>IF(AU85="","BLANK",IF(AU85&lt;AT85,"REJECT","EQ"))</f>
        <v>EQ</v>
      </c>
      <c r="AY85" s="200" t="s">
        <v>492</v>
      </c>
      <c r="AZ85" s="12" t="str">
        <f>IF($D$25="mm",
"Example: 25.4mm x 1.6mm round",
"Example: 1.0in x 0.065in round")</f>
        <v>Example: 25.4mm x 1.6mm round</v>
      </c>
      <c r="BA85" s="212"/>
      <c r="BB85" s="212"/>
      <c r="BC85" s="212"/>
      <c r="BD85" s="163" t="s">
        <v>333</v>
      </c>
      <c r="BE85" s="148" t="s">
        <v>3</v>
      </c>
      <c r="BG85" s="163" t="str">
        <f>IF(BE85="","BLANK","EQ")</f>
        <v>EQ</v>
      </c>
      <c r="BI85" s="250"/>
      <c r="BJ85" s="250"/>
      <c r="BK85" s="250"/>
      <c r="BL85" s="250"/>
      <c r="BM85" s="250"/>
      <c r="BN85" s="250"/>
      <c r="BO85" s="250"/>
      <c r="BP85" s="250"/>
      <c r="BQ85" s="250"/>
      <c r="BS85" s="47"/>
      <c r="BT85" s="49"/>
      <c r="BU85" s="49"/>
      <c r="BV85" s="49"/>
      <c r="BW85" s="49"/>
      <c r="BX85" s="67"/>
      <c r="BY85" s="67"/>
      <c r="BZ85" s="68"/>
      <c r="CA85" s="55"/>
      <c r="CC85" s="263"/>
      <c r="CD85" s="263"/>
      <c r="CE85" s="263"/>
      <c r="CF85" s="263"/>
      <c r="CG85" s="263"/>
      <c r="CH85" s="263"/>
      <c r="CI85" s="263"/>
      <c r="CJ85" s="263"/>
      <c r="CK85" s="263"/>
      <c r="CM85" s="12"/>
      <c r="CN85" s="12"/>
      <c r="CO85" s="212"/>
      <c r="CP85" s="212"/>
      <c r="CQ85" s="212" t="str">
        <f>IF(CS83="Round","Outer Diameter (OD):","Square side:")</f>
        <v>Outer Diameter (OD):</v>
      </c>
      <c r="CR85" s="213">
        <f>IF($D$25="mm",25,0.984)</f>
        <v>25</v>
      </c>
      <c r="CS85" s="50"/>
      <c r="CT85" s="12" t="str">
        <f>IF($D$25="mm","mm","in")</f>
        <v>mm</v>
      </c>
      <c r="CU85" s="163" t="str">
        <f t="shared" si="6"/>
        <v>BLANK</v>
      </c>
      <c r="CW85" s="268"/>
      <c r="CX85" s="268"/>
      <c r="CY85" s="268"/>
      <c r="CZ85" s="268"/>
      <c r="DA85" s="268"/>
      <c r="DB85" s="268"/>
      <c r="DC85" s="268"/>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v>30</v>
      </c>
      <c r="AV86" s="12" t="str">
        <f>IF($D$25="mm","mm","in")</f>
        <v>mm</v>
      </c>
      <c r="AW86" s="163" t="str">
        <f t="shared" ref="AW86:AW90" si="7">IF(AU86="","BLANK",IF(AU86&lt;AT86,"REJECT","EQ"))</f>
        <v>EQ</v>
      </c>
      <c r="AY86" s="200" t="s">
        <v>489</v>
      </c>
      <c r="BA86" s="212"/>
      <c r="BB86" s="212"/>
      <c r="BC86" s="212" t="s">
        <v>23</v>
      </c>
      <c r="BD86" s="213">
        <f>IF($D$25="mm",1.2,0.047)</f>
        <v>1.2</v>
      </c>
      <c r="BE86" s="50">
        <v>1.5</v>
      </c>
      <c r="BF86" s="12" t="str">
        <f>IF($D$25="mm","mm","in")</f>
        <v>mm</v>
      </c>
      <c r="BG86" s="163" t="str">
        <f>IF(BE86="","BLANK",IF(BE86&lt;BD86,"REJECT","EQ"))</f>
        <v>EQ</v>
      </c>
      <c r="BI86" s="250"/>
      <c r="BJ86" s="250"/>
      <c r="BK86" s="250"/>
      <c r="BL86" s="250"/>
      <c r="BM86" s="250"/>
      <c r="BN86" s="250"/>
      <c r="BO86" s="250"/>
      <c r="BP86" s="250"/>
      <c r="BQ86" s="250"/>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41" t="str">
        <f>IF(COUNTIF(AM88:AM95,"BLANK"),"BLANK",IF(OR(SUMPRODUCT(--ISERROR(AM88:AM95))&gt;0,COUNTIF(AM88:AM95,"REJECT")),"REJECT",IF(COUNTIF(AM88:AM95,"CHECK"),"CHECK","EQ")))</f>
        <v>EQ</v>
      </c>
      <c r="AF87" s="241"/>
      <c r="AG87" s="241"/>
      <c r="AH87" s="241"/>
      <c r="AI87" s="241"/>
      <c r="AJ87" s="241"/>
      <c r="AK87" s="241"/>
      <c r="AL87" s="241"/>
      <c r="AM87" s="241"/>
      <c r="AQ87" s="212"/>
      <c r="AR87" s="212"/>
      <c r="AS87" s="212" t="s">
        <v>23</v>
      </c>
      <c r="AT87" s="216">
        <v>2</v>
      </c>
      <c r="AU87" s="163">
        <f>IF(AU85="","",IF($D$25="mm",AU85,ROUND(AU85*25.4,1)))</f>
        <v>2</v>
      </c>
      <c r="AV87" s="12" t="s">
        <v>202</v>
      </c>
      <c r="AW87" s="163" t="str">
        <f t="shared" si="7"/>
        <v>EQ</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41" t="str">
        <f>IF(COUNTIF(AC89:AC96,"BLANK"),"BLANK",IF(OR(SUMPRODUCT(--ISERROR(AC89:AC96))&gt;0,COUNTIF(AC89:AC96,"REJECT")),"REJECT",IF(COUNTIF(AC89:AC96,"CHECK"),"CHECK","EQ")))</f>
        <v>EQ</v>
      </c>
      <c r="V88" s="241"/>
      <c r="W88" s="241"/>
      <c r="X88" s="241"/>
      <c r="Y88" s="241"/>
      <c r="Z88" s="241"/>
      <c r="AA88" s="241"/>
      <c r="AB88" s="241"/>
      <c r="AC88" s="241"/>
      <c r="AE88" s="200" t="s">
        <v>349</v>
      </c>
      <c r="AF88" s="191" t="s">
        <v>351</v>
      </c>
      <c r="AG88" s="163"/>
      <c r="AH88" s="163"/>
      <c r="AI88" s="163"/>
      <c r="AJ88" s="200" t="s">
        <v>304</v>
      </c>
      <c r="AK88" s="242" t="s">
        <v>305</v>
      </c>
      <c r="AL88" s="242"/>
      <c r="AM88" s="163" t="s">
        <v>89</v>
      </c>
      <c r="AQ88" s="212"/>
      <c r="AR88" s="212"/>
      <c r="AS88" s="212" t="str">
        <f>IF(AU84="Round","Outer Diameter (OD):","Square side:")</f>
        <v>Outer Diameter (OD):</v>
      </c>
      <c r="AT88" s="216">
        <v>25</v>
      </c>
      <c r="AU88" s="163">
        <f>IF(AU86="","",IF($D$25="mm",AU86,ROUND(AU86*25.4,1)))</f>
        <v>30</v>
      </c>
      <c r="AV88" s="12" t="s">
        <v>202</v>
      </c>
      <c r="AW88" s="163" t="str">
        <f t="shared" si="7"/>
        <v>EQ</v>
      </c>
      <c r="BA88" s="212"/>
      <c r="BB88" s="212"/>
      <c r="BC88" s="212" t="s">
        <v>23</v>
      </c>
      <c r="BD88" s="216">
        <v>1.2</v>
      </c>
      <c r="BE88" s="163">
        <f>IF(BE86="","",IF($D$25="mm",BE86,ROUND(BE86*25.4,1)))</f>
        <v>1.5</v>
      </c>
      <c r="BF88" s="12" t="s">
        <v>202</v>
      </c>
      <c r="BG88" s="163" t="str">
        <f t="shared" si="8"/>
        <v>EQ</v>
      </c>
      <c r="BI88" s="241" t="str">
        <f>IF(COUNTIF(BQ89:BQ105,"BLANK"),"BLANK",IF(OR(SUMPRODUCT(--ISERROR(BQ89:BQ105))&gt;0,COUNTIF(BQ89:BQ105,"REJECT")),"REJECT",IF(COUNTIF(BQ89:BQ105,"CHECK"),"CHECK","EQ")))</f>
        <v>BLANK</v>
      </c>
      <c r="BJ88" s="241"/>
      <c r="BK88" s="241"/>
      <c r="BL88" s="241"/>
      <c r="BM88" s="241"/>
      <c r="BN88" s="241"/>
      <c r="BO88" s="241"/>
      <c r="BP88" s="241"/>
      <c r="BQ88" s="241"/>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51" t="s">
        <v>341</v>
      </c>
      <c r="B89" s="251"/>
      <c r="C89" s="251"/>
      <c r="D89" s="251"/>
      <c r="E89" s="251"/>
      <c r="F89" s="251"/>
      <c r="G89" s="251"/>
      <c r="H89" s="251"/>
      <c r="I89" s="251"/>
      <c r="K89" s="12"/>
      <c r="L89" s="12"/>
      <c r="U89" s="200" t="s">
        <v>318</v>
      </c>
      <c r="V89" s="191" t="s">
        <v>319</v>
      </c>
      <c r="W89" s="163"/>
      <c r="X89" s="163"/>
      <c r="Y89" s="163"/>
      <c r="Z89" s="200" t="s">
        <v>304</v>
      </c>
      <c r="AA89" s="242" t="s">
        <v>305</v>
      </c>
      <c r="AB89" s="242"/>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f>IF(OR(AU85="",AU86=""),"",
IF(AU84="Round",
ROUND(PI()*((AU88/2)^2-((AU88-2*AU87)/2)^2),0),
ROUND(AU88^2-(AU88-2*AU87)^2,0)))</f>
        <v>176</v>
      </c>
      <c r="AV89" s="12" t="s">
        <v>307</v>
      </c>
      <c r="AW89" s="163" t="str">
        <f t="shared" si="7"/>
        <v>EQ</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34" t="s">
        <v>63</v>
      </c>
      <c r="BK89" s="234"/>
      <c r="BL89" s="234"/>
      <c r="BM89" s="234"/>
      <c r="BN89" s="236" t="s">
        <v>64</v>
      </c>
      <c r="BO89" s="271"/>
      <c r="BP89" s="261"/>
      <c r="BQ89" s="163" t="str">
        <f>IF(OR(BN89="Select drop down:",BN89=""),"BLANK","EQ")</f>
        <v>BLANK</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51"/>
      <c r="B90" s="251"/>
      <c r="C90" s="251"/>
      <c r="D90" s="251"/>
      <c r="E90" s="251"/>
      <c r="F90" s="251"/>
      <c r="G90" s="251"/>
      <c r="H90" s="251"/>
      <c r="I90" s="251"/>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f>IF(OR(AU85="",AU86=""),"",
IF(AU84="Round",
ROUND((PI()/4)*((AU88/2)^4-((AU88-2*AU87)/2)^4),0),
ROUND((AU88^4-(AU88-2*AU87)^4)/12,0)))</f>
        <v>17329</v>
      </c>
      <c r="AV90" s="12" t="s">
        <v>308</v>
      </c>
      <c r="AW90" s="163" t="str">
        <f t="shared" si="7"/>
        <v>EQ</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42" t="s">
        <v>305</v>
      </c>
      <c r="BP90" s="242"/>
      <c r="BQ90" s="163" t="str">
        <f>IF(NOT(BN89="Mounted on MHB with Brace."),"N/A","EQ")</f>
        <v>N/A</v>
      </c>
      <c r="BS90" s="263"/>
      <c r="BT90" s="263"/>
      <c r="BU90" s="263"/>
      <c r="BV90" s="263"/>
      <c r="BW90" s="263"/>
      <c r="BX90" s="263"/>
      <c r="BY90" s="263"/>
      <c r="BZ90" s="263"/>
      <c r="CA90" s="263"/>
      <c r="CC90" s="19"/>
      <c r="CD90" s="19"/>
      <c r="CM90" s="47"/>
      <c r="CN90" s="49"/>
      <c r="CO90" s="49"/>
      <c r="CP90" s="49"/>
      <c r="CQ90" s="49"/>
      <c r="CR90" s="67"/>
      <c r="CS90" s="67"/>
      <c r="CT90" s="68"/>
      <c r="CU90" s="55"/>
    </row>
    <row r="91" spans="1:111" ht="15" customHeight="1" thickBot="1" x14ac:dyDescent="0.35">
      <c r="A91" s="251"/>
      <c r="B91" s="251"/>
      <c r="C91" s="251"/>
      <c r="D91" s="251"/>
      <c r="E91" s="251"/>
      <c r="F91" s="251"/>
      <c r="G91" s="251"/>
      <c r="H91" s="251"/>
      <c r="I91" s="251"/>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62" t="str">
        <f>IF(COUNTIF(CU92:CU113,"BLANK"),"BLANK",IF(OR(SUMPRODUCT(--ISERROR(CU92:CU113))&gt;0,COUNTIF(CU92:CU113,"REJECT")),"REJECT",IF(COUNTIF(CU92:CU113,"CHECK"),"CHECK","EQ")))</f>
        <v>BLANK</v>
      </c>
      <c r="CN91" s="262"/>
      <c r="CO91" s="262"/>
      <c r="CP91" s="262"/>
      <c r="CQ91" s="262"/>
      <c r="CR91" s="262"/>
      <c r="CS91" s="262"/>
      <c r="CT91" s="262"/>
      <c r="CU91" s="262"/>
    </row>
    <row r="92" spans="1:111" ht="15" customHeight="1" thickBot="1" x14ac:dyDescent="0.35">
      <c r="A92" s="251"/>
      <c r="B92" s="251"/>
      <c r="C92" s="251"/>
      <c r="D92" s="251"/>
      <c r="E92" s="251"/>
      <c r="F92" s="251"/>
      <c r="G92" s="251"/>
      <c r="H92" s="251"/>
      <c r="I92" s="251"/>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42" t="str">
        <f>IF(AU82="Straight","Shoulder Harness Bar does not require braces.","Shoulder Harness Bar bends requires braces.")</f>
        <v>Shoulder Harness Bar does not require braces.</v>
      </c>
      <c r="AQ92" s="242"/>
      <c r="AR92" s="242"/>
      <c r="AS92" s="242"/>
      <c r="AT92" s="242"/>
      <c r="AU92" s="242"/>
      <c r="AV92" s="242"/>
      <c r="AW92" s="163"/>
      <c r="BI92" s="200" t="s">
        <v>489</v>
      </c>
      <c r="BK92" s="212"/>
      <c r="BL92" s="212"/>
      <c r="BM92" s="212" t="s">
        <v>23</v>
      </c>
      <c r="BN92" s="213">
        <f>IF($D$25="mm",1.2,0.047)</f>
        <v>1.2</v>
      </c>
      <c r="BO92" s="50"/>
      <c r="BP92" s="12" t="str">
        <f>IF($D$25="mm","mm","in")</f>
        <v>mm</v>
      </c>
      <c r="BQ92" s="163" t="str">
        <f>IF(NOT(BN89="Mounted on MHB with Brace."),"N/A",
IF(BO92="","BLANK",IF(BO92&lt;BN92,"REJECT","EQ")))</f>
        <v>N/A</v>
      </c>
      <c r="BS92" s="262"/>
      <c r="BT92" s="262"/>
      <c r="BU92" s="262"/>
      <c r="BV92" s="262"/>
      <c r="BW92" s="262"/>
      <c r="BX92" s="262"/>
      <c r="BY92" s="262"/>
      <c r="BZ92" s="262"/>
      <c r="CA92" s="262"/>
      <c r="CC92" s="25"/>
      <c r="CD92" s="25"/>
      <c r="CE92" s="25"/>
      <c r="CF92" s="25"/>
      <c r="CG92" s="25"/>
      <c r="CH92" s="25"/>
      <c r="CI92" s="25"/>
      <c r="CJ92" s="25"/>
      <c r="CK92" s="25"/>
      <c r="CM92" s="47" t="str">
        <f>CM81</f>
        <v>F.11.2.3</v>
      </c>
      <c r="CN92" s="259" t="s">
        <v>469</v>
      </c>
      <c r="CO92" s="259"/>
      <c r="CP92" s="259"/>
      <c r="CQ92" s="259"/>
      <c r="CR92" s="236" t="s">
        <v>301</v>
      </c>
      <c r="CS92" s="261"/>
      <c r="CU92" s="25" t="str">
        <f>IF($G$8="IC - Internal Combustion","N/A",
IF(CR92="","BLANK","EQ"))</f>
        <v>EQ</v>
      </c>
    </row>
    <row r="93" spans="1:111" ht="15" customHeight="1" thickBot="1" x14ac:dyDescent="0.35">
      <c r="A93" s="273" t="s">
        <v>342</v>
      </c>
      <c r="B93" s="273"/>
      <c r="C93" s="273"/>
      <c r="D93" s="273"/>
      <c r="E93" s="273"/>
      <c r="F93" s="273"/>
      <c r="G93" s="273"/>
      <c r="H93" s="273"/>
      <c r="I93" s="273"/>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41" t="str">
        <f>IF(COUNTIF(BG94:BG101,"BLANK"),"BLANK",IF(OR(SUMPRODUCT(--ISERROR(BG94:BG101))&gt;0,COUNTIF(BG94:BG101,"REJECT")),"REJECT",IF(COUNTIF(BG94:BG101,"CHECK"),"CHECK","EQ")))</f>
        <v>EQ</v>
      </c>
      <c r="AZ93" s="241"/>
      <c r="BA93" s="241"/>
      <c r="BB93" s="241"/>
      <c r="BC93" s="241"/>
      <c r="BD93" s="241"/>
      <c r="BE93" s="241"/>
      <c r="BF93" s="241"/>
      <c r="BG93" s="241"/>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59"/>
      <c r="BU93" s="259"/>
      <c r="BV93" s="259"/>
      <c r="BW93" s="259"/>
      <c r="BX93" s="239"/>
      <c r="BY93" s="239"/>
      <c r="CA93" s="25"/>
      <c r="CD93" s="48"/>
      <c r="CE93" s="48"/>
      <c r="CF93" s="48"/>
      <c r="CG93" s="48"/>
      <c r="CH93" s="47"/>
      <c r="CI93" s="47"/>
      <c r="CK93" s="25"/>
      <c r="CM93" s="47"/>
      <c r="CN93" s="46" t="str">
        <f>CN82</f>
        <v>Tractive Rear Impact Protection</v>
      </c>
      <c r="CO93" s="49"/>
      <c r="CP93" s="49"/>
      <c r="CQ93" s="49"/>
      <c r="CR93" s="200" t="s">
        <v>304</v>
      </c>
      <c r="CS93" s="242" t="s">
        <v>305</v>
      </c>
      <c r="CT93" s="242"/>
      <c r="CU93" s="163" t="str">
        <f>IF($G$8="IC - Internal Combustion","N/A",
"EQ")</f>
        <v>EQ</v>
      </c>
    </row>
    <row r="94" spans="1:111" ht="15" customHeight="1" thickBot="1" x14ac:dyDescent="0.35">
      <c r="A94" s="273"/>
      <c r="B94" s="273"/>
      <c r="C94" s="273"/>
      <c r="D94" s="273"/>
      <c r="E94" s="273"/>
      <c r="F94" s="273"/>
      <c r="G94" s="273"/>
      <c r="H94" s="273"/>
      <c r="I94" s="273"/>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41" t="str">
        <f>IF(COUNTIF(AW95,"BLANK"),"BLANK",IF(OR(SUMPRODUCT(--ISERROR(AW95))&gt;0,COUNTIF(AW95,"REJECT")),"REJECT",IF(COUNTIF(AW95,"CHECK"),"CHECK","EQ")))</f>
        <v>EQ</v>
      </c>
      <c r="AP94" s="241"/>
      <c r="AQ94" s="241"/>
      <c r="AR94" s="241"/>
      <c r="AS94" s="241"/>
      <c r="AT94" s="241"/>
      <c r="AU94" s="241"/>
      <c r="AV94" s="241"/>
      <c r="AW94" s="241"/>
      <c r="AY94" s="200" t="s">
        <v>368</v>
      </c>
      <c r="AZ94" s="191" t="s">
        <v>367</v>
      </c>
      <c r="BA94" s="163"/>
      <c r="BB94" s="163"/>
      <c r="BC94" s="163"/>
      <c r="BD94" s="200" t="s">
        <v>304</v>
      </c>
      <c r="BE94" s="242" t="s">
        <v>305</v>
      </c>
      <c r="BF94" s="242"/>
      <c r="BG94" s="163" t="s">
        <v>89</v>
      </c>
      <c r="BK94" s="212"/>
      <c r="BL94" s="212"/>
      <c r="BM94" s="212" t="s">
        <v>23</v>
      </c>
      <c r="BN94" s="216">
        <v>1.2</v>
      </c>
      <c r="BO94" s="163" t="str">
        <f>IF(BO92="","",IF($D$25="mm",BO92,ROUND(BO92*25.4,1)))</f>
        <v/>
      </c>
      <c r="BP94" s="12" t="s">
        <v>202</v>
      </c>
      <c r="BQ94" s="163" t="str">
        <f>IF(NOT(BN89="Mounted on MHB with Brace."),"N/A",
IF(BO94="","BLANK",IF(BO94&lt;BN94,"REJECT","EQ")))</f>
        <v>N/A</v>
      </c>
      <c r="BS94" s="259"/>
      <c r="BT94" s="259"/>
      <c r="BU94" s="259"/>
      <c r="BV94" s="259"/>
      <c r="BW94" s="259"/>
      <c r="BX94" s="256"/>
      <c r="BY94" s="256"/>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4"/>
      <c r="B95" s="274"/>
      <c r="C95" s="274"/>
      <c r="D95" s="274"/>
      <c r="E95" s="274"/>
      <c r="F95" s="274"/>
      <c r="G95" s="274"/>
      <c r="H95" s="274"/>
      <c r="I95" s="274"/>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34" t="s">
        <v>108</v>
      </c>
      <c r="AQ95" s="234"/>
      <c r="AR95" s="234"/>
      <c r="AS95" s="234"/>
      <c r="AT95" s="248"/>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46"/>
      <c r="BT95" s="246"/>
      <c r="BU95" s="246"/>
      <c r="BV95" s="246"/>
      <c r="BW95" s="246"/>
      <c r="BX95" s="246"/>
      <c r="BY95" s="260"/>
      <c r="BZ95" s="260"/>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4"/>
      <c r="B96" s="274"/>
      <c r="C96" s="274"/>
      <c r="D96" s="274"/>
      <c r="E96" s="274"/>
      <c r="F96" s="274"/>
      <c r="G96" s="274"/>
      <c r="H96" s="274"/>
      <c r="I96" s="274"/>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46"/>
      <c r="BT96" s="246"/>
      <c r="BU96" s="246"/>
      <c r="BV96" s="246"/>
      <c r="BW96" s="246"/>
      <c r="BX96" s="246"/>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3" t="s">
        <v>343</v>
      </c>
      <c r="B97" s="273"/>
      <c r="C97" s="273"/>
      <c r="D97" s="273"/>
      <c r="E97" s="273"/>
      <c r="F97" s="273"/>
      <c r="G97" s="273"/>
      <c r="H97" s="273"/>
      <c r="I97" s="273"/>
      <c r="U97" s="200"/>
      <c r="V97" s="191"/>
      <c r="AE97" s="173"/>
      <c r="AF97" s="173"/>
      <c r="AG97" s="173"/>
      <c r="AH97" s="173"/>
      <c r="AI97" s="173"/>
      <c r="AJ97" s="173"/>
      <c r="AK97" s="173"/>
      <c r="AL97" s="173"/>
      <c r="AM97" s="173"/>
      <c r="AO97" s="249" t="s">
        <v>355</v>
      </c>
      <c r="AP97" s="249"/>
      <c r="AQ97" s="249"/>
      <c r="AR97" s="249"/>
      <c r="AS97" s="249"/>
      <c r="AT97" s="249"/>
      <c r="AU97" s="249"/>
      <c r="AV97" s="249"/>
      <c r="AW97" s="249"/>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46"/>
      <c r="BT97" s="246"/>
      <c r="BU97" s="246"/>
      <c r="BV97" s="246"/>
      <c r="BW97" s="246"/>
      <c r="BX97" s="246"/>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3"/>
      <c r="B98" s="273"/>
      <c r="C98" s="273"/>
      <c r="D98" s="273"/>
      <c r="E98" s="273"/>
      <c r="F98" s="273"/>
      <c r="G98" s="273"/>
      <c r="H98" s="273"/>
      <c r="I98" s="273"/>
      <c r="U98" s="241" t="str">
        <f>IF(COUNTIF(AC99,"BLANK"),"BLANK",IF(OR(SUMPRODUCT(--ISERROR(AC99))&gt;0,COUNTIF(AC99,"REJECT")),"REJECT",IF(COUNTIF(AC99,"CHECK"),"CHECK","EQ")))</f>
        <v>EQ</v>
      </c>
      <c r="V98" s="241"/>
      <c r="W98" s="241"/>
      <c r="X98" s="241"/>
      <c r="Y98" s="241"/>
      <c r="Z98" s="241"/>
      <c r="AA98" s="241"/>
      <c r="AB98" s="241"/>
      <c r="AC98" s="241"/>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46"/>
      <c r="BT98" s="246"/>
      <c r="BU98" s="246"/>
      <c r="BV98" s="246"/>
      <c r="BW98" s="246"/>
      <c r="BX98" s="246"/>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50"/>
      <c r="B99" s="250"/>
      <c r="C99" s="250"/>
      <c r="D99" s="250"/>
      <c r="E99" s="250"/>
      <c r="F99" s="250"/>
      <c r="G99" s="250"/>
      <c r="H99" s="250"/>
      <c r="I99" s="250"/>
      <c r="U99" s="200" t="s">
        <v>320</v>
      </c>
      <c r="V99" s="234" t="str">
        <f>IF($D$25="mm","Top of FB to Upper FBHS tube, 50mm vertical limit:","Top of FB to Upper FBHS tube, 2in vertical limit:")</f>
        <v>Top of FB to Upper FBHS tube, 50mm vertical limit:</v>
      </c>
      <c r="W99" s="234"/>
      <c r="X99" s="234"/>
      <c r="Y99" s="234"/>
      <c r="Z99" s="248"/>
      <c r="AA99" s="50">
        <v>0</v>
      </c>
      <c r="AB99" s="12" t="str">
        <f>IF($D$25="mm","mm","in")</f>
        <v>mm</v>
      </c>
      <c r="AC99" s="163" t="str">
        <f>IF(AA99="","BLANK",IF($D$25="mm",IF(AA99&lt;=50,"EQ","REJECT"),IF(AA99&lt;=2,"EQ","REJECT")))</f>
        <v>EQ</v>
      </c>
      <c r="AP99" s="242" t="str">
        <f>AP92</f>
        <v>Shoulder Harness Bar does not require braces.</v>
      </c>
      <c r="AQ99" s="242"/>
      <c r="AR99" s="242"/>
      <c r="AS99" s="242"/>
      <c r="AT99" s="242"/>
      <c r="AU99" s="242"/>
      <c r="AV99" s="242"/>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46"/>
      <c r="BT99" s="246"/>
      <c r="BU99" s="246"/>
      <c r="BV99" s="246"/>
      <c r="BW99" s="246"/>
      <c r="BX99" s="246"/>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41" t="str">
        <f>IF(COUNTIF(I101:I105,"BLANK"),"BLANK",IF(COUNTIF(I101:I105,"REJECT"),"REJECT",IF(COUNTIF(I101:I105,"CHECK"),"CHECK - IAD TESTING REQUIRED. AI PLATE DEFLECTION &lt;=25mm","EQ")))</f>
        <v>EQ</v>
      </c>
      <c r="B100" s="241"/>
      <c r="C100" s="241"/>
      <c r="D100" s="241"/>
      <c r="E100" s="241"/>
      <c r="F100" s="241"/>
      <c r="G100" s="241"/>
      <c r="H100" s="241"/>
      <c r="I100" s="241"/>
      <c r="U100" s="173"/>
      <c r="V100" s="173"/>
      <c r="W100" s="173"/>
      <c r="X100" s="173"/>
      <c r="Y100" s="173"/>
      <c r="Z100" s="173"/>
      <c r="AA100" s="173"/>
      <c r="AB100" s="173"/>
      <c r="AC100" s="173"/>
      <c r="AO100" s="241" t="str">
        <f>IF(COUNTIF(AW101:AW108,"BLANK"),"BLANK",IF(OR(SUMPRODUCT(--ISERROR(AW101:AW108))&gt;0,COUNTIF(AW101:AW108,"REJECT")),"REJECT",IF(COUNTIF(AW101:AW108,"CHECK"),"CHECK","EQ")))</f>
        <v>EQ</v>
      </c>
      <c r="AP100" s="241"/>
      <c r="AQ100" s="241"/>
      <c r="AR100" s="241"/>
      <c r="AS100" s="241"/>
      <c r="AT100" s="241"/>
      <c r="AU100" s="241"/>
      <c r="AV100" s="241"/>
      <c r="AW100" s="241"/>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45"/>
      <c r="BT100" s="245"/>
      <c r="BU100" s="245"/>
      <c r="BV100" s="245"/>
      <c r="BW100" s="245"/>
      <c r="BX100" s="245"/>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34" t="s">
        <v>24</v>
      </c>
      <c r="C101" s="234"/>
      <c r="D101" s="234"/>
      <c r="E101" s="234"/>
      <c r="F101" s="243"/>
      <c r="G101" s="148" t="s">
        <v>823</v>
      </c>
      <c r="I101" s="163" t="str">
        <f>IF(G101="","BLANK","EQ")</f>
        <v>EQ</v>
      </c>
      <c r="U101" s="241" t="str">
        <f>IF(COUNTIF(AC102:AC104,"BLANK"),"BLANK",IF(OR(SUMPRODUCT(--ISERROR(AC102:AC104))&gt;0,COUNTIF(AC102:AC104,"REJECT")),"REJECT",IF(COUNTIF(AC102:AC104,"CHECK"),"CHECK","EQ")))</f>
        <v>EQ</v>
      </c>
      <c r="V101" s="241"/>
      <c r="W101" s="241"/>
      <c r="X101" s="241"/>
      <c r="Y101" s="241"/>
      <c r="Z101" s="241"/>
      <c r="AA101" s="241"/>
      <c r="AB101" s="241"/>
      <c r="AC101" s="241"/>
      <c r="AO101" s="200" t="s">
        <v>352</v>
      </c>
      <c r="AP101" s="191" t="s">
        <v>353</v>
      </c>
      <c r="AQ101" s="163"/>
      <c r="AR101" s="163"/>
      <c r="AS101" s="163"/>
      <c r="AT101" s="200" t="s">
        <v>304</v>
      </c>
      <c r="AU101" s="242" t="s">
        <v>305</v>
      </c>
      <c r="AV101" s="242"/>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46"/>
      <c r="BT101" s="246"/>
      <c r="BU101" s="246"/>
      <c r="BV101" s="246"/>
      <c r="BW101" s="246"/>
      <c r="BX101" s="246"/>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54"/>
      <c r="CT101" s="255"/>
      <c r="CU101" s="163" t="str">
        <f>IF($G$8="IC - Internal Combustion","N/A",
IF(CR$92="Tube","N/A",
IF(CS101="","BLANK","EQ")))</f>
        <v>N/A</v>
      </c>
    </row>
    <row r="102" spans="1:101" ht="15" customHeight="1" thickBot="1" x14ac:dyDescent="0.35">
      <c r="A102" s="200"/>
      <c r="B102" s="212"/>
      <c r="C102" s="212"/>
      <c r="D102" s="212"/>
      <c r="E102" s="212"/>
      <c r="F102" s="49" t="s">
        <v>297</v>
      </c>
      <c r="G102" s="236" t="s">
        <v>824</v>
      </c>
      <c r="H102" s="237"/>
      <c r="I102" s="25" t="str">
        <f>IF(G102="","BLANK",IF(OR(AND(G101="Custom",NOT(G102="&gt;= 100mm (4in)")),AND(G101="Standard",G102="&gt;= 100mm (4in)")),"REJECT","EQ"))</f>
        <v>EQ</v>
      </c>
      <c r="U102" s="200" t="s">
        <v>321</v>
      </c>
      <c r="V102" s="234" t="s">
        <v>34</v>
      </c>
      <c r="W102" s="234"/>
      <c r="X102" s="234"/>
      <c r="Y102" s="234"/>
      <c r="Z102" s="243"/>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46"/>
      <c r="BT102" s="246"/>
      <c r="BU102" s="246"/>
      <c r="BV102" s="246"/>
      <c r="BW102" s="246"/>
      <c r="BX102" s="246"/>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238" t="str">
        <f>IF(G101="CUSTOM","&gt;= 200mm (8in)",IF(G102="355mm (14in)","304mm (12in)","355mm (14in)"))</f>
        <v>355mm (14in)</v>
      </c>
      <c r="H103" s="238"/>
      <c r="I103" s="25" t="s">
        <v>89</v>
      </c>
      <c r="U103" s="234" t="str">
        <f>IF(AA102="C","Top of Lower FBHS tube relative to top of Upper SIS tube:","Top of Upper FBHS tube relative to top of Upper SIS tube:")</f>
        <v>Top of Upper FBHS tube relative to top of Upper SIS tube:</v>
      </c>
      <c r="V103" s="234"/>
      <c r="W103" s="234"/>
      <c r="X103" s="234"/>
      <c r="Y103" s="234"/>
      <c r="Z103" s="243"/>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56"/>
      <c r="BT103" s="256"/>
      <c r="BU103" s="256"/>
      <c r="BV103" s="256"/>
      <c r="BW103" s="256"/>
      <c r="BX103" s="256"/>
      <c r="BY103" s="256"/>
      <c r="BZ103" s="256"/>
      <c r="CA103" s="256"/>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v>388</v>
      </c>
      <c r="H104" s="19" t="str">
        <f>IF($D$25="mm","mm","in")</f>
        <v>mm</v>
      </c>
      <c r="I104" s="25" t="str">
        <f>IF(G104="","BLANK","EQ")</f>
        <v>EQ</v>
      </c>
      <c r="U104" s="234"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34"/>
      <c r="W104" s="234"/>
      <c r="X104" s="234"/>
      <c r="Y104" s="234"/>
      <c r="Z104" s="248"/>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v>388</v>
      </c>
      <c r="H105" s="19" t="str">
        <f>IF($D$25="mm","mm","in")</f>
        <v>mm</v>
      </c>
      <c r="I105" s="25" t="str">
        <f>IF(G105="","BLANK","EQ")</f>
        <v>EQ</v>
      </c>
      <c r="V105" s="242"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42"/>
      <c r="X105" s="242"/>
      <c r="Y105" s="242"/>
      <c r="Z105" s="242"/>
      <c r="AA105" s="242"/>
      <c r="AB105" s="242"/>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39"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240"/>
      <c r="C106" s="240"/>
      <c r="D106" s="240"/>
      <c r="E106" s="240"/>
      <c r="F106" s="240"/>
      <c r="G106" s="240"/>
      <c r="H106" s="240"/>
      <c r="I106" s="240"/>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41" t="str">
        <f>IF(COUNTIF(AC108,"BLANK"),"BLANK",IF(OR(SUMPRODUCT(--ISERROR(AC108))&gt;0,COUNTIF(AC108,"REJECT")),"REJECT",IF(COUNTIF(AC108,"CHECK"),"CHECK","EQ")))</f>
        <v>EQ</v>
      </c>
      <c r="V107" s="241"/>
      <c r="W107" s="241"/>
      <c r="X107" s="241"/>
      <c r="Y107" s="241"/>
      <c r="Z107" s="241"/>
      <c r="AA107" s="241"/>
      <c r="AB107" s="241"/>
      <c r="AC107" s="241"/>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41" t="str">
        <f>IF(COUNTIF(I109:I117,"BLANK"),"BLANK",IF(OR(SUMPRODUCT(--ISERROR(I109:I117))&gt;0,COUNTIF(I109:I117,"REJECT")),"REJECT",IF(COUNTIF(I109:I117,"CHECK"),"CHECK","EQ")))</f>
        <v>EQ</v>
      </c>
      <c r="B108" s="241"/>
      <c r="C108" s="241"/>
      <c r="D108" s="241"/>
      <c r="E108" s="241"/>
      <c r="F108" s="241"/>
      <c r="G108" s="241"/>
      <c r="H108" s="241"/>
      <c r="I108" s="241"/>
      <c r="U108" s="200" t="s">
        <v>322</v>
      </c>
      <c r="V108" s="234" t="str">
        <f>IF($D$25="mm","Top of FH to top of FHB tube, 50mm vertical limit:","Top of FH to top of FHB tube, 2in vertical limit:")</f>
        <v>Top of FH to top of FHB tube, 50mm vertical limit:</v>
      </c>
      <c r="W108" s="234"/>
      <c r="X108" s="234"/>
      <c r="Y108" s="234"/>
      <c r="Z108" s="248"/>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252" t="str">
        <f>IF(G8="IC - Internal Combustion","IC: EV protection columns disabled","EV: Complete EV protection columns to the right")</f>
        <v>EV: Complete EV protection columns to the right</v>
      </c>
      <c r="BJ108" s="252"/>
      <c r="BK108" s="252"/>
      <c r="BL108" s="252"/>
      <c r="BM108" s="252"/>
      <c r="BN108" s="252"/>
      <c r="BO108" s="252"/>
      <c r="BP108" s="252"/>
      <c r="BQ108" s="252"/>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36" t="s">
        <v>301</v>
      </c>
      <c r="H109" s="237"/>
      <c r="I109" s="25" t="str">
        <f>IF(NOT(A106="Diagonal or test required."), "N/A",
IF(G109="","BLANK","EQ"))</f>
        <v>EQ</v>
      </c>
      <c r="U109" s="200"/>
      <c r="V109" s="191"/>
      <c r="BI109" s="252"/>
      <c r="BJ109" s="252"/>
      <c r="BK109" s="252"/>
      <c r="BL109" s="252"/>
      <c r="BM109" s="252"/>
      <c r="BN109" s="252"/>
      <c r="BO109" s="252"/>
      <c r="BP109" s="252"/>
      <c r="BQ109" s="252"/>
      <c r="BS109" s="25"/>
      <c r="BT109" s="25"/>
      <c r="BV109" s="97"/>
      <c r="BW109" s="257"/>
      <c r="BX109" s="257"/>
      <c r="BY109" s="258"/>
      <c r="BZ109" s="258"/>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42" t="s">
        <v>305</v>
      </c>
      <c r="H110" s="242"/>
      <c r="I110" s="163" t="str">
        <f>IF(OR(NOT(A106="Diagonal or test required."),G109="IA/AI Test"),"N/A",
IF(G109="","BLANK","EQ"))</f>
        <v>EQ</v>
      </c>
      <c r="U110" s="241" t="str">
        <f>IF(COUNTIF(AC111:AC118,"BLANK"),"BLANK",IF(OR(SUMPRODUCT(--ISERROR(AC111:AC118))&gt;0,COUNTIF(AC111:AC118,"REJECT")),"REJECT",IF(COUNTIF(AC111:AC118,"CHECK"),"CHECK","EQ")))</f>
        <v>EQ</v>
      </c>
      <c r="V110" s="241"/>
      <c r="W110" s="241"/>
      <c r="X110" s="241"/>
      <c r="Y110" s="241"/>
      <c r="Z110" s="241"/>
      <c r="AA110" s="241"/>
      <c r="AB110" s="241"/>
      <c r="AC110" s="241"/>
      <c r="AO110" s="241" t="str">
        <f>IF(COUNTIF(AW111:AW112,"BLANK"),"BLANK",IF(OR(SUMPRODUCT(--ISERROR(AW111:AW112))&gt;0,COUNTIF(AW111:AW112,"REJECT")),"REJECT",IF(COUNTIF(AW111:AW112,"CHECK"),"CHECK","EQ")))</f>
        <v>EQ</v>
      </c>
      <c r="AP110" s="241"/>
      <c r="AQ110" s="241"/>
      <c r="AR110" s="241"/>
      <c r="AS110" s="241"/>
      <c r="AT110" s="241"/>
      <c r="AU110" s="241"/>
      <c r="AV110" s="241"/>
      <c r="AW110" s="241"/>
      <c r="BQ110" s="45"/>
      <c r="BS110" s="47"/>
      <c r="BT110" s="246"/>
      <c r="BU110" s="246"/>
      <c r="BV110" s="246"/>
      <c r="BW110" s="246"/>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EQ</v>
      </c>
      <c r="U111" s="200" t="s">
        <v>323</v>
      </c>
      <c r="V111" s="191" t="s">
        <v>324</v>
      </c>
      <c r="W111" s="163"/>
      <c r="X111" s="163"/>
      <c r="Y111" s="163"/>
      <c r="Z111" s="200" t="s">
        <v>304</v>
      </c>
      <c r="AA111" s="242" t="s">
        <v>305</v>
      </c>
      <c r="AB111" s="242"/>
      <c r="AC111" s="163" t="s">
        <v>89</v>
      </c>
      <c r="AO111" s="200" t="s">
        <v>390</v>
      </c>
      <c r="AP111" s="234" t="s">
        <v>46</v>
      </c>
      <c r="AQ111" s="234"/>
      <c r="AR111" s="234"/>
      <c r="AS111" s="234"/>
      <c r="AT111" s="234"/>
      <c r="AU111" s="148" t="s">
        <v>45</v>
      </c>
      <c r="AW111" s="163" t="str">
        <f>IF(AU111="","BLANK","EQ")</f>
        <v>EQ</v>
      </c>
      <c r="BI111" s="252" t="str">
        <f>IF(G8="IC - Internal Combustion","IC: EV Acc. tab disabled, complete all other tabs","EV: Complete all other tabs")</f>
        <v>EV: Complete all other tabs</v>
      </c>
      <c r="BJ111" s="252"/>
      <c r="BK111" s="252"/>
      <c r="BL111" s="252"/>
      <c r="BM111" s="252"/>
      <c r="BN111" s="252"/>
      <c r="BO111" s="252"/>
      <c r="BP111" s="252"/>
      <c r="BQ111" s="252"/>
      <c r="BS111" s="47"/>
      <c r="BT111" s="246"/>
      <c r="BU111" s="246"/>
      <c r="BV111" s="246"/>
      <c r="BW111" s="246"/>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EQ</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34" t="s">
        <v>44</v>
      </c>
      <c r="AQ112" s="234"/>
      <c r="AR112" s="234"/>
      <c r="AS112" s="234"/>
      <c r="AT112" s="248"/>
      <c r="AU112" s="57">
        <v>7</v>
      </c>
      <c r="AV112" s="12" t="s">
        <v>29</v>
      </c>
      <c r="AW112" s="163" t="str">
        <f>IF(AU112="","BLANK",IF(ABS(AU112)&lt;=10,"EQ","REJECT"))</f>
        <v>EQ</v>
      </c>
      <c r="BI112" s="252"/>
      <c r="BJ112" s="252"/>
      <c r="BK112" s="252"/>
      <c r="BL112" s="252"/>
      <c r="BM112" s="252"/>
      <c r="BN112" s="252"/>
      <c r="BO112" s="252"/>
      <c r="BP112" s="252"/>
      <c r="BQ112" s="252"/>
      <c r="BS112" s="49"/>
      <c r="BT112" s="246"/>
      <c r="BU112" s="246"/>
      <c r="BV112" s="246"/>
      <c r="BW112" s="246"/>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EQ</v>
      </c>
      <c r="U113" s="200" t="s">
        <v>489</v>
      </c>
      <c r="W113" s="212"/>
      <c r="X113" s="212"/>
      <c r="Y113" s="212" t="s">
        <v>23</v>
      </c>
      <c r="Z113" s="213">
        <f>IF($D$25="mm",1.2,0.047)</f>
        <v>1.2</v>
      </c>
      <c r="AA113" s="50">
        <v>1.5</v>
      </c>
      <c r="AB113" s="12" t="str">
        <f>IF($D$25="mm","mm","in")</f>
        <v>mm</v>
      </c>
      <c r="AC113" s="163" t="str">
        <f>IF(AA113="","BLANK",IF(AA113&lt;Z113,"REJECT","EQ"))</f>
        <v>EQ</v>
      </c>
      <c r="AO113" s="200" t="s">
        <v>382</v>
      </c>
      <c r="AP113" s="242" t="str">
        <f>IF(AU112=0,"Main Hoop Braces may run forward or rearward.",IF(AU111="Forward","Main Hoop requires braces that run forward.","Main Hoop requires braces that run rearward."))</f>
        <v>Main Hoop requires braces that run rearward.</v>
      </c>
      <c r="AQ113" s="242"/>
      <c r="AR113" s="242"/>
      <c r="AS113" s="242"/>
      <c r="AT113" s="242"/>
      <c r="AU113" s="242"/>
      <c r="AV113" s="242"/>
      <c r="AW113" s="163"/>
      <c r="BQ113" s="45"/>
      <c r="BS113" s="60"/>
      <c r="BT113" s="246"/>
      <c r="BU113" s="246"/>
      <c r="BV113" s="246"/>
      <c r="BW113" s="246"/>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EQ</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35" t="str">
        <f>C12</f>
        <v>BLANK</v>
      </c>
      <c r="BJ114" s="235"/>
      <c r="BK114" s="235" t="s">
        <v>493</v>
      </c>
      <c r="BL114" s="235"/>
      <c r="BM114" s="235"/>
      <c r="BN114" s="235"/>
      <c r="BO114" s="235"/>
      <c r="BP114" s="235"/>
      <c r="BQ114" s="235"/>
      <c r="BS114" s="47"/>
      <c r="BT114" s="246"/>
      <c r="BU114" s="246"/>
      <c r="BV114" s="246"/>
      <c r="BW114" s="246"/>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EQ</v>
      </c>
      <c r="W115" s="212"/>
      <c r="X115" s="212"/>
      <c r="Y115" s="212" t="s">
        <v>23</v>
      </c>
      <c r="Z115" s="216">
        <v>1.2</v>
      </c>
      <c r="AA115" s="163">
        <f>IF(AA113="","",IF($D$25="mm",AA113,ROUND(AA113*25.4,1)))</f>
        <v>1.5</v>
      </c>
      <c r="AB115" s="12" t="s">
        <v>202</v>
      </c>
      <c r="AC115" s="163" t="str">
        <f t="shared" si="17"/>
        <v>EQ</v>
      </c>
      <c r="AO115" s="241" t="str">
        <f>IF(COUNTIF(AW116:AW117,"BLANK"),"BLANK",IF(OR(SUMPRODUCT(--ISERROR(AW116:AW117))&gt;0,COUNTIF(AW116:AW117,"REJECT")),"REJECT",IF(COUNTIF(AW116:AW117,"CHECK"),"CHECK","EQ")))</f>
        <v>EQ</v>
      </c>
      <c r="AP115" s="241"/>
      <c r="AQ115" s="241"/>
      <c r="AR115" s="241"/>
      <c r="AS115" s="241"/>
      <c r="AT115" s="241"/>
      <c r="AU115" s="241"/>
      <c r="AV115" s="241"/>
      <c r="AW115" s="241"/>
      <c r="BI115" s="235"/>
      <c r="BJ115" s="235"/>
      <c r="BK115" s="235"/>
      <c r="BL115" s="235"/>
      <c r="BM115" s="235"/>
      <c r="BN115" s="235"/>
      <c r="BO115" s="235"/>
      <c r="BP115" s="235"/>
      <c r="BQ115" s="235"/>
      <c r="BS115" s="60"/>
      <c r="BT115" s="246"/>
      <c r="BU115" s="246"/>
      <c r="BV115" s="246"/>
      <c r="BW115" s="246"/>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EQ</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34" t="s">
        <v>47</v>
      </c>
      <c r="AQ116" s="234"/>
      <c r="AR116" s="234"/>
      <c r="AS116" s="234"/>
      <c r="AT116" s="234"/>
      <c r="AU116" s="148" t="s">
        <v>45</v>
      </c>
      <c r="AW116" s="163" t="str">
        <f>IF(AU116="","BLANK","EQ")</f>
        <v>EQ</v>
      </c>
      <c r="BI116" s="235" t="str">
        <f>'F.10-11 EV Accumulator'!A17</f>
        <v>BLANK</v>
      </c>
      <c r="BJ116" s="235"/>
      <c r="BK116" s="235" t="s">
        <v>191</v>
      </c>
      <c r="BL116" s="235"/>
      <c r="BM116" s="235"/>
      <c r="BN116" s="235"/>
      <c r="BO116" s="235"/>
      <c r="BP116" s="235"/>
      <c r="BQ116" s="235"/>
      <c r="BS116" s="60"/>
      <c r="BT116" s="246"/>
      <c r="BU116" s="246"/>
      <c r="BV116" s="246"/>
      <c r="BW116" s="246"/>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EQ</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34" t="str">
        <f>IF(AU116="Forward","Minimize portion of seat rearward of Main Hoop:","Main Hoop &lt;=10 degrees in the rearward direction:")</f>
        <v>Main Hoop &lt;=10 degrees in the rearward direction:</v>
      </c>
      <c r="AQ117" s="234"/>
      <c r="AR117" s="234"/>
      <c r="AS117" s="234"/>
      <c r="AT117" s="248"/>
      <c r="AU117" s="57">
        <v>8</v>
      </c>
      <c r="AV117" s="12" t="s">
        <v>29</v>
      </c>
      <c r="AW117" s="163" t="str">
        <f>IF(AU117="","BLANK",IF(OR(AND(AU116="FORWARD",AU117&lt;90),AU117&lt;=10),"EQ","REJECT"))</f>
        <v>EQ</v>
      </c>
      <c r="BI117" s="235"/>
      <c r="BJ117" s="235"/>
      <c r="BK117" s="235"/>
      <c r="BL117" s="235"/>
      <c r="BM117" s="235"/>
      <c r="BN117" s="235"/>
      <c r="BO117" s="235"/>
      <c r="BP117" s="235"/>
      <c r="BQ117" s="235"/>
      <c r="BS117" s="244"/>
      <c r="BT117" s="244"/>
      <c r="BU117" s="245"/>
      <c r="BV117" s="245"/>
      <c r="BW117" s="245"/>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35" t="str">
        <f>'F.8.4 Impact Attenuator'!A23</f>
        <v>BLANK</v>
      </c>
      <c r="BJ118" s="235"/>
      <c r="BK118" s="235" t="s">
        <v>192</v>
      </c>
      <c r="BL118" s="235"/>
      <c r="BM118" s="235"/>
      <c r="BN118" s="235"/>
      <c r="BO118" s="235"/>
      <c r="BP118" s="235"/>
      <c r="BQ118" s="235"/>
      <c r="BS118" s="72"/>
      <c r="BT118" s="245"/>
      <c r="BU118" s="245"/>
      <c r="BV118" s="245"/>
      <c r="BW118" s="245"/>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41" t="str">
        <f>IF(COUNTIF(AW120,"BLANK"),"BLANK",IF(OR(SUMPRODUCT(--ISERROR(AW120))&gt;0,COUNTIF(AW120,"REJECT")),"REJECT",IF(COUNTIF(AW120,"CHECK"),"CHECK","EQ")))</f>
        <v>EQ</v>
      </c>
      <c r="AP119" s="241"/>
      <c r="AQ119" s="241"/>
      <c r="AR119" s="241"/>
      <c r="AS119" s="241"/>
      <c r="AT119" s="241"/>
      <c r="AU119" s="241"/>
      <c r="AV119" s="241"/>
      <c r="AW119" s="241"/>
      <c r="BI119" s="235"/>
      <c r="BJ119" s="235"/>
      <c r="BK119" s="235"/>
      <c r="BL119" s="235"/>
      <c r="BM119" s="235"/>
      <c r="BN119" s="235"/>
      <c r="BO119" s="235"/>
      <c r="BP119" s="235"/>
      <c r="BQ119" s="235"/>
      <c r="BS119" s="72"/>
      <c r="BT119" s="245"/>
      <c r="BU119" s="245"/>
      <c r="BV119" s="245"/>
      <c r="BW119" s="245"/>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253" t="str">
        <f>IF(AND(AC120="",AB120=""),"Rearward Front Hoop Brace is not required.",IF(AB120="FH","Rearward Front Hoop Brace is required by:","Rear Front Bulkhead Support is required by:"))</f>
        <v>Rear Front Bulkhead Support is required by:</v>
      </c>
      <c r="W120" s="253"/>
      <c r="X120" s="253"/>
      <c r="Y120" s="253"/>
      <c r="Z120" s="253"/>
      <c r="AA120" s="253"/>
      <c r="AB120" s="200" t="str">
        <f>IF(L83="Rearward Front Hoop Brace is not required.","","FH")</f>
        <v/>
      </c>
      <c r="AC120" s="200" t="str">
        <f>IF(OR(AA102="C",V105="Rearward Front Hoop Brace Required by FBHS."),"FBHS","")</f>
        <v>FBHS</v>
      </c>
      <c r="AO120" s="200" t="s">
        <v>392</v>
      </c>
      <c r="AP120" s="234" t="s">
        <v>48</v>
      </c>
      <c r="AQ120" s="234"/>
      <c r="AR120" s="234"/>
      <c r="AS120" s="234"/>
      <c r="AT120" s="248"/>
      <c r="AU120" s="50">
        <v>400</v>
      </c>
      <c r="AV120" s="12" t="str">
        <f>IF($D$25="mm","mm","in")</f>
        <v>mm</v>
      </c>
      <c r="AW120" s="163" t="str">
        <f>IF(AU120="","BLANK",IF(OR(AND($D$25="mm",AU120&gt;=380),AND($D$25="Inch",AU120&gt;=15)),"EQ","REJECT"))</f>
        <v>EQ</v>
      </c>
      <c r="AX120" s="163"/>
      <c r="AY120" s="163"/>
      <c r="AZ120" s="163"/>
      <c r="BA120" s="163"/>
      <c r="BI120" s="235" t="str">
        <f>'F.3.3, F.4, F.8.4 Materials'!A26</f>
        <v>BLANK</v>
      </c>
      <c r="BJ120" s="235"/>
      <c r="BK120" s="235" t="s">
        <v>193</v>
      </c>
      <c r="BL120" s="235"/>
      <c r="BM120" s="235"/>
      <c r="BN120" s="235"/>
      <c r="BO120" s="235"/>
      <c r="BP120" s="235"/>
      <c r="BQ120" s="235"/>
      <c r="BS120" s="47"/>
      <c r="BT120" s="246"/>
      <c r="BU120" s="246"/>
      <c r="BV120" s="246"/>
      <c r="BW120" s="246"/>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41" t="str">
        <f>IF(COUNTIF(AC122:AC129,"BLANK"),"BLANK",IF(OR(SUMPRODUCT(--ISERROR(AC122:AC129))&gt;0,COUNTIF(AC122:AC129,"REJECT")),"REJECT",IF(COUNTIF(AC122:AC129,"CHECK"),"CHECK","EQ")))</f>
        <v>EQ</v>
      </c>
      <c r="V121" s="241"/>
      <c r="W121" s="241"/>
      <c r="X121" s="241"/>
      <c r="Y121" s="241"/>
      <c r="Z121" s="241"/>
      <c r="AA121" s="241"/>
      <c r="AB121" s="241"/>
      <c r="AC121" s="241"/>
      <c r="BI121" s="235"/>
      <c r="BJ121" s="235"/>
      <c r="BK121" s="235"/>
      <c r="BL121" s="235"/>
      <c r="BM121" s="235"/>
      <c r="BN121" s="235"/>
      <c r="BO121" s="235"/>
      <c r="BP121" s="235"/>
      <c r="BQ121" s="235"/>
      <c r="BS121" s="47"/>
      <c r="BT121" s="246"/>
      <c r="BU121" s="246"/>
      <c r="BV121" s="246"/>
      <c r="BW121" s="246"/>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42" t="s">
        <v>305</v>
      </c>
      <c r="AB122" s="242"/>
      <c r="AC122" s="163" t="str">
        <f>IF(AND(AB120="",AC120=""),"N/A","EQ")</f>
        <v>EQ</v>
      </c>
      <c r="AS122" s="163" t="s">
        <v>394</v>
      </c>
      <c r="AT122" s="163"/>
      <c r="AU122" s="163"/>
      <c r="AV122" s="163"/>
      <c r="AW122" s="163"/>
      <c r="BI122" s="235" t="str">
        <f>'F.3.4.3 Welded Inserts'!A22</f>
        <v>BLANK</v>
      </c>
      <c r="BJ122" s="235"/>
      <c r="BK122" s="235" t="s">
        <v>203</v>
      </c>
      <c r="BL122" s="235"/>
      <c r="BM122" s="235"/>
      <c r="BN122" s="235"/>
      <c r="BO122" s="235"/>
      <c r="BP122" s="235"/>
      <c r="BQ122" s="235"/>
      <c r="BS122" s="47"/>
      <c r="BT122" s="246"/>
      <c r="BU122" s="246"/>
      <c r="BV122" s="246"/>
      <c r="BW122" s="246"/>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41" t="str">
        <f>IF(COUNTIF(AW124:AW126,"BLANK"),"BLANK",IF(OR(SUMPRODUCT(--ISERROR(AW124:AW126))&gt;0,COUNTIF(AW124:AW126,"REJECT")),"REJECT",IF(COUNTIF(AW124:AW126,"CHECK"),"CHECK","EQ")))</f>
        <v>EQ</v>
      </c>
      <c r="AP123" s="241"/>
      <c r="AQ123" s="241"/>
      <c r="AR123" s="241"/>
      <c r="AS123" s="241"/>
      <c r="AT123" s="241"/>
      <c r="AU123" s="241"/>
      <c r="AV123" s="241"/>
      <c r="AW123" s="241"/>
      <c r="BI123" s="235"/>
      <c r="BJ123" s="235"/>
      <c r="BK123" s="235"/>
      <c r="BL123" s="235"/>
      <c r="BM123" s="235"/>
      <c r="BN123" s="235"/>
      <c r="BO123" s="235"/>
      <c r="BP123" s="235"/>
      <c r="BQ123" s="235"/>
      <c r="BS123" s="47"/>
      <c r="BT123" s="246"/>
      <c r="BU123" s="246"/>
      <c r="BV123" s="246"/>
      <c r="BW123" s="246"/>
      <c r="BX123" s="246"/>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34" t="s">
        <v>49</v>
      </c>
      <c r="AQ124" s="234"/>
      <c r="AR124" s="234"/>
      <c r="AS124" s="234"/>
      <c r="AT124" s="234"/>
      <c r="AU124" s="149">
        <v>100</v>
      </c>
      <c r="AV124" s="12" t="str">
        <f>IF($D$25="mm","mm","in")</f>
        <v>mm</v>
      </c>
      <c r="AW124" s="163" t="str">
        <f>IF(AU124="","BLANK",IF($D$25="mm",IF(AU124&gt;=75,"EQ","REJECT"),IF(AU124&gt;=3,"EQ","REJECT")))</f>
        <v>EQ</v>
      </c>
      <c r="BI124" s="235" t="str">
        <f>'F.5.10 Bolted Members'!A22</f>
        <v>BLANK</v>
      </c>
      <c r="BJ124" s="235"/>
      <c r="BK124" s="235" t="s">
        <v>195</v>
      </c>
      <c r="BL124" s="235"/>
      <c r="BM124" s="235"/>
      <c r="BN124" s="235"/>
      <c r="BO124" s="235"/>
      <c r="BP124" s="235"/>
      <c r="BQ124" s="235"/>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34" t="s">
        <v>50</v>
      </c>
      <c r="AQ125" s="234"/>
      <c r="AR125" s="234"/>
      <c r="AS125" s="234"/>
      <c r="AT125" s="234"/>
      <c r="AU125" s="50">
        <v>30</v>
      </c>
      <c r="AV125" s="12" t="str">
        <f>IF($D$25="mm","mm","in")</f>
        <v>mm</v>
      </c>
      <c r="AW125" s="163" t="str">
        <f>IF(AU125="","BLANK",IF($D$25="mm",IF(AU125&gt;=25,"EQ","REJECT"),IF(AU125&gt;=0.984,"EQ","REJECT")))</f>
        <v>EQ</v>
      </c>
      <c r="BI125" s="235"/>
      <c r="BJ125" s="235"/>
      <c r="BK125" s="235"/>
      <c r="BL125" s="235"/>
      <c r="BM125" s="235"/>
      <c r="BN125" s="235"/>
      <c r="BO125" s="235"/>
      <c r="BP125" s="235"/>
      <c r="BQ125" s="235"/>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34" t="s">
        <v>51</v>
      </c>
      <c r="AQ126" s="234"/>
      <c r="AR126" s="234"/>
      <c r="AS126" s="234"/>
      <c r="AT126" s="234"/>
      <c r="AU126" s="163">
        <f>IF(OR(AU124="",AU125=""),"",AU124/AU125)</f>
        <v>3.3333333333333335</v>
      </c>
      <c r="AW126" s="163" t="str">
        <f>IF(OR(AU124="",AU125=""),"",IF(AU126&gt;=3,"EQ","REJECT"))</f>
        <v>EQ</v>
      </c>
      <c r="BI126" s="247" t="str">
        <f>J10</f>
        <v>NO</v>
      </c>
      <c r="BJ126" s="247"/>
      <c r="BK126" s="247" t="s">
        <v>9</v>
      </c>
      <c r="BL126" s="247"/>
      <c r="BM126" s="247"/>
      <c r="BN126" s="247"/>
      <c r="BO126" s="247"/>
      <c r="BP126" s="247"/>
      <c r="BQ126" s="247"/>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47"/>
      <c r="BJ127" s="247"/>
      <c r="BK127" s="247"/>
      <c r="BL127" s="247"/>
      <c r="BM127" s="247"/>
      <c r="BN127" s="247"/>
      <c r="BO127" s="247"/>
      <c r="BP127" s="247"/>
      <c r="BQ127" s="247"/>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BJ89:BM89"/>
    <mergeCell ref="BN89:BP89"/>
    <mergeCell ref="BE84:BF84"/>
    <mergeCell ref="AY93:BG93"/>
    <mergeCell ref="AY83:BG83"/>
    <mergeCell ref="BO90:BP90"/>
    <mergeCell ref="BI58:BQ59"/>
    <mergeCell ref="BI74:BQ74"/>
    <mergeCell ref="BJ75:BN75"/>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L82:P82"/>
    <mergeCell ref="K81:S81"/>
    <mergeCell ref="L79:P79"/>
    <mergeCell ref="L76:P76"/>
    <mergeCell ref="K75:S75"/>
    <mergeCell ref="L73:P73"/>
    <mergeCell ref="K72:S72"/>
    <mergeCell ref="K56:L57"/>
    <mergeCell ref="M56:S57"/>
    <mergeCell ref="K62:S6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35" t="s">
        <v>601</v>
      </c>
      <c r="B1" s="235"/>
      <c r="C1" s="235"/>
      <c r="D1" s="138"/>
      <c r="E1" s="239" t="str">
        <f>IF($P$25="mm","Note: Forces are given in Pa, not Mpa or Gpa.","Note: Forces are given in psi, not ksi.")</f>
        <v>Note: Forces are given in psi, not ksi.</v>
      </c>
      <c r="F1" s="239"/>
      <c r="G1" s="239"/>
      <c r="H1" s="239"/>
      <c r="I1" s="239"/>
      <c r="J1" s="239"/>
      <c r="K1" s="239"/>
      <c r="L1" s="239"/>
      <c r="M1" s="47"/>
      <c r="N1" s="93"/>
      <c r="O1" s="93"/>
      <c r="P1" s="93"/>
      <c r="Q1" s="66"/>
      <c r="S1" s="66"/>
      <c r="T1" s="66"/>
      <c r="U1" s="66"/>
      <c r="V1" s="66"/>
      <c r="W1" s="66"/>
      <c r="X1" s="66"/>
      <c r="Y1" s="66"/>
      <c r="Z1" s="66"/>
      <c r="AA1" s="66"/>
      <c r="AC1" s="308" t="s">
        <v>602</v>
      </c>
      <c r="AD1" s="308"/>
      <c r="AE1" s="308"/>
      <c r="AF1" s="308"/>
      <c r="AG1" s="308"/>
      <c r="AH1" s="308"/>
      <c r="AI1" s="308"/>
      <c r="AJ1" s="308"/>
      <c r="AK1" s="308"/>
      <c r="AL1" s="308"/>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35"/>
      <c r="B2" s="235"/>
      <c r="C2" s="235"/>
      <c r="E2" s="239" t="s">
        <v>604</v>
      </c>
      <c r="F2" s="239"/>
      <c r="G2" s="239" t="str">
        <f>IF($P$25="mm","E (Pa)","E (psi)")</f>
        <v>E (psi)</v>
      </c>
      <c r="H2" s="239"/>
      <c r="I2" s="239" t="str">
        <f>IF($P$25="mm","S_Ultimate (Pa)","S_Ultimate (psi)")</f>
        <v>S_Ultimate (psi)</v>
      </c>
      <c r="J2" s="239"/>
      <c r="K2" s="239" t="str">
        <f>IF($P$25="mm","Shear (Pa)","Shear (psi)")</f>
        <v>Shear (psi)</v>
      </c>
      <c r="L2" s="239"/>
      <c r="P2" s="93"/>
      <c r="Q2" s="66"/>
      <c r="R2" s="46" t="s">
        <v>605</v>
      </c>
      <c r="S2" s="66"/>
      <c r="T2" s="66"/>
      <c r="U2" s="66"/>
      <c r="V2" s="66"/>
      <c r="W2" s="66"/>
      <c r="X2" s="66"/>
      <c r="Y2" s="66"/>
      <c r="Z2" s="66"/>
      <c r="AA2" s="66"/>
      <c r="AC2" s="308"/>
      <c r="AD2" s="308"/>
      <c r="AE2" s="308"/>
      <c r="AF2" s="308"/>
      <c r="AG2" s="308"/>
      <c r="AH2" s="308"/>
      <c r="AI2" s="308"/>
      <c r="AJ2" s="308"/>
      <c r="AK2" s="308"/>
      <c r="AL2" s="308"/>
      <c r="AM2" s="66"/>
      <c r="AN2" s="66"/>
      <c r="AQ2" s="41"/>
      <c r="AR2" s="304" t="str">
        <f>HYPERLINK("http://mkweb.bcgsc.ca/colorblind/","http://mkweb.bcgsc.ca/colorblind/")</f>
        <v>http://mkweb.bcgsc.ca/colorblind/</v>
      </c>
      <c r="AS2" s="304"/>
      <c r="AT2" s="304"/>
      <c r="AU2" s="30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05" t="str">
        <f>IF($A$25="mm","Note: Forces are given in Pa, not Mpa or Gpa.","Note: Forces are given in psi, not ksi.")</f>
        <v>Note: Forces are given in Pa, not Mpa or Gpa.</v>
      </c>
      <c r="B3" s="305"/>
      <c r="C3" s="305"/>
      <c r="E3" s="239" t="s">
        <v>606</v>
      </c>
      <c r="F3" s="239"/>
      <c r="G3" s="306">
        <f>IF($A$25="mm",200*10^9,29*10^6)</f>
        <v>200000000000</v>
      </c>
      <c r="H3" s="306"/>
      <c r="I3" s="306">
        <f>IF($A$25="mm",365*10^6,52.9*10^3)</f>
        <v>365000000</v>
      </c>
      <c r="J3" s="306"/>
      <c r="K3" s="306">
        <f>I3*0.577</f>
        <v>210604999.99999997</v>
      </c>
      <c r="L3" s="306"/>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05"/>
      <c r="B4" s="305"/>
      <c r="C4" s="305"/>
      <c r="E4" s="239" t="s">
        <v>610</v>
      </c>
      <c r="F4" s="239"/>
      <c r="G4" s="307">
        <f>IF($A$25="mm",200*10^9,29*10^6)</f>
        <v>200000000000</v>
      </c>
      <c r="H4" s="307"/>
      <c r="I4" s="307">
        <f>IF($A$25="mm",300*10^6,43.5*10^3)</f>
        <v>300000000</v>
      </c>
      <c r="J4" s="307"/>
      <c r="K4" s="307">
        <f>0.577*I4</f>
        <v>173100000</v>
      </c>
      <c r="L4" s="307"/>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60" t="s">
        <v>613</v>
      </c>
      <c r="B5" s="260"/>
      <c r="C5" s="260"/>
      <c r="E5" s="282" t="s">
        <v>614</v>
      </c>
      <c r="F5" s="282"/>
      <c r="G5" s="309"/>
      <c r="H5" s="309"/>
      <c r="I5" s="309"/>
      <c r="J5" s="309"/>
      <c r="K5" s="309"/>
      <c r="L5" s="309"/>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60"/>
      <c r="B6" s="260"/>
      <c r="C6" s="260"/>
      <c r="E6" s="282" t="s">
        <v>620</v>
      </c>
      <c r="F6" s="282"/>
      <c r="G6" s="310"/>
      <c r="H6" s="310"/>
      <c r="I6" s="310"/>
      <c r="J6" s="310"/>
      <c r="K6" s="310"/>
      <c r="L6" s="310"/>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60"/>
      <c r="B7" s="260"/>
      <c r="C7" s="260"/>
      <c r="E7" s="282"/>
      <c r="F7" s="282"/>
      <c r="G7" s="311" t="str">
        <f t="shared" ref="G7:G19" ca="1" si="0">IF($E7="","",
IF($A$25="mm",INDIRECT("'"&amp;$E7&amp;"'!$AK$75"),INDIRECT("'"&amp;$E7&amp;"'!$AK$76")))</f>
        <v/>
      </c>
      <c r="H7" s="306"/>
      <c r="I7" s="306" t="str">
        <f t="shared" ref="I7:I19" ca="1" si="1">IF($E7="","",
IF($A$25="mm",INDIRECT("'"&amp;$E7&amp;"'!$AK$78"),INDIRECT("'"&amp;$E7&amp;"'!$AK$79")))</f>
        <v/>
      </c>
      <c r="J7" s="306"/>
      <c r="K7" s="306" t="str">
        <f t="shared" ref="K7:K19" ca="1" si="2">IF($E7="","",
IF($A$25="mm",INDIRECT("'"&amp;$E7&amp;"'!$AY$62"),INDIRECT("'"&amp;$E7&amp;"'!$AY$63")))</f>
        <v/>
      </c>
      <c r="L7" s="306"/>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82"/>
      <c r="F8" s="282"/>
      <c r="G8" s="312" t="str">
        <f t="shared" ca="1" si="0"/>
        <v/>
      </c>
      <c r="H8" s="307"/>
      <c r="I8" s="307" t="str">
        <f t="shared" ca="1" si="1"/>
        <v/>
      </c>
      <c r="J8" s="307"/>
      <c r="K8" s="307" t="str">
        <f t="shared" ca="1" si="2"/>
        <v/>
      </c>
      <c r="L8" s="307"/>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82"/>
      <c r="F9" s="282"/>
      <c r="G9" s="311" t="str">
        <f t="shared" ca="1" si="0"/>
        <v/>
      </c>
      <c r="H9" s="306"/>
      <c r="I9" s="306" t="str">
        <f t="shared" ca="1" si="1"/>
        <v/>
      </c>
      <c r="J9" s="306"/>
      <c r="K9" s="306" t="str">
        <f t="shared" ca="1" si="2"/>
        <v/>
      </c>
      <c r="L9" s="306"/>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70" t="s">
        <v>628</v>
      </c>
      <c r="AZ9" s="270"/>
      <c r="BA9" s="270"/>
      <c r="BB9" s="270"/>
      <c r="BC9" s="270"/>
      <c r="BD9" s="270"/>
      <c r="BE9" s="270"/>
      <c r="BF9" s="270"/>
      <c r="BG9" s="270"/>
      <c r="BH9" s="270"/>
      <c r="BI9" s="270"/>
      <c r="BJ9" s="270"/>
      <c r="BK9" s="270"/>
      <c r="BL9" s="23"/>
      <c r="BM9" s="270" t="s">
        <v>629</v>
      </c>
      <c r="BN9" s="270"/>
      <c r="BO9" s="270"/>
      <c r="BP9" s="270"/>
      <c r="BQ9" s="270"/>
      <c r="BR9" s="270"/>
      <c r="BS9" s="270"/>
      <c r="BT9" s="270"/>
      <c r="BU9" s="270"/>
      <c r="BV9" s="270"/>
      <c r="BW9" s="270"/>
      <c r="BX9" s="270"/>
      <c r="BY9" s="270"/>
      <c r="BZ9" s="23"/>
    </row>
    <row r="10" spans="1:142" ht="15.75" customHeight="1" x14ac:dyDescent="0.3">
      <c r="A10" s="314">
        <f>'F.3.1-4 Tube Chassis'!$M$1</f>
        <v>2020</v>
      </c>
      <c r="B10" s="314"/>
      <c r="C10" s="314"/>
      <c r="D10" s="138"/>
      <c r="E10" s="282"/>
      <c r="F10" s="282"/>
      <c r="G10" s="312" t="str">
        <f t="shared" ca="1" si="0"/>
        <v/>
      </c>
      <c r="H10" s="307"/>
      <c r="I10" s="307" t="str">
        <f t="shared" ca="1" si="1"/>
        <v/>
      </c>
      <c r="J10" s="307"/>
      <c r="K10" s="307" t="str">
        <f t="shared" ca="1" si="2"/>
        <v/>
      </c>
      <c r="L10" s="307"/>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70"/>
      <c r="AZ10" s="270"/>
      <c r="BA10" s="270"/>
      <c r="BB10" s="270"/>
      <c r="BC10" s="270"/>
      <c r="BD10" s="270"/>
      <c r="BE10" s="270"/>
      <c r="BF10" s="270"/>
      <c r="BG10" s="270"/>
      <c r="BH10" s="270"/>
      <c r="BI10" s="270"/>
      <c r="BJ10" s="270"/>
      <c r="BK10" s="270"/>
      <c r="BL10" s="23"/>
      <c r="BM10" s="270"/>
      <c r="BN10" s="270"/>
      <c r="BO10" s="270"/>
      <c r="BP10" s="270"/>
      <c r="BQ10" s="270"/>
      <c r="BR10" s="270"/>
      <c r="BS10" s="270"/>
      <c r="BT10" s="270"/>
      <c r="BU10" s="270"/>
      <c r="BV10" s="270"/>
      <c r="BW10" s="270"/>
      <c r="BX10" s="270"/>
      <c r="BY10" s="270"/>
      <c r="BZ10" s="23"/>
    </row>
    <row r="11" spans="1:142" ht="15.75" customHeight="1" x14ac:dyDescent="0.3">
      <c r="A11" s="315">
        <f>'F.3.1-4 Tube Chassis'!$C$1</f>
        <v>0</v>
      </c>
      <c r="B11" s="315"/>
      <c r="C11" s="315"/>
      <c r="D11" s="138"/>
      <c r="E11" s="282"/>
      <c r="F11" s="282"/>
      <c r="G11" s="311" t="str">
        <f t="shared" ca="1" si="0"/>
        <v/>
      </c>
      <c r="H11" s="306"/>
      <c r="I11" s="306" t="str">
        <f t="shared" ca="1" si="1"/>
        <v/>
      </c>
      <c r="J11" s="306"/>
      <c r="K11" s="306" t="str">
        <f t="shared" ca="1" si="2"/>
        <v/>
      </c>
      <c r="L11" s="306"/>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70" t="s">
        <v>69</v>
      </c>
      <c r="BB11" s="270"/>
      <c r="BC11" s="270"/>
      <c r="BD11" s="270"/>
      <c r="BE11" s="270"/>
      <c r="BF11" s="270"/>
      <c r="BG11" s="270"/>
      <c r="BH11" s="270"/>
      <c r="BI11" s="270"/>
      <c r="BJ11" s="27"/>
      <c r="BK11" s="27"/>
      <c r="BL11" s="23"/>
      <c r="BM11" s="27"/>
      <c r="BN11" s="27"/>
      <c r="BO11" s="270" t="s">
        <v>69</v>
      </c>
      <c r="BP11" s="270"/>
      <c r="BQ11" s="270"/>
      <c r="BR11" s="270"/>
      <c r="BS11" s="270"/>
      <c r="BT11" s="270"/>
      <c r="BU11" s="270"/>
      <c r="BV11" s="270"/>
      <c r="BW11" s="270"/>
      <c r="BX11" s="27"/>
      <c r="BY11" s="27"/>
      <c r="BZ11" s="23"/>
    </row>
    <row r="12" spans="1:142" ht="15.75" customHeight="1" x14ac:dyDescent="0.3">
      <c r="A12" s="313">
        <f>'F.3.1-4 Tube Chassis'!$C$2</f>
        <v>0</v>
      </c>
      <c r="B12" s="313"/>
      <c r="C12" s="313"/>
      <c r="D12" s="138"/>
      <c r="E12" s="282"/>
      <c r="F12" s="282"/>
      <c r="G12" s="312" t="str">
        <f t="shared" ca="1" si="0"/>
        <v/>
      </c>
      <c r="H12" s="307"/>
      <c r="I12" s="307" t="str">
        <f t="shared" ca="1" si="1"/>
        <v/>
      </c>
      <c r="J12" s="307"/>
      <c r="K12" s="307" t="str">
        <f t="shared" ca="1" si="2"/>
        <v/>
      </c>
      <c r="L12" s="307"/>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70"/>
      <c r="BB12" s="270"/>
      <c r="BC12" s="270"/>
      <c r="BD12" s="270"/>
      <c r="BE12" s="270"/>
      <c r="BF12" s="270"/>
      <c r="BG12" s="270"/>
      <c r="BH12" s="270"/>
      <c r="BI12" s="270"/>
      <c r="BJ12" s="27"/>
      <c r="BK12" s="27"/>
      <c r="BL12" s="23"/>
      <c r="BM12" s="27"/>
      <c r="BN12" s="27"/>
      <c r="BO12" s="270"/>
      <c r="BP12" s="270"/>
      <c r="BQ12" s="270"/>
      <c r="BR12" s="270"/>
      <c r="BS12" s="270"/>
      <c r="BT12" s="270"/>
      <c r="BU12" s="270"/>
      <c r="BV12" s="270"/>
      <c r="BW12" s="270"/>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82"/>
      <c r="F13" s="282"/>
      <c r="G13" s="311" t="str">
        <f t="shared" ca="1" si="0"/>
        <v/>
      </c>
      <c r="H13" s="306"/>
      <c r="I13" s="306" t="str">
        <f t="shared" ca="1" si="1"/>
        <v/>
      </c>
      <c r="J13" s="306"/>
      <c r="K13" s="306" t="str">
        <f t="shared" ca="1" si="2"/>
        <v/>
      </c>
      <c r="L13" s="306"/>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70" t="s">
        <v>70</v>
      </c>
      <c r="BB13" s="270"/>
      <c r="BC13" s="270"/>
      <c r="BD13" s="270"/>
      <c r="BE13" s="270"/>
      <c r="BF13" s="270"/>
      <c r="BG13" s="270"/>
      <c r="BH13" s="270"/>
      <c r="BI13" s="270"/>
      <c r="BJ13" s="27"/>
      <c r="BK13" s="27"/>
      <c r="BL13" s="23"/>
      <c r="BM13" s="27"/>
      <c r="BN13" s="27"/>
      <c r="BO13" s="270" t="s">
        <v>70</v>
      </c>
      <c r="BP13" s="270"/>
      <c r="BQ13" s="270"/>
      <c r="BR13" s="270"/>
      <c r="BS13" s="270"/>
      <c r="BT13" s="270"/>
      <c r="BU13" s="270"/>
      <c r="BV13" s="270"/>
      <c r="BW13" s="270"/>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82"/>
      <c r="F14" s="282"/>
      <c r="G14" s="312" t="str">
        <f t="shared" ca="1" si="0"/>
        <v/>
      </c>
      <c r="H14" s="307"/>
      <c r="I14" s="307" t="str">
        <f t="shared" ca="1" si="1"/>
        <v/>
      </c>
      <c r="J14" s="307"/>
      <c r="K14" s="307" t="str">
        <f t="shared" ca="1" si="2"/>
        <v/>
      </c>
      <c r="L14" s="307"/>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70"/>
      <c r="BB14" s="270"/>
      <c r="BC14" s="270"/>
      <c r="BD14" s="270"/>
      <c r="BE14" s="270"/>
      <c r="BF14" s="270"/>
      <c r="BG14" s="270"/>
      <c r="BH14" s="270"/>
      <c r="BI14" s="270"/>
      <c r="BJ14" s="27"/>
      <c r="BK14" s="27"/>
      <c r="BL14" s="23"/>
      <c r="BM14" s="27"/>
      <c r="BN14" s="27"/>
      <c r="BO14" s="270"/>
      <c r="BP14" s="270"/>
      <c r="BQ14" s="270"/>
      <c r="BR14" s="270"/>
      <c r="BS14" s="270"/>
      <c r="BT14" s="270"/>
      <c r="BU14" s="270"/>
      <c r="BV14" s="270"/>
      <c r="BW14" s="270"/>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82"/>
      <c r="F15" s="282"/>
      <c r="G15" s="311" t="str">
        <f t="shared" ca="1" si="0"/>
        <v/>
      </c>
      <c r="H15" s="306"/>
      <c r="I15" s="306" t="str">
        <f t="shared" ca="1" si="1"/>
        <v/>
      </c>
      <c r="J15" s="306"/>
      <c r="K15" s="306" t="str">
        <f t="shared" ca="1" si="2"/>
        <v/>
      </c>
      <c r="L15" s="306"/>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70" t="s">
        <v>599</v>
      </c>
      <c r="AZ15" s="270"/>
      <c r="BA15" s="270"/>
      <c r="BB15" s="270"/>
      <c r="BC15" s="270"/>
      <c r="BD15" s="270"/>
      <c r="BE15" s="270"/>
      <c r="BF15" s="270"/>
      <c r="BG15" s="270"/>
      <c r="BH15" s="270"/>
      <c r="BI15" s="270"/>
      <c r="BJ15" s="270"/>
      <c r="BK15" s="270"/>
      <c r="BL15" s="23"/>
      <c r="BM15" s="270" t="s">
        <v>599</v>
      </c>
      <c r="BN15" s="270"/>
      <c r="BO15" s="270"/>
      <c r="BP15" s="270"/>
      <c r="BQ15" s="270"/>
      <c r="BR15" s="270"/>
      <c r="BS15" s="270"/>
      <c r="BT15" s="270"/>
      <c r="BU15" s="270"/>
      <c r="BV15" s="270"/>
      <c r="BW15" s="270"/>
      <c r="BX15" s="270"/>
      <c r="BY15" s="270"/>
      <c r="BZ15" s="23"/>
    </row>
    <row r="16" spans="1:142" ht="15.75" customHeight="1" x14ac:dyDescent="0.3">
      <c r="A16" s="146"/>
      <c r="B16" s="146"/>
      <c r="D16" s="138"/>
      <c r="E16" s="282"/>
      <c r="F16" s="282"/>
      <c r="G16" s="312" t="str">
        <f t="shared" ca="1" si="0"/>
        <v/>
      </c>
      <c r="H16" s="307"/>
      <c r="I16" s="307" t="str">
        <f t="shared" ca="1" si="1"/>
        <v/>
      </c>
      <c r="J16" s="307"/>
      <c r="K16" s="307" t="str">
        <f t="shared" ca="1" si="2"/>
        <v/>
      </c>
      <c r="L16" s="307"/>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70"/>
      <c r="AZ16" s="270"/>
      <c r="BA16" s="270"/>
      <c r="BB16" s="270"/>
      <c r="BC16" s="270"/>
      <c r="BD16" s="270"/>
      <c r="BE16" s="270"/>
      <c r="BF16" s="270"/>
      <c r="BG16" s="270"/>
      <c r="BH16" s="270"/>
      <c r="BI16" s="270"/>
      <c r="BJ16" s="270"/>
      <c r="BK16" s="270"/>
      <c r="BL16" s="23"/>
      <c r="BM16" s="270"/>
      <c r="BN16" s="270"/>
      <c r="BO16" s="270"/>
      <c r="BP16" s="270"/>
      <c r="BQ16" s="270"/>
      <c r="BR16" s="270"/>
      <c r="BS16" s="270"/>
      <c r="BT16" s="270"/>
      <c r="BU16" s="270"/>
      <c r="BV16" s="270"/>
      <c r="BW16" s="270"/>
      <c r="BX16" s="270"/>
      <c r="BY16" s="270"/>
      <c r="BZ16" s="23"/>
    </row>
    <row r="17" spans="1:120" ht="15.75" customHeight="1" x14ac:dyDescent="0.3">
      <c r="A17" s="297" t="str">
        <f>IF(B15="IC","N/A",
IF(OR(F21="BLANK",R21="BLANK",COUNTIF(U56:DH57,"BLANK")),"BLANK",
IF(COUNTIF(U56:DH57,"REJECT"),"REJECT",
IF(COUNTIF(U56:DH57,"CHECK"),"CHECK","EQ"))))</f>
        <v>BLANK</v>
      </c>
      <c r="B17" s="297"/>
      <c r="C17" s="297"/>
      <c r="D17" s="138"/>
      <c r="E17" s="282"/>
      <c r="F17" s="282"/>
      <c r="G17" s="311" t="str">
        <f t="shared" ca="1" si="0"/>
        <v/>
      </c>
      <c r="H17" s="306"/>
      <c r="I17" s="306" t="str">
        <f t="shared" ca="1" si="1"/>
        <v/>
      </c>
      <c r="J17" s="306"/>
      <c r="K17" s="306" t="str">
        <f t="shared" ca="1" si="2"/>
        <v/>
      </c>
      <c r="L17" s="306"/>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97"/>
      <c r="B18" s="297"/>
      <c r="C18" s="297"/>
      <c r="D18" s="138"/>
      <c r="E18" s="282"/>
      <c r="F18" s="282"/>
      <c r="G18" s="312" t="str">
        <f t="shared" ca="1" si="0"/>
        <v/>
      </c>
      <c r="H18" s="307"/>
      <c r="I18" s="307" t="str">
        <f t="shared" ca="1" si="1"/>
        <v/>
      </c>
      <c r="J18" s="307"/>
      <c r="K18" s="307" t="str">
        <f t="shared" ca="1" si="2"/>
        <v/>
      </c>
      <c r="L18" s="307"/>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97"/>
      <c r="B19" s="297"/>
      <c r="C19" s="297"/>
      <c r="D19" s="138"/>
      <c r="E19" s="282"/>
      <c r="F19" s="282"/>
      <c r="G19" s="311" t="str">
        <f t="shared" ca="1" si="0"/>
        <v/>
      </c>
      <c r="H19" s="306"/>
      <c r="I19" s="306" t="str">
        <f t="shared" ca="1" si="1"/>
        <v/>
      </c>
      <c r="J19" s="306"/>
      <c r="K19" s="306" t="str">
        <f t="shared" ca="1" si="2"/>
        <v/>
      </c>
      <c r="L19" s="306"/>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97"/>
      <c r="B20" s="297"/>
      <c r="C20" s="297"/>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97"/>
      <c r="B21" s="297"/>
      <c r="C21" s="297"/>
      <c r="D21" s="138"/>
      <c r="F21" s="262" t="str">
        <f>IF(COUNTIF(N22:N23,"BLANK"),"BLANK",IF(COUNTIF(N22:N23,"REJECT"),"REJECT",IF(COUNTIF(N22:N23,"CHECK"),"CHECK","EQ")))</f>
        <v>BLANK</v>
      </c>
      <c r="G21" s="262"/>
      <c r="H21" s="262"/>
      <c r="I21" s="262"/>
      <c r="J21" s="262"/>
      <c r="K21" s="262"/>
      <c r="L21" s="262"/>
      <c r="M21" s="262"/>
      <c r="N21" s="262"/>
      <c r="O21" s="138"/>
      <c r="P21" s="66"/>
      <c r="Q21" s="66"/>
      <c r="R21" s="262" t="str">
        <f>IF(COUNTIF(AA22:AA25,"BLANK"),"BLANK",IF(COUNTIF(AA22:AA25,"REJECT"),"REJECT",IF(COUNTIF(AA22:AA25,"CHECK"),"CHECK","EQ")))</f>
        <v>BLANK</v>
      </c>
      <c r="S21" s="262"/>
      <c r="T21" s="262"/>
      <c r="U21" s="262"/>
      <c r="V21" s="262"/>
      <c r="W21" s="262"/>
      <c r="X21" s="262"/>
      <c r="Y21" s="262"/>
      <c r="Z21" s="262"/>
      <c r="AA21" s="26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97"/>
      <c r="B22" s="297"/>
      <c r="C22" s="297"/>
      <c r="D22" s="138"/>
      <c r="F22" s="25"/>
      <c r="G22" s="49"/>
      <c r="H22" s="49"/>
      <c r="I22" s="49"/>
      <c r="J22" s="49"/>
      <c r="K22" s="49" t="s">
        <v>650</v>
      </c>
      <c r="L22" s="56"/>
      <c r="M22" s="19" t="str">
        <f>IF($A$25="mm","kg","lbs")</f>
        <v>kg</v>
      </c>
      <c r="N22" s="25" t="str">
        <f>IF(L22="","BLANK","EQ")</f>
        <v>BLANK</v>
      </c>
      <c r="O22" s="138"/>
      <c r="P22" s="66"/>
      <c r="Q22" s="66"/>
      <c r="R22" s="49"/>
      <c r="S22" s="49"/>
      <c r="T22" s="49" t="s">
        <v>651</v>
      </c>
      <c r="U22" s="236"/>
      <c r="V22" s="261"/>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97"/>
      <c r="B23" s="297"/>
      <c r="C23" s="297"/>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97"/>
      <c r="B24" s="297"/>
      <c r="C24" s="297"/>
      <c r="D24" s="41"/>
      <c r="G24" s="49"/>
      <c r="H24" s="49"/>
      <c r="I24" s="49"/>
      <c r="J24" s="49"/>
      <c r="K24" s="49" t="s">
        <v>656</v>
      </c>
      <c r="L24" s="25">
        <f>IF($A$25="mm",L23*40*9.81/4,L23*40/4)</f>
        <v>0</v>
      </c>
      <c r="M24" s="19" t="str">
        <f>IF($A$25="mm","N","lbs")</f>
        <v>N</v>
      </c>
      <c r="N24" s="19" t="s">
        <v>657</v>
      </c>
      <c r="O24" s="41"/>
      <c r="P24" s="66"/>
      <c r="Q24" s="66"/>
      <c r="R24" s="49"/>
      <c r="S24" s="49"/>
      <c r="T24" s="49" t="s">
        <v>658</v>
      </c>
      <c r="U24" s="236"/>
      <c r="V24" s="261"/>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35" t="str">
        <f>'F.3.1-4 Tube Chassis'!D25</f>
        <v>mm</v>
      </c>
      <c r="B25" s="235"/>
      <c r="C25" s="235"/>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36"/>
      <c r="V25" s="261"/>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35"/>
      <c r="B26" s="235"/>
      <c r="C26" s="235"/>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69"/>
      <c r="V33" s="269"/>
      <c r="W33" s="269"/>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69"/>
      <c r="BT33" s="269"/>
      <c r="BU33" s="269"/>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70" t="s">
        <v>662</v>
      </c>
      <c r="B39" s="270"/>
      <c r="C39" s="270"/>
      <c r="D39" s="270"/>
      <c r="E39" s="270"/>
      <c r="F39" s="270"/>
      <c r="G39" s="270"/>
      <c r="H39" s="270"/>
      <c r="I39" s="270"/>
      <c r="J39" s="20"/>
      <c r="K39" s="270" t="s">
        <v>663</v>
      </c>
      <c r="L39" s="270"/>
      <c r="M39" s="270"/>
      <c r="N39" s="270"/>
      <c r="O39" s="270"/>
      <c r="P39" s="270"/>
      <c r="Q39" s="270"/>
      <c r="R39" s="270"/>
      <c r="S39" s="270"/>
      <c r="T39" s="20"/>
      <c r="U39" s="270" t="str">
        <f>IF($U$22="Mass Based","Accumulator Mount 1",
IF($U$24="Front/Rear","Top Left Accumulator Mount",
IF($U$24="Top/Bottom","Front Left Accumulator Mount",
"Top Front Accumulator Mount")))</f>
        <v>Top Front Accumulator Mount</v>
      </c>
      <c r="V39" s="270"/>
      <c r="W39" s="270"/>
      <c r="X39" s="270"/>
      <c r="Y39" s="270"/>
      <c r="Z39" s="270"/>
      <c r="AA39" s="270"/>
      <c r="AB39" s="270"/>
      <c r="AC39" s="270"/>
      <c r="AD39" s="20"/>
      <c r="AE39" s="270" t="str">
        <f>IF($U$22="Mass Based","Accumulator Mount 2",
IF($U$24="Front/Rear","Top Right Accumulator Mount",
IF($U$24="Top/Bottom","Front Right Accumulator Mount",
"Top Rear Accumulator Mount")))</f>
        <v>Top Rear Accumulator Mount</v>
      </c>
      <c r="AF39" s="270"/>
      <c r="AG39" s="270"/>
      <c r="AH39" s="270"/>
      <c r="AI39" s="270"/>
      <c r="AJ39" s="270"/>
      <c r="AK39" s="270"/>
      <c r="AL39" s="270"/>
      <c r="AM39" s="270"/>
      <c r="AN39" s="20"/>
      <c r="AO39" s="270" t="str">
        <f>IF($U$22="Mass Based","Accumulator Mount 3",
IF($U$24="Front/Rear","Bottom Left Accumulator Mount",
IF($U$24="Top/Bottom","Rear Left Accumulator Mount",
"Bottom Front Accumulator Mount")))</f>
        <v>Bottom Front Accumulator Mount</v>
      </c>
      <c r="AP39" s="270"/>
      <c r="AQ39" s="270"/>
      <c r="AR39" s="270"/>
      <c r="AS39" s="270"/>
      <c r="AT39" s="270"/>
      <c r="AU39" s="270"/>
      <c r="AV39" s="270"/>
      <c r="AW39" s="270"/>
      <c r="AX39" s="20"/>
      <c r="AY39" s="270" t="str">
        <f>IF($U$22="Mass Based","Accumulator Mount 4",
IF($U$24="Front/Rear","Bottom Right Accumulator Mount",
IF($U$24="Top/Bottom","Rear Right Accumulator Mount",
"Bottom Rear Accumulator Mount")))</f>
        <v>Bottom Rear Accumulator Mount</v>
      </c>
      <c r="AZ39" s="270"/>
      <c r="BA39" s="270"/>
      <c r="BB39" s="270"/>
      <c r="BC39" s="270"/>
      <c r="BD39" s="270"/>
      <c r="BE39" s="270"/>
      <c r="BF39" s="270"/>
      <c r="BG39" s="270"/>
      <c r="BH39" s="20"/>
      <c r="BI39" s="270" t="s">
        <v>664</v>
      </c>
      <c r="BJ39" s="270"/>
      <c r="BK39" s="270"/>
      <c r="BL39" s="270"/>
      <c r="BM39" s="270"/>
      <c r="BN39" s="270"/>
      <c r="BO39" s="270"/>
      <c r="BP39" s="270"/>
      <c r="BQ39" s="270"/>
      <c r="BR39" s="23"/>
      <c r="BS39" s="270" t="str">
        <f>IF($U$22="Mass Based","Chassis Mount 1",
IF($U$25="Front/Rear","Top Left Chassis Mount",
IF($U$25="Top/Bottom","Front Left Chassis Mount",
"Top Front Chassis Mount")))</f>
        <v>Top Front Chassis Mount</v>
      </c>
      <c r="BT39" s="270"/>
      <c r="BU39" s="270"/>
      <c r="BV39" s="270"/>
      <c r="BW39" s="270"/>
      <c r="BX39" s="270"/>
      <c r="BY39" s="270"/>
      <c r="BZ39" s="270"/>
      <c r="CA39" s="270"/>
      <c r="CB39" s="20"/>
      <c r="CC39" s="270" t="str">
        <f>IF($U$22="Mass Based","Chassis Mount 2",
IF($U$25="Front/Rear","Top Right Chassis Mount",
IF($U$25="Top/Bottom","Front Right Chassis Mount",
"Top Rear Chassis Mount")))</f>
        <v>Top Rear Chassis Mount</v>
      </c>
      <c r="CD39" s="270"/>
      <c r="CE39" s="270"/>
      <c r="CF39" s="270"/>
      <c r="CG39" s="270"/>
      <c r="CH39" s="270"/>
      <c r="CI39" s="270"/>
      <c r="CJ39" s="270"/>
      <c r="CK39" s="270"/>
      <c r="CL39" s="20"/>
      <c r="CM39" s="270" t="str">
        <f>IF($U$22="Mass Based","Chassis Mount 3",
IF($U$25="Front/Rear","Bottom Left Chassis Mount",
IF($U$25="Top/Bottom","Rear Left Chassis Mount",
"Bottom Front Chassis Mount")))</f>
        <v>Bottom Front Chassis Mount</v>
      </c>
      <c r="CN39" s="270"/>
      <c r="CO39" s="270"/>
      <c r="CP39" s="270"/>
      <c r="CQ39" s="270"/>
      <c r="CR39" s="270"/>
      <c r="CS39" s="270"/>
      <c r="CT39" s="270"/>
      <c r="CU39" s="270"/>
      <c r="CV39" s="20"/>
      <c r="CW39" s="270" t="str">
        <f>IF($U$22="Mass Based","Chassis Mount 4",
IF($U$25="Front/Rear","Bottom Right Chassis Mount",
IF($U$25="Top/Bottom","Rear Right Chassis Mount",
"Bottom Rear Chassis Mount")))</f>
        <v>Bottom Rear Chassis Mount</v>
      </c>
      <c r="CX39" s="270"/>
      <c r="CY39" s="270"/>
      <c r="CZ39" s="270"/>
      <c r="DA39" s="270"/>
      <c r="DB39" s="270"/>
      <c r="DC39" s="270"/>
      <c r="DD39" s="270"/>
      <c r="DE39" s="270"/>
      <c r="DF39" s="20"/>
      <c r="DG39" s="270" t="s">
        <v>665</v>
      </c>
      <c r="DH39" s="270"/>
      <c r="DI39" s="270"/>
      <c r="DJ39" s="270"/>
      <c r="DK39" s="270"/>
      <c r="DL39" s="270"/>
      <c r="DM39" s="270"/>
      <c r="DN39" s="270"/>
      <c r="DO39" s="270"/>
      <c r="DP39" s="23"/>
    </row>
    <row r="40" spans="1:120" ht="15" customHeight="1" x14ac:dyDescent="0.3">
      <c r="A40" s="270"/>
      <c r="B40" s="270"/>
      <c r="C40" s="270"/>
      <c r="D40" s="270"/>
      <c r="E40" s="270"/>
      <c r="F40" s="270"/>
      <c r="G40" s="270"/>
      <c r="H40" s="270"/>
      <c r="I40" s="270"/>
      <c r="J40" s="20"/>
      <c r="K40" s="270"/>
      <c r="L40" s="270"/>
      <c r="M40" s="270"/>
      <c r="N40" s="270"/>
      <c r="O40" s="270"/>
      <c r="P40" s="270"/>
      <c r="Q40" s="270"/>
      <c r="R40" s="270"/>
      <c r="S40" s="270"/>
      <c r="T40" s="20"/>
      <c r="U40" s="270"/>
      <c r="V40" s="270"/>
      <c r="W40" s="270"/>
      <c r="X40" s="270"/>
      <c r="Y40" s="270"/>
      <c r="Z40" s="270"/>
      <c r="AA40" s="270"/>
      <c r="AB40" s="270"/>
      <c r="AC40" s="270"/>
      <c r="AD40" s="20"/>
      <c r="AE40" s="270"/>
      <c r="AF40" s="270"/>
      <c r="AG40" s="270"/>
      <c r="AH40" s="270"/>
      <c r="AI40" s="270"/>
      <c r="AJ40" s="270"/>
      <c r="AK40" s="270"/>
      <c r="AL40" s="270"/>
      <c r="AM40" s="270"/>
      <c r="AN40" s="20"/>
      <c r="AO40" s="270"/>
      <c r="AP40" s="270"/>
      <c r="AQ40" s="270"/>
      <c r="AR40" s="270"/>
      <c r="AS40" s="270"/>
      <c r="AT40" s="270"/>
      <c r="AU40" s="270"/>
      <c r="AV40" s="270"/>
      <c r="AW40" s="270"/>
      <c r="AX40" s="20"/>
      <c r="AY40" s="270"/>
      <c r="AZ40" s="270"/>
      <c r="BA40" s="270"/>
      <c r="BB40" s="270"/>
      <c r="BC40" s="270"/>
      <c r="BD40" s="270"/>
      <c r="BE40" s="270"/>
      <c r="BF40" s="270"/>
      <c r="BG40" s="270"/>
      <c r="BH40" s="20"/>
      <c r="BI40" s="270"/>
      <c r="BJ40" s="270"/>
      <c r="BK40" s="270"/>
      <c r="BL40" s="270"/>
      <c r="BM40" s="270"/>
      <c r="BN40" s="270"/>
      <c r="BO40" s="270"/>
      <c r="BP40" s="270"/>
      <c r="BQ40" s="270"/>
      <c r="BR40" s="23"/>
      <c r="BS40" s="270"/>
      <c r="BT40" s="270"/>
      <c r="BU40" s="270"/>
      <c r="BV40" s="270"/>
      <c r="BW40" s="270"/>
      <c r="BX40" s="270"/>
      <c r="BY40" s="270"/>
      <c r="BZ40" s="270"/>
      <c r="CA40" s="270"/>
      <c r="CB40" s="20"/>
      <c r="CC40" s="270"/>
      <c r="CD40" s="270"/>
      <c r="CE40" s="270"/>
      <c r="CF40" s="270"/>
      <c r="CG40" s="270"/>
      <c r="CH40" s="270"/>
      <c r="CI40" s="270"/>
      <c r="CJ40" s="270"/>
      <c r="CK40" s="270"/>
      <c r="CL40" s="20"/>
      <c r="CM40" s="270"/>
      <c r="CN40" s="270"/>
      <c r="CO40" s="270"/>
      <c r="CP40" s="270"/>
      <c r="CQ40" s="270"/>
      <c r="CR40" s="270"/>
      <c r="CS40" s="270"/>
      <c r="CT40" s="270"/>
      <c r="CU40" s="270"/>
      <c r="CV40" s="20"/>
      <c r="CW40" s="270"/>
      <c r="CX40" s="270"/>
      <c r="CY40" s="270"/>
      <c r="CZ40" s="270"/>
      <c r="DA40" s="270"/>
      <c r="DB40" s="270"/>
      <c r="DC40" s="270"/>
      <c r="DD40" s="270"/>
      <c r="DE40" s="270"/>
      <c r="DF40" s="20"/>
      <c r="DG40" s="270"/>
      <c r="DH40" s="270"/>
      <c r="DI40" s="270"/>
      <c r="DJ40" s="270"/>
      <c r="DK40" s="270"/>
      <c r="DL40" s="270"/>
      <c r="DM40" s="270"/>
      <c r="DN40" s="270"/>
      <c r="DO40" s="270"/>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70"/>
      <c r="AP41" s="270"/>
      <c r="AQ41" s="270"/>
      <c r="AR41" s="270"/>
      <c r="AS41" s="270"/>
      <c r="AT41" s="270"/>
      <c r="AU41" s="270"/>
      <c r="AV41" s="270"/>
      <c r="AW41" s="270"/>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70"/>
      <c r="CN41" s="270"/>
      <c r="CO41" s="270"/>
      <c r="CP41" s="270"/>
      <c r="CQ41" s="270"/>
      <c r="CR41" s="270"/>
      <c r="CS41" s="270"/>
      <c r="CT41" s="270"/>
      <c r="CU41" s="270"/>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70"/>
      <c r="AP42" s="270"/>
      <c r="AQ42" s="270"/>
      <c r="AR42" s="270"/>
      <c r="AS42" s="270"/>
      <c r="AT42" s="270"/>
      <c r="AU42" s="270"/>
      <c r="AV42" s="270"/>
      <c r="AW42" s="270"/>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70"/>
      <c r="CN42" s="270"/>
      <c r="CO42" s="270"/>
      <c r="CP42" s="270"/>
      <c r="CQ42" s="270"/>
      <c r="CR42" s="270"/>
      <c r="CS42" s="270"/>
      <c r="CT42" s="270"/>
      <c r="CU42" s="270"/>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6" t="s">
        <v>671</v>
      </c>
      <c r="M47" s="316"/>
      <c r="N47" s="316"/>
      <c r="O47" s="316"/>
      <c r="P47" s="316"/>
      <c r="Q47" s="316"/>
      <c r="R47" s="316"/>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6"/>
      <c r="BK47" s="316"/>
      <c r="BL47" s="316"/>
      <c r="BM47" s="316"/>
      <c r="BN47" s="316"/>
      <c r="BO47" s="316"/>
      <c r="BP47" s="316"/>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6"/>
      <c r="DI47" s="316"/>
      <c r="DJ47" s="316"/>
      <c r="DK47" s="316"/>
      <c r="DL47" s="316"/>
      <c r="DM47" s="316"/>
      <c r="DN47" s="316"/>
      <c r="DO47" s="27"/>
      <c r="DP47" s="23"/>
    </row>
    <row r="48" spans="1:120" ht="15" customHeight="1" x14ac:dyDescent="0.3">
      <c r="A48" s="27"/>
      <c r="B48" s="27"/>
      <c r="C48" s="27"/>
      <c r="D48" s="27"/>
      <c r="E48" s="27"/>
      <c r="F48" s="27"/>
      <c r="G48" s="27"/>
      <c r="H48" s="27"/>
      <c r="I48" s="27"/>
      <c r="J48" s="23"/>
      <c r="K48" s="27"/>
      <c r="L48" s="316"/>
      <c r="M48" s="316"/>
      <c r="N48" s="316"/>
      <c r="O48" s="316"/>
      <c r="P48" s="316"/>
      <c r="Q48" s="316"/>
      <c r="R48" s="316"/>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6"/>
      <c r="BK48" s="316"/>
      <c r="BL48" s="316"/>
      <c r="BM48" s="316"/>
      <c r="BN48" s="316"/>
      <c r="BO48" s="316"/>
      <c r="BP48" s="316"/>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6"/>
      <c r="DI48" s="316"/>
      <c r="DJ48" s="316"/>
      <c r="DK48" s="316"/>
      <c r="DL48" s="316"/>
      <c r="DM48" s="316"/>
      <c r="DN48" s="316"/>
      <c r="DO48" s="27"/>
      <c r="DP48" s="23"/>
    </row>
    <row r="49" spans="1:129" ht="15" customHeight="1" x14ac:dyDescent="0.3">
      <c r="A49" s="27"/>
      <c r="B49" s="27"/>
      <c r="C49" s="27"/>
      <c r="D49" s="27"/>
      <c r="E49" s="27"/>
      <c r="F49" s="27"/>
      <c r="G49" s="27"/>
      <c r="H49" s="27"/>
      <c r="I49" s="27"/>
      <c r="J49" s="23"/>
      <c r="K49" s="27"/>
      <c r="L49" s="316" t="s">
        <v>672</v>
      </c>
      <c r="M49" s="316"/>
      <c r="N49" s="316"/>
      <c r="O49" s="316"/>
      <c r="P49" s="316"/>
      <c r="Q49" s="316"/>
      <c r="R49" s="316"/>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6"/>
      <c r="BK49" s="316"/>
      <c r="BL49" s="316"/>
      <c r="BM49" s="316"/>
      <c r="BN49" s="316"/>
      <c r="BO49" s="316"/>
      <c r="BP49" s="316"/>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6"/>
      <c r="DI49" s="316"/>
      <c r="DJ49" s="316"/>
      <c r="DK49" s="316"/>
      <c r="DL49" s="316"/>
      <c r="DM49" s="316"/>
      <c r="DN49" s="316"/>
      <c r="DO49" s="27"/>
      <c r="DP49" s="23"/>
    </row>
    <row r="50" spans="1:129" ht="15" customHeight="1" x14ac:dyDescent="0.3">
      <c r="A50" s="27"/>
      <c r="B50" s="27"/>
      <c r="C50" s="27"/>
      <c r="D50" s="27"/>
      <c r="E50" s="27"/>
      <c r="F50" s="27"/>
      <c r="G50" s="27"/>
      <c r="H50" s="27"/>
      <c r="I50" s="27"/>
      <c r="J50" s="42"/>
      <c r="K50" s="27"/>
      <c r="L50" s="316"/>
      <c r="M50" s="316"/>
      <c r="N50" s="316"/>
      <c r="O50" s="316"/>
      <c r="P50" s="316"/>
      <c r="Q50" s="316"/>
      <c r="R50" s="316"/>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6"/>
      <c r="BK50" s="316"/>
      <c r="BL50" s="316"/>
      <c r="BM50" s="316"/>
      <c r="BN50" s="316"/>
      <c r="BO50" s="316"/>
      <c r="BP50" s="316"/>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6"/>
      <c r="DI50" s="316"/>
      <c r="DJ50" s="316"/>
      <c r="DK50" s="316"/>
      <c r="DL50" s="316"/>
      <c r="DM50" s="316"/>
      <c r="DN50" s="316"/>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7" t="s">
        <v>666</v>
      </c>
      <c r="V53" s="317"/>
      <c r="W53" s="317"/>
      <c r="X53" s="317"/>
      <c r="Y53" s="317"/>
      <c r="Z53" s="317"/>
      <c r="AA53" s="317"/>
      <c r="AB53" s="317"/>
      <c r="AC53" s="317"/>
      <c r="AD53" s="23"/>
      <c r="AE53" s="317" t="s">
        <v>666</v>
      </c>
      <c r="AF53" s="317"/>
      <c r="AG53" s="317"/>
      <c r="AH53" s="317"/>
      <c r="AI53" s="317"/>
      <c r="AJ53" s="317"/>
      <c r="AK53" s="317"/>
      <c r="AL53" s="317"/>
      <c r="AM53" s="317"/>
      <c r="AN53" s="23"/>
      <c r="AO53" s="317" t="s">
        <v>666</v>
      </c>
      <c r="AP53" s="317"/>
      <c r="AQ53" s="317"/>
      <c r="AR53" s="317"/>
      <c r="AS53" s="317"/>
      <c r="AT53" s="317"/>
      <c r="AU53" s="317"/>
      <c r="AV53" s="317"/>
      <c r="AW53" s="317"/>
      <c r="AX53" s="23"/>
      <c r="AY53" s="317" t="s">
        <v>666</v>
      </c>
      <c r="AZ53" s="317"/>
      <c r="BA53" s="317"/>
      <c r="BB53" s="317"/>
      <c r="BC53" s="317"/>
      <c r="BD53" s="317"/>
      <c r="BE53" s="317"/>
      <c r="BF53" s="317"/>
      <c r="BG53" s="317"/>
      <c r="BH53" s="23"/>
      <c r="BI53" s="317" t="s">
        <v>666</v>
      </c>
      <c r="BJ53" s="317"/>
      <c r="BK53" s="317"/>
      <c r="BL53" s="317"/>
      <c r="BM53" s="317"/>
      <c r="BN53" s="317"/>
      <c r="BO53" s="317"/>
      <c r="BP53" s="317"/>
      <c r="BQ53" s="317"/>
      <c r="BR53" s="23"/>
      <c r="BS53" s="317" t="s">
        <v>666</v>
      </c>
      <c r="BT53" s="317"/>
      <c r="BU53" s="317"/>
      <c r="BV53" s="317"/>
      <c r="BW53" s="317"/>
      <c r="BX53" s="317"/>
      <c r="BY53" s="317"/>
      <c r="BZ53" s="317"/>
      <c r="CA53" s="317"/>
      <c r="CB53" s="23"/>
      <c r="CC53" s="317" t="s">
        <v>666</v>
      </c>
      <c r="CD53" s="317"/>
      <c r="CE53" s="317"/>
      <c r="CF53" s="317"/>
      <c r="CG53" s="317"/>
      <c r="CH53" s="317"/>
      <c r="CI53" s="317"/>
      <c r="CJ53" s="317"/>
      <c r="CK53" s="317"/>
      <c r="CL53" s="23"/>
      <c r="CM53" s="317" t="s">
        <v>666</v>
      </c>
      <c r="CN53" s="317"/>
      <c r="CO53" s="317"/>
      <c r="CP53" s="317"/>
      <c r="CQ53" s="317"/>
      <c r="CR53" s="317"/>
      <c r="CS53" s="317"/>
      <c r="CT53" s="317"/>
      <c r="CU53" s="317"/>
      <c r="CV53" s="23"/>
      <c r="CW53" s="317" t="s">
        <v>666</v>
      </c>
      <c r="CX53" s="317"/>
      <c r="CY53" s="317"/>
      <c r="CZ53" s="317"/>
      <c r="DA53" s="317"/>
      <c r="DB53" s="317"/>
      <c r="DC53" s="317"/>
      <c r="DD53" s="317"/>
      <c r="DE53" s="317"/>
      <c r="DF53" s="23"/>
      <c r="DG53" s="317" t="s">
        <v>666</v>
      </c>
      <c r="DH53" s="317"/>
      <c r="DI53" s="317"/>
      <c r="DJ53" s="317"/>
      <c r="DK53" s="317"/>
      <c r="DL53" s="317"/>
      <c r="DM53" s="317"/>
      <c r="DN53" s="317"/>
      <c r="DO53" s="317"/>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72" t="s">
        <v>451</v>
      </c>
      <c r="B55" s="272"/>
      <c r="C55" s="272"/>
      <c r="D55" s="272"/>
      <c r="E55" s="272"/>
      <c r="F55" s="272"/>
      <c r="G55" s="272"/>
      <c r="H55" s="272"/>
      <c r="I55" s="272"/>
      <c r="J55" s="23"/>
      <c r="K55" s="272" t="s">
        <v>451</v>
      </c>
      <c r="L55" s="272"/>
      <c r="M55" s="272"/>
      <c r="N55" s="272"/>
      <c r="O55" s="272"/>
      <c r="P55" s="272"/>
      <c r="Q55" s="272"/>
      <c r="R55" s="272"/>
      <c r="S55" s="272"/>
      <c r="T55" s="23"/>
      <c r="U55" s="272" t="s">
        <v>451</v>
      </c>
      <c r="V55" s="272"/>
      <c r="W55" s="272"/>
      <c r="X55" s="272"/>
      <c r="Y55" s="272"/>
      <c r="Z55" s="272"/>
      <c r="AA55" s="272"/>
      <c r="AB55" s="272"/>
      <c r="AC55" s="272"/>
      <c r="AD55" s="23"/>
      <c r="AE55" s="272" t="s">
        <v>451</v>
      </c>
      <c r="AF55" s="272"/>
      <c r="AG55" s="272"/>
      <c r="AH55" s="272"/>
      <c r="AI55" s="272"/>
      <c r="AJ55" s="272"/>
      <c r="AK55" s="272"/>
      <c r="AL55" s="272"/>
      <c r="AM55" s="272"/>
      <c r="AN55" s="23"/>
      <c r="AO55" s="272" t="s">
        <v>451</v>
      </c>
      <c r="AP55" s="272"/>
      <c r="AQ55" s="272"/>
      <c r="AR55" s="272"/>
      <c r="AS55" s="272"/>
      <c r="AT55" s="272"/>
      <c r="AU55" s="272"/>
      <c r="AV55" s="272"/>
      <c r="AW55" s="272"/>
      <c r="AX55" s="23"/>
      <c r="AY55" s="272" t="s">
        <v>451</v>
      </c>
      <c r="AZ55" s="272"/>
      <c r="BA55" s="272"/>
      <c r="BB55" s="272"/>
      <c r="BC55" s="272"/>
      <c r="BD55" s="272"/>
      <c r="BE55" s="272"/>
      <c r="BF55" s="272"/>
      <c r="BG55" s="272"/>
      <c r="BH55" s="23"/>
      <c r="BI55" s="272" t="s">
        <v>451</v>
      </c>
      <c r="BJ55" s="272"/>
      <c r="BK55" s="272"/>
      <c r="BL55" s="272"/>
      <c r="BM55" s="272"/>
      <c r="BN55" s="272"/>
      <c r="BO55" s="272"/>
      <c r="BP55" s="272"/>
      <c r="BQ55" s="272"/>
      <c r="BR55" s="23"/>
      <c r="BS55" s="272" t="s">
        <v>451</v>
      </c>
      <c r="BT55" s="272"/>
      <c r="BU55" s="272"/>
      <c r="BV55" s="272"/>
      <c r="BW55" s="272"/>
      <c r="BX55" s="272"/>
      <c r="BY55" s="272"/>
      <c r="BZ55" s="272"/>
      <c r="CA55" s="272"/>
      <c r="CB55" s="23"/>
      <c r="CC55" s="272" t="s">
        <v>451</v>
      </c>
      <c r="CD55" s="272"/>
      <c r="CE55" s="272"/>
      <c r="CF55" s="272"/>
      <c r="CG55" s="272"/>
      <c r="CH55" s="272"/>
      <c r="CI55" s="272"/>
      <c r="CJ55" s="272"/>
      <c r="CK55" s="272"/>
      <c r="CL55" s="23"/>
      <c r="CM55" s="272" t="s">
        <v>451</v>
      </c>
      <c r="CN55" s="272"/>
      <c r="CO55" s="272"/>
      <c r="CP55" s="272"/>
      <c r="CQ55" s="272"/>
      <c r="CR55" s="272"/>
      <c r="CS55" s="272"/>
      <c r="CT55" s="272"/>
      <c r="CU55" s="272"/>
      <c r="CV55" s="23"/>
      <c r="CW55" s="272" t="s">
        <v>451</v>
      </c>
      <c r="CX55" s="272"/>
      <c r="CY55" s="272"/>
      <c r="CZ55" s="272"/>
      <c r="DA55" s="272"/>
      <c r="DB55" s="272"/>
      <c r="DC55" s="272"/>
      <c r="DD55" s="272"/>
      <c r="DE55" s="272"/>
      <c r="DF55" s="23"/>
      <c r="DG55" s="272" t="s">
        <v>451</v>
      </c>
      <c r="DH55" s="272"/>
      <c r="DI55" s="272"/>
      <c r="DJ55" s="272"/>
      <c r="DK55" s="272"/>
      <c r="DL55" s="272"/>
      <c r="DM55" s="272"/>
      <c r="DN55" s="272"/>
      <c r="DO55" s="272"/>
      <c r="DP55" s="23"/>
    </row>
    <row r="56" spans="1:129" ht="15" customHeight="1" x14ac:dyDescent="0.3">
      <c r="A56" s="235" t="str">
        <f>IF(B15="IC","N/A",
IF(COUNTIF(A64:I89,"BLANK"),"BLANK",IF(COUNTIF(A64:I89,"REJECT"),"REJECT",IF(COUNTIF(A64:I89,"CHECK"),"CHECK","EQ"))))</f>
        <v>BLANK</v>
      </c>
      <c r="B56" s="235"/>
      <c r="C56" s="235" t="s">
        <v>673</v>
      </c>
      <c r="D56" s="235"/>
      <c r="E56" s="235"/>
      <c r="F56" s="235"/>
      <c r="G56" s="235"/>
      <c r="H56" s="235"/>
      <c r="I56" s="235"/>
      <c r="K56" s="235" t="str">
        <f>IF(B15="IC","N/A",
IF(COUNTIF(K64:S197,"BLANK"),"BLANK",IF(COUNTIF(K64:S197,"REJECT"),"REJECT",IF(COUNTIF(K64:S197,"CHECK"),"CHECK","EQ"))))</f>
        <v>BLANK</v>
      </c>
      <c r="L56" s="235"/>
      <c r="M56" s="235" t="s">
        <v>674</v>
      </c>
      <c r="N56" s="235"/>
      <c r="O56" s="235"/>
      <c r="P56" s="235"/>
      <c r="Q56" s="235"/>
      <c r="R56" s="235"/>
      <c r="S56" s="235"/>
      <c r="T56" s="44"/>
      <c r="U56" s="235" t="str">
        <f>IF(B15="IC","N/A",
IF(COUNTIF(U60:AC121,"BLANK"),"BLANK",IF(COUNTIF(U60:AC121,"REJECT"),"REJECT",IF(COUNTIF(U60:AC121,"CHECK"),"CHECK","EQ"))))</f>
        <v>BLANK</v>
      </c>
      <c r="V56" s="235"/>
      <c r="W56" s="235" t="str">
        <f>IF($U$22="Mass Based","Accumulator Mount 1",
IF($U$24="Front/Rear","Top Left Accumulator Mount",
IF($U$24="Top/Bottom","Front Left Accumulator Mount",
"Top Front Accumulator Mount")))</f>
        <v>Top Front Accumulator Mount</v>
      </c>
      <c r="X56" s="235"/>
      <c r="Y56" s="235"/>
      <c r="Z56" s="235"/>
      <c r="AA56" s="235"/>
      <c r="AB56" s="235"/>
      <c r="AC56" s="235"/>
      <c r="AE56" s="235" t="str">
        <f>IF(L15="IC","N/A",
IF(COUNTIF(AE60:AM121,"BLANK"),"BLANK",IF(COUNTIF(AE60:AM121,"REJECT"),"REJECT",IF(COUNTIF(AE60:AM121,"CHECK"),"CHECK","EQ"))))</f>
        <v>BLANK</v>
      </c>
      <c r="AF56" s="235"/>
      <c r="AG56" s="235" t="str">
        <f>IF($U$22="Mass Based","Accumulator Mount 2",
IF($U$24="Front/Rear","Top Right Accumulator Mount",
IF($U$24="Top/Bottom","Front Right Accumulator Mount",
"Top Rear Accumulator Mount")))</f>
        <v>Top Rear Accumulator Mount</v>
      </c>
      <c r="AH56" s="235"/>
      <c r="AI56" s="235"/>
      <c r="AJ56" s="235"/>
      <c r="AK56" s="235"/>
      <c r="AL56" s="235"/>
      <c r="AM56" s="235"/>
      <c r="AO56" s="235" t="str">
        <f>IF(V15="IC","N/A",
IF(COUNTIF(AO60:AW121,"BLANK"),"BLANK",IF(COUNTIF(AO60:AW121,"REJECT"),"REJECT",IF(COUNTIF(AO60:AW121,"CHECK"),"CHECK","EQ"))))</f>
        <v>BLANK</v>
      </c>
      <c r="AP56" s="235"/>
      <c r="AQ56" s="235" t="str">
        <f>IF($U$22="Mass Based","Accumulator Mount 3",
IF($U$24="Front/Rear","Bottom Left Accumulator Mount",
IF($U$24="Top/Bottom","Rear Left Accumulator Mount",
"Bottom Front Accumulator Mount")))</f>
        <v>Bottom Front Accumulator Mount</v>
      </c>
      <c r="AR56" s="235"/>
      <c r="AS56" s="235"/>
      <c r="AT56" s="235"/>
      <c r="AU56" s="235"/>
      <c r="AV56" s="235"/>
      <c r="AW56" s="235"/>
      <c r="AY56" s="235" t="str">
        <f>IF(AF15="IC","N/A",
IF(COUNTIF(AY60:BG121,"BLANK"),"BLANK",IF(COUNTIF(AY60:BG121,"REJECT"),"REJECT",IF(COUNTIF(AY60:BG121,"CHECK"),"CHECK","EQ"))))</f>
        <v>BLANK</v>
      </c>
      <c r="AZ56" s="235"/>
      <c r="BA56" s="235" t="str">
        <f>IF($U$22="Mass Based","Accumulator Mount 4",
IF($U$24="Front/Rear","Bottom Right Accumulator Mount",
IF($U$24="Top/Bottom","Rear Right Accumulator Mount",
"Bottom Rear Accumulator Mount")))</f>
        <v>Bottom Rear Accumulator Mount</v>
      </c>
      <c r="BB56" s="235"/>
      <c r="BC56" s="235"/>
      <c r="BD56" s="235"/>
      <c r="BE56" s="235"/>
      <c r="BF56" s="235"/>
      <c r="BG56" s="235"/>
      <c r="BI56" s="235" t="str">
        <f>IF(AP15="IC","N/A",
IF(COUNTIF(BI60:BQ121,"BLANK"),"BLANK",IF(COUNTIF(BI60:BQ121,"REJECT"),"REJECT",IF(COUNTIF(BI60:BQ121,"CHECK"),"CHECK","EQ"))))</f>
        <v>EQ</v>
      </c>
      <c r="BJ56" s="235"/>
      <c r="BK56" s="235" t="s">
        <v>664</v>
      </c>
      <c r="BL56" s="235"/>
      <c r="BM56" s="235"/>
      <c r="BN56" s="235"/>
      <c r="BO56" s="235"/>
      <c r="BP56" s="235"/>
      <c r="BQ56" s="235"/>
      <c r="BR56" s="44"/>
      <c r="BS56" s="235" t="str">
        <f>IF(B15="IC","N/A",
IF(COUNTIF(BS60:CA132,"BLANK"),"BLANK",IF(COUNTIF(BS60:CA132,"REJECT"),"REJECT",IF(COUNTIF(BS60:CA132,"CHECK"),"CHECK","EQ"))))</f>
        <v>BLANK</v>
      </c>
      <c r="BT56" s="235"/>
      <c r="BU56" s="235" t="str">
        <f>IF($U$22="Mass Based","Chassis Mount 1",
IF($U$25="Front/Rear","Top Left Chassis Mount",
IF($U$25="Top/Bottom","Front Left Chassis Mount",
"Top Front Chassis Mount")))</f>
        <v>Top Front Chassis Mount</v>
      </c>
      <c r="BV56" s="235"/>
      <c r="BW56" s="235"/>
      <c r="BX56" s="235"/>
      <c r="BY56" s="235"/>
      <c r="BZ56" s="235"/>
      <c r="CA56" s="235"/>
      <c r="CC56" s="235" t="str">
        <f>IF(L15="IC","N/A",
IF(COUNTIF(CC60:CK132,"BLANK"),"BLANK",IF(COUNTIF(CC60:CK132,"REJECT"),"REJECT",IF(COUNTIF(CC60:CK132,"CHECK"),"CHECK","EQ"))))</f>
        <v>BLANK</v>
      </c>
      <c r="CD56" s="235"/>
      <c r="CE56" s="235" t="str">
        <f>IF($U$22="Mass Based","Chassis Mount 2",
IF($U$25="Front/Rear","Top Right Chassis Mount",
IF($U$25="Top/Bottom","Front Right Chassis Mount",
"Top Rear Chassis Mount")))</f>
        <v>Top Rear Chassis Mount</v>
      </c>
      <c r="CF56" s="235"/>
      <c r="CG56" s="235"/>
      <c r="CH56" s="235"/>
      <c r="CI56" s="235"/>
      <c r="CJ56" s="235"/>
      <c r="CK56" s="235"/>
      <c r="CM56" s="235" t="str">
        <f>IF(V15="IC","N/A",
IF(COUNTIF(CM60:CU132,"BLANK"),"BLANK",IF(COUNTIF(CM60:CU132,"REJECT"),"REJECT",IF(COUNTIF(CM60:CU132,"CHECK"),"CHECK","EQ"))))</f>
        <v>BLANK</v>
      </c>
      <c r="CN56" s="235"/>
      <c r="CO56" s="235" t="str">
        <f>IF($U$22="Mass Based","Chassis Mount 3",
IF($U$25="Front/Rear","Bottom Left Chassis Mount",
IF($U$25="Top/Bottom","Rear Left Chassis Mount",
"Bottom Front Chassis Mount")))</f>
        <v>Bottom Front Chassis Mount</v>
      </c>
      <c r="CP56" s="235"/>
      <c r="CQ56" s="235"/>
      <c r="CR56" s="235"/>
      <c r="CS56" s="235"/>
      <c r="CT56" s="235"/>
      <c r="CU56" s="235"/>
      <c r="CW56" s="235" t="str">
        <f>IF(AF15="IC","N/A",
IF(COUNTIF(CW60:DE132,"BLANK"),"BLANK",IF(COUNTIF(CW60:DE132,"REJECT"),"REJECT",IF(COUNTIF(CW60:DE132,"CHECK"),"CHECK","EQ"))))</f>
        <v>BLANK</v>
      </c>
      <c r="CX56" s="235"/>
      <c r="CY56" s="235" t="str">
        <f>IF($U$22="Mass Based","Chassis Mount 4",
IF($U$25="Front/Rear","Bottom Right Chassis Mount",
IF($U$25="Top/Bottom","Rear Right Chassis Mount",
"Bottom Rear Chassis Mount")))</f>
        <v>Bottom Rear Chassis Mount</v>
      </c>
      <c r="CZ56" s="235"/>
      <c r="DA56" s="235"/>
      <c r="DB56" s="235"/>
      <c r="DC56" s="235"/>
      <c r="DD56" s="235"/>
      <c r="DE56" s="235"/>
      <c r="DG56" s="235" t="str">
        <f>IF(AP15="IC","N/A",
IF(COUNTIF(DG60:DO132,"BLANK"),"BLANK",IF(COUNTIF(DG60:DO132,"REJECT"),"REJECT",IF(COUNTIF(DG60:DO132,"CHECK"),"CHECK","EQ"))))</f>
        <v>EQ</v>
      </c>
      <c r="DH56" s="235"/>
      <c r="DI56" s="235" t="s">
        <v>665</v>
      </c>
      <c r="DJ56" s="235"/>
      <c r="DK56" s="235"/>
      <c r="DL56" s="235"/>
      <c r="DM56" s="235"/>
      <c r="DN56" s="235"/>
      <c r="DO56" s="235"/>
      <c r="DP56" s="44"/>
      <c r="DQ56" s="45"/>
      <c r="DR56" s="45"/>
      <c r="DS56" s="45"/>
      <c r="DT56" s="45"/>
      <c r="DU56" s="45"/>
      <c r="DV56" s="45"/>
      <c r="DW56" s="45"/>
      <c r="DX56" s="45"/>
      <c r="DY56" s="45"/>
    </row>
    <row r="57" spans="1:129" ht="15" customHeight="1" x14ac:dyDescent="0.3">
      <c r="A57" s="235"/>
      <c r="B57" s="235"/>
      <c r="C57" s="235"/>
      <c r="D57" s="235"/>
      <c r="E57" s="235"/>
      <c r="F57" s="235"/>
      <c r="G57" s="235"/>
      <c r="H57" s="235"/>
      <c r="I57" s="235"/>
      <c r="K57" s="235"/>
      <c r="L57" s="235"/>
      <c r="M57" s="235"/>
      <c r="N57" s="235"/>
      <c r="O57" s="235"/>
      <c r="P57" s="235"/>
      <c r="Q57" s="235"/>
      <c r="R57" s="235"/>
      <c r="S57" s="235"/>
      <c r="T57" s="44"/>
      <c r="U57" s="235"/>
      <c r="V57" s="235"/>
      <c r="W57" s="235"/>
      <c r="X57" s="235"/>
      <c r="Y57" s="235"/>
      <c r="Z57" s="235"/>
      <c r="AA57" s="235"/>
      <c r="AB57" s="235"/>
      <c r="AC57" s="235"/>
      <c r="AE57" s="235"/>
      <c r="AF57" s="235"/>
      <c r="AG57" s="235"/>
      <c r="AH57" s="235"/>
      <c r="AI57" s="235"/>
      <c r="AJ57" s="235"/>
      <c r="AK57" s="235"/>
      <c r="AL57" s="235"/>
      <c r="AM57" s="235"/>
      <c r="AO57" s="235"/>
      <c r="AP57" s="235"/>
      <c r="AQ57" s="235"/>
      <c r="AR57" s="235"/>
      <c r="AS57" s="235"/>
      <c r="AT57" s="235"/>
      <c r="AU57" s="235"/>
      <c r="AV57" s="235"/>
      <c r="AW57" s="235"/>
      <c r="AY57" s="235"/>
      <c r="AZ57" s="235"/>
      <c r="BA57" s="235"/>
      <c r="BB57" s="235"/>
      <c r="BC57" s="235"/>
      <c r="BD57" s="235"/>
      <c r="BE57" s="235"/>
      <c r="BF57" s="235"/>
      <c r="BG57" s="235"/>
      <c r="BI57" s="235"/>
      <c r="BJ57" s="235"/>
      <c r="BK57" s="235"/>
      <c r="BL57" s="235"/>
      <c r="BM57" s="235"/>
      <c r="BN57" s="235"/>
      <c r="BO57" s="235"/>
      <c r="BP57" s="235"/>
      <c r="BQ57" s="235"/>
      <c r="BR57" s="44"/>
      <c r="BS57" s="235"/>
      <c r="BT57" s="235"/>
      <c r="BU57" s="235"/>
      <c r="BV57" s="235"/>
      <c r="BW57" s="235"/>
      <c r="BX57" s="235"/>
      <c r="BY57" s="235"/>
      <c r="BZ57" s="235"/>
      <c r="CA57" s="235"/>
      <c r="CC57" s="235"/>
      <c r="CD57" s="235"/>
      <c r="CE57" s="235"/>
      <c r="CF57" s="235"/>
      <c r="CG57" s="235"/>
      <c r="CH57" s="235"/>
      <c r="CI57" s="235"/>
      <c r="CJ57" s="235"/>
      <c r="CK57" s="235"/>
      <c r="CM57" s="235"/>
      <c r="CN57" s="235"/>
      <c r="CO57" s="235"/>
      <c r="CP57" s="235"/>
      <c r="CQ57" s="235"/>
      <c r="CR57" s="235"/>
      <c r="CS57" s="235"/>
      <c r="CT57" s="235"/>
      <c r="CU57" s="235"/>
      <c r="CW57" s="235"/>
      <c r="CX57" s="235"/>
      <c r="CY57" s="235"/>
      <c r="CZ57" s="235"/>
      <c r="DA57" s="235"/>
      <c r="DB57" s="235"/>
      <c r="DC57" s="235"/>
      <c r="DD57" s="235"/>
      <c r="DE57" s="235"/>
      <c r="DG57" s="235"/>
      <c r="DH57" s="235"/>
      <c r="DI57" s="235"/>
      <c r="DJ57" s="235"/>
      <c r="DK57" s="235"/>
      <c r="DL57" s="235"/>
      <c r="DM57" s="235"/>
      <c r="DN57" s="235"/>
      <c r="DO57" s="235"/>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3" t="s">
        <v>677</v>
      </c>
      <c r="L59" s="273"/>
      <c r="M59" s="273"/>
      <c r="N59" s="273"/>
      <c r="O59" s="273"/>
      <c r="P59" s="273"/>
      <c r="Q59" s="273"/>
      <c r="R59" s="273"/>
      <c r="S59" s="273"/>
      <c r="U59" s="313" t="s">
        <v>678</v>
      </c>
      <c r="V59" s="313"/>
      <c r="W59" s="313"/>
      <c r="X59" s="313"/>
      <c r="Y59" s="313"/>
      <c r="Z59" s="313"/>
      <c r="AA59" s="313"/>
      <c r="AB59" s="313"/>
      <c r="AC59" s="313"/>
      <c r="AE59" s="313" t="s">
        <v>678</v>
      </c>
      <c r="AF59" s="313"/>
      <c r="AG59" s="313"/>
      <c r="AH59" s="313"/>
      <c r="AI59" s="313"/>
      <c r="AJ59" s="313"/>
      <c r="AK59" s="313"/>
      <c r="AL59" s="313"/>
      <c r="AM59" s="313"/>
      <c r="AO59" s="313" t="s">
        <v>678</v>
      </c>
      <c r="AP59" s="313"/>
      <c r="AQ59" s="313"/>
      <c r="AR59" s="313"/>
      <c r="AS59" s="313"/>
      <c r="AT59" s="313"/>
      <c r="AU59" s="313"/>
      <c r="AV59" s="313"/>
      <c r="AW59" s="313"/>
      <c r="AY59" s="313" t="s">
        <v>678</v>
      </c>
      <c r="AZ59" s="313"/>
      <c r="BA59" s="313"/>
      <c r="BB59" s="313"/>
      <c r="BC59" s="313"/>
      <c r="BD59" s="313"/>
      <c r="BE59" s="313"/>
      <c r="BF59" s="313"/>
      <c r="BG59" s="313"/>
      <c r="BI59" s="313" t="s">
        <v>678</v>
      </c>
      <c r="BJ59" s="313"/>
      <c r="BK59" s="313"/>
      <c r="BL59" s="313"/>
      <c r="BM59" s="313"/>
      <c r="BN59" s="313"/>
      <c r="BO59" s="313"/>
      <c r="BP59" s="313"/>
      <c r="BQ59" s="313"/>
      <c r="BS59" s="313" t="s">
        <v>679</v>
      </c>
      <c r="BT59" s="313"/>
      <c r="BU59" s="313"/>
      <c r="BV59" s="313"/>
      <c r="BW59" s="313"/>
      <c r="BX59" s="313"/>
      <c r="BY59" s="313"/>
      <c r="BZ59" s="313"/>
      <c r="CA59" s="313"/>
      <c r="CC59" s="313" t="s">
        <v>679</v>
      </c>
      <c r="CD59" s="313"/>
      <c r="CE59" s="313"/>
      <c r="CF59" s="313"/>
      <c r="CG59" s="313"/>
      <c r="CH59" s="313"/>
      <c r="CI59" s="313"/>
      <c r="CJ59" s="313"/>
      <c r="CK59" s="313"/>
      <c r="CM59" s="313" t="s">
        <v>679</v>
      </c>
      <c r="CN59" s="313"/>
      <c r="CO59" s="313"/>
      <c r="CP59" s="313"/>
      <c r="CQ59" s="313"/>
      <c r="CR59" s="313"/>
      <c r="CS59" s="313"/>
      <c r="CT59" s="313"/>
      <c r="CU59" s="313"/>
      <c r="CW59" s="313" t="s">
        <v>679</v>
      </c>
      <c r="CX59" s="313"/>
      <c r="CY59" s="313"/>
      <c r="CZ59" s="313"/>
      <c r="DA59" s="313"/>
      <c r="DB59" s="313"/>
      <c r="DC59" s="313"/>
      <c r="DD59" s="313"/>
      <c r="DE59" s="313"/>
      <c r="DG59" s="313" t="s">
        <v>679</v>
      </c>
      <c r="DH59" s="313"/>
      <c r="DI59" s="313"/>
      <c r="DJ59" s="313"/>
      <c r="DK59" s="313"/>
      <c r="DL59" s="313"/>
      <c r="DM59" s="313"/>
      <c r="DN59" s="313"/>
      <c r="DO59" s="313"/>
    </row>
    <row r="60" spans="1:129" ht="15" customHeight="1" x14ac:dyDescent="0.3">
      <c r="A60" s="19" t="s">
        <v>680</v>
      </c>
      <c r="J60" s="41"/>
      <c r="K60" s="273"/>
      <c r="L60" s="273"/>
      <c r="M60" s="273"/>
      <c r="N60" s="273"/>
      <c r="O60" s="273"/>
      <c r="P60" s="273"/>
      <c r="Q60" s="273"/>
      <c r="R60" s="273"/>
      <c r="S60" s="273"/>
      <c r="U60" s="262" t="str">
        <f>IF(COUNTIF(AC62:AC79,"BLANK"),"BLANK",IF(OR(SUMPRODUCT(--ISERROR(AC62:AC79))&gt;0,COUNTIF(AC62:AC79,"REJECT")),"REJECT",IF(COUNTIF(AC62:AC79,"CHECK"),"CHECK","EQ")))</f>
        <v>BLANK</v>
      </c>
      <c r="V60" s="262"/>
      <c r="W60" s="262"/>
      <c r="X60" s="262"/>
      <c r="Y60" s="262"/>
      <c r="Z60" s="262"/>
      <c r="AA60" s="262"/>
      <c r="AB60" s="262"/>
      <c r="AC60" s="262"/>
      <c r="AE60" s="262" t="str">
        <f>IF(COUNTIF(AM62:AM79,"BLANK"),"BLANK",IF(OR(SUMPRODUCT(--ISERROR(AM62:AM79))&gt;0,COUNTIF(AM62:AM79,"REJECT")),"REJECT",IF(COUNTIF(AM62:AM79,"CHECK"),"CHECK","EQ")))</f>
        <v>BLANK</v>
      </c>
      <c r="AF60" s="262"/>
      <c r="AG60" s="262"/>
      <c r="AH60" s="262"/>
      <c r="AI60" s="262"/>
      <c r="AJ60" s="262"/>
      <c r="AK60" s="262"/>
      <c r="AL60" s="262"/>
      <c r="AM60" s="262"/>
      <c r="AO60" s="262" t="str">
        <f>IF(COUNTIF(AW62:AW79,"BLANK"),"BLANK",IF(OR(SUMPRODUCT(--ISERROR(AW62:AW79))&gt;0,COUNTIF(AW62:AW79,"REJECT")),"REJECT",IF(COUNTIF(AW62:AW79,"CHECK"),"CHECK","EQ")))</f>
        <v>BLANK</v>
      </c>
      <c r="AP60" s="262"/>
      <c r="AQ60" s="262"/>
      <c r="AR60" s="262"/>
      <c r="AS60" s="262"/>
      <c r="AT60" s="262"/>
      <c r="AU60" s="262"/>
      <c r="AV60" s="262"/>
      <c r="AW60" s="262"/>
      <c r="AY60" s="262" t="str">
        <f>IF(COUNTIF(BG62:BG79,"BLANK"),"BLANK",IF(OR(SUMPRODUCT(--ISERROR(BG62:BG79))&gt;0,COUNTIF(BG62:BG79,"REJECT")),"REJECT",IF(COUNTIF(BG62:BG79,"CHECK"),"CHECK","EQ")))</f>
        <v>BLANK</v>
      </c>
      <c r="AZ60" s="262"/>
      <c r="BA60" s="262"/>
      <c r="BB60" s="262"/>
      <c r="BC60" s="262"/>
      <c r="BD60" s="262"/>
      <c r="BE60" s="262"/>
      <c r="BF60" s="262"/>
      <c r="BG60" s="262"/>
      <c r="BH60" s="41"/>
      <c r="BI60" s="262" t="str">
        <f>IF(COUNTIF(BQ62:BQ79,"BLANK"),"BLANK",IF(OR(SUMPRODUCT(--ISERROR(BQ62:BQ79))&gt;0,COUNTIF(BQ62:BQ79,"REJECT")),"REJECT",IF(COUNTIF(BQ62:BQ79,"CHECK"),"CHECK","EQ")))</f>
        <v>EQ</v>
      </c>
      <c r="BJ60" s="262"/>
      <c r="BK60" s="262"/>
      <c r="BL60" s="262"/>
      <c r="BM60" s="262"/>
      <c r="BN60" s="262"/>
      <c r="BO60" s="262"/>
      <c r="BP60" s="262"/>
      <c r="BQ60" s="262"/>
      <c r="BS60" s="262" t="str">
        <f>IF(COUNTIF(CA63:CA77,"BLANK"),"BLANK",IF(OR(SUMPRODUCT(--ISERROR(CA63:CA77))&gt;0,COUNTIF(CA63:CA77,"REJECT")),"REJECT",IF(COUNTIF(CA63:CA77,"CHECK"),"CHECK","EQ")))</f>
        <v>BLANK</v>
      </c>
      <c r="BT60" s="262"/>
      <c r="BU60" s="262"/>
      <c r="BV60" s="262"/>
      <c r="BW60" s="262"/>
      <c r="BX60" s="262"/>
      <c r="BY60" s="262"/>
      <c r="BZ60" s="262"/>
      <c r="CA60" s="262"/>
      <c r="CC60" s="262" t="str">
        <f>IF(COUNTIF(CK63:CK77,"BLANK"),"BLANK",IF(OR(SUMPRODUCT(--ISERROR(CK63:CK77))&gt;0,COUNTIF(CK63:CK77,"REJECT")),"REJECT",IF(COUNTIF(CK63:CK77,"CHECK"),"CHECK","EQ")))</f>
        <v>BLANK</v>
      </c>
      <c r="CD60" s="262"/>
      <c r="CE60" s="262"/>
      <c r="CF60" s="262"/>
      <c r="CG60" s="262"/>
      <c r="CH60" s="262"/>
      <c r="CI60" s="262"/>
      <c r="CJ60" s="262"/>
      <c r="CK60" s="262"/>
      <c r="CM60" s="262" t="str">
        <f>IF(COUNTIF(CU63:CU77,"BLANK"),"BLANK",IF(OR(SUMPRODUCT(--ISERROR(CU63:CU77))&gt;0,COUNTIF(CU63:CU77,"REJECT")),"REJECT",IF(COUNTIF(CU63:CU77,"CHECK"),"CHECK","EQ")))</f>
        <v>BLANK</v>
      </c>
      <c r="CN60" s="262"/>
      <c r="CO60" s="262"/>
      <c r="CP60" s="262"/>
      <c r="CQ60" s="262"/>
      <c r="CR60" s="262"/>
      <c r="CS60" s="262"/>
      <c r="CT60" s="262"/>
      <c r="CU60" s="262"/>
      <c r="CW60" s="262" t="str">
        <f>IF(COUNTIF(DE63:DE77,"BLANK"),"BLANK",IF(OR(SUMPRODUCT(--ISERROR(DE63:DE77))&gt;0,COUNTIF(DE63:DE77,"REJECT")),"REJECT",IF(COUNTIF(DE63:DE77,"CHECK"),"CHECK","EQ")))</f>
        <v>BLANK</v>
      </c>
      <c r="CX60" s="262"/>
      <c r="CY60" s="262"/>
      <c r="CZ60" s="262"/>
      <c r="DA60" s="262"/>
      <c r="DB60" s="262"/>
      <c r="DC60" s="262"/>
      <c r="DD60" s="262"/>
      <c r="DE60" s="262"/>
      <c r="DG60" s="262" t="str">
        <f>IF(COUNTIF(DO63:DO77,"BLANK"),"BLANK",IF(OR(SUMPRODUCT(--ISERROR(DO63:DO77))&gt;0,COUNTIF(DO63:DO77,"REJECT")),"REJECT",IF(COUNTIF(DO63:DO77,"CHECK"),"CHECK","EQ")))</f>
        <v>EQ</v>
      </c>
      <c r="DH60" s="262"/>
      <c r="DI60" s="262"/>
      <c r="DJ60" s="262"/>
      <c r="DK60" s="262"/>
      <c r="DL60" s="262"/>
      <c r="DM60" s="262"/>
      <c r="DN60" s="262"/>
      <c r="DO60" s="26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62" t="str">
        <f>IF(COUNTIF(I65:I76,"BLANK"),"BLANK",IF(OR(SUMPRODUCT(--ISERROR(I65:I76))&gt;0,COUNTIF(I65:I76,"REJECT")),"REJECT",IF(COUNTIF(I65:I76,"CHECK"),"CHECK","EQ")))</f>
        <v>BLANK</v>
      </c>
      <c r="B64" s="262"/>
      <c r="C64" s="262"/>
      <c r="D64" s="262"/>
      <c r="E64" s="262"/>
      <c r="F64" s="262"/>
      <c r="G64" s="262"/>
      <c r="H64" s="262"/>
      <c r="I64" s="262"/>
      <c r="J64" s="52"/>
      <c r="K64" s="262" t="str">
        <f>IF(COUNTIF(S65:S68,"BLANK"),"BLANK",IF(OR(SUMPRODUCT(--ISERROR(S65:S68))&gt;0,COUNTIF(S65:S68,"REJECT")),"REJECT",IF(COUNTIF(S65:S68,"CHECK"),"CHECK","EQ")))</f>
        <v>BLANK</v>
      </c>
      <c r="L64" s="262"/>
      <c r="M64" s="262"/>
      <c r="N64" s="262"/>
      <c r="O64" s="262"/>
      <c r="P64" s="262"/>
      <c r="Q64" s="262"/>
      <c r="R64" s="262"/>
      <c r="S64" s="26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18" t="s">
        <v>606</v>
      </c>
      <c r="BZ64" s="319"/>
      <c r="CA64" s="25" t="s">
        <v>89</v>
      </c>
      <c r="CH64" s="49" t="s">
        <v>694</v>
      </c>
      <c r="CI64" s="318" t="s">
        <v>606</v>
      </c>
      <c r="CJ64" s="319"/>
      <c r="CK64" s="25" t="s">
        <v>89</v>
      </c>
      <c r="CR64" s="49" t="s">
        <v>694</v>
      </c>
      <c r="CS64" s="318" t="s">
        <v>606</v>
      </c>
      <c r="CT64" s="319"/>
      <c r="CU64" s="25" t="s">
        <v>89</v>
      </c>
      <c r="DB64" s="49" t="s">
        <v>694</v>
      </c>
      <c r="DC64" s="318" t="s">
        <v>606</v>
      </c>
      <c r="DD64" s="319"/>
      <c r="DE64" s="25" t="s">
        <v>89</v>
      </c>
      <c r="DL64" s="49" t="s">
        <v>694</v>
      </c>
      <c r="DM64" s="318" t="s">
        <v>606</v>
      </c>
      <c r="DN64" s="319"/>
      <c r="DO64" s="25" t="str">
        <f>IF(OR($L$23&lt;40*IF($A$25="mm",1,2.2046),AND($U$22="Corner Attachment",NOT($U$25="None"))),"N/A","EQ")</f>
        <v>N/A</v>
      </c>
    </row>
    <row r="65" spans="1:119" ht="15" customHeight="1" thickBot="1" x14ac:dyDescent="0.35">
      <c r="A65" s="46"/>
      <c r="B65" s="49"/>
      <c r="C65" s="49"/>
      <c r="D65" s="25"/>
      <c r="E65" s="25"/>
      <c r="F65" s="49" t="s">
        <v>695</v>
      </c>
      <c r="G65" s="236" t="s">
        <v>696</v>
      </c>
      <c r="H65" s="261"/>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46" t="s">
        <v>510</v>
      </c>
      <c r="BV65" s="246"/>
      <c r="BW65" s="246"/>
      <c r="BX65" s="246"/>
      <c r="BY65" s="58">
        <f>INDEX($G$3:$G$19,MATCH(BY64,$E$3:$E$19,0))</f>
        <v>200000000000</v>
      </c>
      <c r="BZ65" s="19" t="str">
        <f>IF($A$25="mm","Pa","psi")</f>
        <v>Pa</v>
      </c>
      <c r="CA65" s="25" t="s">
        <v>89</v>
      </c>
      <c r="CD65" s="47"/>
      <c r="CE65" s="246" t="s">
        <v>510</v>
      </c>
      <c r="CF65" s="246"/>
      <c r="CG65" s="246"/>
      <c r="CH65" s="246"/>
      <c r="CI65" s="58">
        <f>INDEX($G$3:$G$19,MATCH(CI64,$E$3:$E$19,0))</f>
        <v>200000000000</v>
      </c>
      <c r="CJ65" s="19" t="str">
        <f>IF($A$25="mm","Pa","psi")</f>
        <v>Pa</v>
      </c>
      <c r="CK65" s="25" t="s">
        <v>89</v>
      </c>
      <c r="CN65" s="47"/>
      <c r="CO65" s="246" t="s">
        <v>510</v>
      </c>
      <c r="CP65" s="246"/>
      <c r="CQ65" s="246"/>
      <c r="CR65" s="246"/>
      <c r="CS65" s="58">
        <f>INDEX($G$3:$G$19,MATCH(CS64,$E$3:$E$19,0))</f>
        <v>200000000000</v>
      </c>
      <c r="CT65" s="19" t="str">
        <f>IF($A$25="mm","Pa","psi")</f>
        <v>Pa</v>
      </c>
      <c r="CU65" s="25" t="s">
        <v>89</v>
      </c>
      <c r="CX65" s="47"/>
      <c r="CY65" s="246" t="s">
        <v>510</v>
      </c>
      <c r="CZ65" s="246"/>
      <c r="DA65" s="246"/>
      <c r="DB65" s="246"/>
      <c r="DC65" s="58">
        <f>INDEX($G$3:$G$19,MATCH(DC64,$E$3:$E$19,0))</f>
        <v>200000000000</v>
      </c>
      <c r="DD65" s="19" t="str">
        <f>IF($A$25="mm","Pa","psi")</f>
        <v>Pa</v>
      </c>
      <c r="DE65" s="25" t="s">
        <v>89</v>
      </c>
      <c r="DH65" s="47"/>
      <c r="DI65" s="246" t="s">
        <v>510</v>
      </c>
      <c r="DJ65" s="246"/>
      <c r="DK65" s="246"/>
      <c r="DL65" s="246"/>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18" t="s">
        <v>606</v>
      </c>
      <c r="AB66" s="319"/>
      <c r="AC66" s="25" t="s">
        <v>89</v>
      </c>
      <c r="AE66" s="19"/>
      <c r="AF66" s="19"/>
      <c r="AJ66" s="49" t="s">
        <v>704</v>
      </c>
      <c r="AK66" s="318" t="s">
        <v>606</v>
      </c>
      <c r="AL66" s="319"/>
      <c r="AM66" s="25" t="s">
        <v>89</v>
      </c>
      <c r="AN66" s="52"/>
      <c r="AT66" s="49" t="s">
        <v>704</v>
      </c>
      <c r="AU66" s="318" t="s">
        <v>606</v>
      </c>
      <c r="AV66" s="319"/>
      <c r="AW66" s="25" t="s">
        <v>89</v>
      </c>
      <c r="BD66" s="49" t="s">
        <v>704</v>
      </c>
      <c r="BE66" s="318" t="s">
        <v>606</v>
      </c>
      <c r="BF66" s="319"/>
      <c r="BG66" s="25" t="s">
        <v>89</v>
      </c>
      <c r="BH66" s="52"/>
      <c r="BN66" s="49" t="s">
        <v>704</v>
      </c>
      <c r="BO66" s="318" t="s">
        <v>606</v>
      </c>
      <c r="BP66" s="319"/>
      <c r="BQ66" s="25" t="str">
        <f>IF(OR($L$23&lt;40*IF($A$25="mm",1,2.2046),AND($U$22="Corner Attachment",NOT($U$24="None"))),"N/A","EQ")</f>
        <v>N/A</v>
      </c>
      <c r="BS66" s="101"/>
      <c r="BT66" s="246" t="s">
        <v>705</v>
      </c>
      <c r="BU66" s="246"/>
      <c r="BV66" s="246"/>
      <c r="BW66" s="246"/>
      <c r="BX66" s="246"/>
      <c r="BY66" s="58">
        <f>INDEX($I$3:$I$19,MATCH(BY64,$E$3:$E$19,0))</f>
        <v>365000000</v>
      </c>
      <c r="BZ66" s="19" t="str">
        <f>IF($A$25="mm","Pa","psi")</f>
        <v>Pa</v>
      </c>
      <c r="CA66" s="25" t="s">
        <v>89</v>
      </c>
      <c r="CC66" s="101"/>
      <c r="CD66" s="246" t="s">
        <v>705</v>
      </c>
      <c r="CE66" s="246"/>
      <c r="CF66" s="246"/>
      <c r="CG66" s="246"/>
      <c r="CH66" s="246"/>
      <c r="CI66" s="58">
        <f>INDEX($I$3:$I$19,MATCH(CI64,$E$3:$E$19,0))</f>
        <v>365000000</v>
      </c>
      <c r="CJ66" s="19" t="str">
        <f>IF($A$25="mm","Pa","psi")</f>
        <v>Pa</v>
      </c>
      <c r="CK66" s="25" t="s">
        <v>89</v>
      </c>
      <c r="CM66" s="101"/>
      <c r="CN66" s="246" t="s">
        <v>705</v>
      </c>
      <c r="CO66" s="246"/>
      <c r="CP66" s="246"/>
      <c r="CQ66" s="246"/>
      <c r="CR66" s="246"/>
      <c r="CS66" s="58">
        <f>INDEX($I$3:$I$19,MATCH(CS64,$E$3:$E$19,0))</f>
        <v>365000000</v>
      </c>
      <c r="CT66" s="19" t="str">
        <f>IF($A$25="mm","Pa","psi")</f>
        <v>Pa</v>
      </c>
      <c r="CU66" s="25" t="s">
        <v>89</v>
      </c>
      <c r="CW66" s="101"/>
      <c r="CX66" s="246" t="s">
        <v>705</v>
      </c>
      <c r="CY66" s="246"/>
      <c r="CZ66" s="246"/>
      <c r="DA66" s="246"/>
      <c r="DB66" s="246"/>
      <c r="DC66" s="58">
        <f>INDEX($I$3:$I$19,MATCH(DC64,$E$3:$E$19,0))</f>
        <v>365000000</v>
      </c>
      <c r="DD66" s="19" t="str">
        <f>IF($A$25="mm","Pa","psi")</f>
        <v>Pa</v>
      </c>
      <c r="DE66" s="25" t="s">
        <v>89</v>
      </c>
      <c r="DG66" s="101"/>
      <c r="DH66" s="246" t="s">
        <v>705</v>
      </c>
      <c r="DI66" s="246"/>
      <c r="DJ66" s="246"/>
      <c r="DK66" s="246"/>
      <c r="DL66" s="246"/>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46" t="s">
        <v>510</v>
      </c>
      <c r="X67" s="246"/>
      <c r="Y67" s="246"/>
      <c r="Z67" s="246"/>
      <c r="AA67" s="58">
        <f>INDEX($G$3:$G$19,MATCH(AA66,$E$3:$E$19,0))</f>
        <v>200000000000</v>
      </c>
      <c r="AB67" s="19" t="str">
        <f>IF($A$25="mm","Pa","psi")</f>
        <v>Pa</v>
      </c>
      <c r="AC67" s="25" t="s">
        <v>89</v>
      </c>
      <c r="AE67" s="19"/>
      <c r="AF67" s="47"/>
      <c r="AG67" s="246" t="s">
        <v>510</v>
      </c>
      <c r="AH67" s="246"/>
      <c r="AI67" s="246"/>
      <c r="AJ67" s="246"/>
      <c r="AK67" s="58">
        <f>INDEX($G$3:$G$19,MATCH(AK66,$E$3:$E$19,0))</f>
        <v>200000000000</v>
      </c>
      <c r="AL67" s="19" t="str">
        <f>IF($A$25="mm","Pa","psi")</f>
        <v>Pa</v>
      </c>
      <c r="AM67" s="25" t="s">
        <v>89</v>
      </c>
      <c r="AN67" s="52"/>
      <c r="AP67" s="47"/>
      <c r="AQ67" s="246" t="s">
        <v>510</v>
      </c>
      <c r="AR67" s="246"/>
      <c r="AS67" s="246"/>
      <c r="AT67" s="246"/>
      <c r="AU67" s="58">
        <f>INDEX($G$3:$G$19,MATCH(AU66,$E$3:$E$19,0))</f>
        <v>200000000000</v>
      </c>
      <c r="AV67" s="19" t="str">
        <f>IF($A$25="mm","Pa","psi")</f>
        <v>Pa</v>
      </c>
      <c r="AW67" s="25" t="s">
        <v>89</v>
      </c>
      <c r="AZ67" s="47"/>
      <c r="BA67" s="246" t="s">
        <v>510</v>
      </c>
      <c r="BB67" s="246"/>
      <c r="BC67" s="246"/>
      <c r="BD67" s="246"/>
      <c r="BE67" s="58">
        <f>INDEX($G$3:$G$19,MATCH(BE66,$E$3:$E$19,0))</f>
        <v>200000000000</v>
      </c>
      <c r="BF67" s="19" t="str">
        <f>IF($A$25="mm","Pa","psi")</f>
        <v>Pa</v>
      </c>
      <c r="BG67" s="25" t="s">
        <v>89</v>
      </c>
      <c r="BH67" s="52"/>
      <c r="BJ67" s="47"/>
      <c r="BK67" s="246" t="s">
        <v>510</v>
      </c>
      <c r="BL67" s="246"/>
      <c r="BM67" s="246"/>
      <c r="BN67" s="246"/>
      <c r="BO67" s="58">
        <f>INDEX($G$3:$G$19,MATCH(BO66,$E$3:$E$19,0))</f>
        <v>200000000000</v>
      </c>
      <c r="BP67" s="19" t="str">
        <f>IF($A$25="mm","Pa","psi")</f>
        <v>Pa</v>
      </c>
      <c r="BQ67" s="25" t="str">
        <f>IF(OR($L$23&lt;40*IF($A$25="mm",1,2.2046),AND($U$22="Corner Attachment",NOT($U$24="None"))),"N/A","EQ")</f>
        <v>N/A</v>
      </c>
      <c r="BS67" s="46"/>
      <c r="BT67" s="60"/>
      <c r="BU67" s="246" t="s">
        <v>708</v>
      </c>
      <c r="BV67" s="246"/>
      <c r="BW67" s="246"/>
      <c r="BX67" s="246"/>
      <c r="BY67" s="58">
        <f>INDEX($K$3:$K$19,MATCH(BY64,$E$3:$E$19,0))</f>
        <v>210604999.99999997</v>
      </c>
      <c r="BZ67" s="19" t="str">
        <f>IF($A$25="mm","Pa","psi")</f>
        <v>Pa</v>
      </c>
      <c r="CA67" s="25" t="s">
        <v>89</v>
      </c>
      <c r="CC67" s="46"/>
      <c r="CD67" s="60"/>
      <c r="CE67" s="246" t="s">
        <v>708</v>
      </c>
      <c r="CF67" s="246"/>
      <c r="CG67" s="246"/>
      <c r="CH67" s="246"/>
      <c r="CI67" s="58">
        <f>INDEX($K$3:$K$19,MATCH(CI64,$E$3:$E$19,0))</f>
        <v>210604999.99999997</v>
      </c>
      <c r="CJ67" s="19" t="str">
        <f>IF($A$25="mm","Pa","psi")</f>
        <v>Pa</v>
      </c>
      <c r="CK67" s="25" t="s">
        <v>89</v>
      </c>
      <c r="CM67" s="46"/>
      <c r="CN67" s="60"/>
      <c r="CO67" s="246" t="s">
        <v>708</v>
      </c>
      <c r="CP67" s="246"/>
      <c r="CQ67" s="246"/>
      <c r="CR67" s="246"/>
      <c r="CS67" s="58">
        <f>INDEX($K$3:$K$19,MATCH(CS64,$E$3:$E$19,0))</f>
        <v>210604999.99999997</v>
      </c>
      <c r="CT67" s="19" t="str">
        <f>IF($A$25="mm","Pa","psi")</f>
        <v>Pa</v>
      </c>
      <c r="CU67" s="25" t="s">
        <v>89</v>
      </c>
      <c r="CW67" s="46"/>
      <c r="CX67" s="60"/>
      <c r="CY67" s="246" t="s">
        <v>708</v>
      </c>
      <c r="CZ67" s="246"/>
      <c r="DA67" s="246"/>
      <c r="DB67" s="246"/>
      <c r="DC67" s="58">
        <f>INDEX($K$3:$K$19,MATCH(DC64,$E$3:$E$19,0))</f>
        <v>210604999.99999997</v>
      </c>
      <c r="DD67" s="19" t="str">
        <f>IF($A$25="mm","Pa","psi")</f>
        <v>Pa</v>
      </c>
      <c r="DE67" s="25" t="s">
        <v>89</v>
      </c>
      <c r="DG67" s="46"/>
      <c r="DH67" s="60"/>
      <c r="DI67" s="246" t="s">
        <v>708</v>
      </c>
      <c r="DJ67" s="246"/>
      <c r="DK67" s="246"/>
      <c r="DL67" s="246"/>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46" t="s">
        <v>705</v>
      </c>
      <c r="W68" s="246"/>
      <c r="X68" s="246"/>
      <c r="Y68" s="246"/>
      <c r="Z68" s="246"/>
      <c r="AA68" s="58">
        <f>INDEX($I$3:$I$19,MATCH(AA66,$E$3:$E$19,0))</f>
        <v>365000000</v>
      </c>
      <c r="AB68" s="19" t="str">
        <f>IF($A$25="mm","Pa","psi")</f>
        <v>Pa</v>
      </c>
      <c r="AC68" s="25" t="s">
        <v>89</v>
      </c>
      <c r="AE68" s="101"/>
      <c r="AF68" s="246" t="s">
        <v>705</v>
      </c>
      <c r="AG68" s="246"/>
      <c r="AH68" s="246"/>
      <c r="AI68" s="246"/>
      <c r="AJ68" s="246"/>
      <c r="AK68" s="58">
        <f>INDEX($I$3:$I$19,MATCH(AK66,$E$3:$E$19,0))</f>
        <v>365000000</v>
      </c>
      <c r="AL68" s="19" t="str">
        <f>IF($A$25="mm","Pa","psi")</f>
        <v>Pa</v>
      </c>
      <c r="AM68" s="25" t="s">
        <v>89</v>
      </c>
      <c r="AO68" s="101"/>
      <c r="AP68" s="246" t="s">
        <v>705</v>
      </c>
      <c r="AQ68" s="246"/>
      <c r="AR68" s="246"/>
      <c r="AS68" s="246"/>
      <c r="AT68" s="246"/>
      <c r="AU68" s="58">
        <f>INDEX($I$3:$I$19,MATCH(AU66,$E$3:$E$19,0))</f>
        <v>365000000</v>
      </c>
      <c r="AV68" s="19" t="str">
        <f>IF($A$25="mm","Pa","psi")</f>
        <v>Pa</v>
      </c>
      <c r="AW68" s="25" t="s">
        <v>89</v>
      </c>
      <c r="AY68" s="101"/>
      <c r="AZ68" s="246" t="s">
        <v>705</v>
      </c>
      <c r="BA68" s="246"/>
      <c r="BB68" s="246"/>
      <c r="BC68" s="246"/>
      <c r="BD68" s="246"/>
      <c r="BE68" s="58">
        <f>INDEX($I$3:$I$19,MATCH(BE66,$E$3:$E$19,0))</f>
        <v>365000000</v>
      </c>
      <c r="BF68" s="19" t="str">
        <f>IF($A$25="mm","Pa","psi")</f>
        <v>Pa</v>
      </c>
      <c r="BG68" s="25" t="s">
        <v>89</v>
      </c>
      <c r="BI68" s="101"/>
      <c r="BJ68" s="246" t="s">
        <v>705</v>
      </c>
      <c r="BK68" s="246"/>
      <c r="BL68" s="246"/>
      <c r="BM68" s="246"/>
      <c r="BN68" s="246"/>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39" t="str">
        <f>IF(AND(NOT(Q68=""),Q68=0),"EV.4.2.2f Baseline: 2 x 6mm (1/4in) fasteners connecting vertical walls.","EV.4.2.2f Baseline: 3 x 6mm (1/4in) fasteners connecting vertical walls.")</f>
        <v>EV.4.2.2f Baseline: 3 x 6mm (1/4in) fasteners connecting vertical walls.</v>
      </c>
      <c r="L69" s="239"/>
      <c r="M69" s="239"/>
      <c r="N69" s="239"/>
      <c r="O69" s="239"/>
      <c r="P69" s="239"/>
      <c r="Q69" s="239"/>
      <c r="R69" s="239"/>
      <c r="S69" s="25">
        <f>IF(AND(NOT(Q68=""),Q68=0),2,3)</f>
        <v>3</v>
      </c>
      <c r="U69" s="46"/>
      <c r="V69" s="60"/>
      <c r="W69" s="246" t="s">
        <v>708</v>
      </c>
      <c r="X69" s="246"/>
      <c r="Y69" s="246"/>
      <c r="Z69" s="246"/>
      <c r="AA69" s="58">
        <f>INDEX($K$3:$K$19,MATCH(AA66,$E$3:$E$19,0))</f>
        <v>210604999.99999997</v>
      </c>
      <c r="AB69" s="19" t="str">
        <f>IF($A$25="mm","Pa","psi")</f>
        <v>Pa</v>
      </c>
      <c r="AC69" s="25" t="s">
        <v>89</v>
      </c>
      <c r="AE69" s="46"/>
      <c r="AF69" s="60"/>
      <c r="AG69" s="246" t="s">
        <v>708</v>
      </c>
      <c r="AH69" s="246"/>
      <c r="AI69" s="246"/>
      <c r="AJ69" s="246"/>
      <c r="AK69" s="58">
        <f>INDEX($K$3:$K$19,MATCH(AK66,$E$3:$E$19,0))</f>
        <v>210604999.99999997</v>
      </c>
      <c r="AL69" s="19" t="str">
        <f>IF($A$25="mm","Pa","psi")</f>
        <v>Pa</v>
      </c>
      <c r="AM69" s="25" t="s">
        <v>89</v>
      </c>
      <c r="AO69" s="46"/>
      <c r="AP69" s="60"/>
      <c r="AQ69" s="246" t="s">
        <v>708</v>
      </c>
      <c r="AR69" s="246"/>
      <c r="AS69" s="246"/>
      <c r="AT69" s="246"/>
      <c r="AU69" s="58">
        <f>INDEX($K$3:$K$19,MATCH(AU66,$E$3:$E$19,0))</f>
        <v>210604999.99999997</v>
      </c>
      <c r="AV69" s="19" t="str">
        <f>IF($A$25="mm","Pa","psi")</f>
        <v>Pa</v>
      </c>
      <c r="AW69" s="25" t="s">
        <v>89</v>
      </c>
      <c r="AY69" s="46"/>
      <c r="AZ69" s="60"/>
      <c r="BA69" s="246" t="s">
        <v>708</v>
      </c>
      <c r="BB69" s="246"/>
      <c r="BC69" s="246"/>
      <c r="BD69" s="246"/>
      <c r="BE69" s="58">
        <f>INDEX($K$3:$K$19,MATCH(BE66,$E$3:$E$19,0))</f>
        <v>210604999.99999997</v>
      </c>
      <c r="BF69" s="19" t="str">
        <f>IF($A$25="mm","Pa","psi")</f>
        <v>Pa</v>
      </c>
      <c r="BG69" s="25" t="s">
        <v>89</v>
      </c>
      <c r="BI69" s="46"/>
      <c r="BJ69" s="60"/>
      <c r="BK69" s="246" t="s">
        <v>708</v>
      </c>
      <c r="BL69" s="246"/>
      <c r="BM69" s="246"/>
      <c r="BN69" s="246"/>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62" t="str">
        <f>IF(COUNTIF(S72:S73,"BLANK"),"BLANK",IF(OR(SUMPRODUCT(--ISERROR(S72:S73))&gt;0,COUNTIF(S72:S73,"REJECT")),"REJECT",IF(COUNTIF(S72:S73,"CHECK"),"CHECK","EQ")))</f>
        <v>BLANK</v>
      </c>
      <c r="L71" s="262"/>
      <c r="M71" s="262"/>
      <c r="N71" s="262"/>
      <c r="O71" s="262"/>
      <c r="P71" s="262"/>
      <c r="Q71" s="262"/>
      <c r="R71" s="262"/>
      <c r="S71" s="26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39" t="s">
        <v>727</v>
      </c>
      <c r="L74" s="239"/>
      <c r="M74" s="239"/>
      <c r="N74" s="239"/>
      <c r="O74" s="239"/>
      <c r="P74" s="239"/>
      <c r="Q74" s="239"/>
      <c r="R74" s="239"/>
      <c r="S74" s="239"/>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39" t="str">
        <f>IF(Q77="Welded","Indicate weld paths in image.","")</f>
        <v/>
      </c>
      <c r="L75" s="239"/>
      <c r="M75" s="239"/>
      <c r="N75" s="239"/>
      <c r="O75" s="239"/>
      <c r="P75" s="239"/>
      <c r="Q75" s="239"/>
      <c r="R75" s="239"/>
      <c r="S75" s="239"/>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62" t="str">
        <f>IF(COUNTIF(S77:S83,"BLANK"),"BLANK",IF(OR(SUMPRODUCT(--ISERROR(S77:S83))&gt;0,COUNTIF(S77:S83,"REJECT")),"REJECT",IF(COUNTIF(S77:S83,"CHECK"),"CHECK","EQ")))</f>
        <v>BLANK</v>
      </c>
      <c r="L76" s="262"/>
      <c r="M76" s="262"/>
      <c r="N76" s="262"/>
      <c r="O76" s="262"/>
      <c r="P76" s="262"/>
      <c r="Q76" s="262"/>
      <c r="R76" s="262"/>
      <c r="S76" s="26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36" t="s">
        <v>736</v>
      </c>
      <c r="R77" s="261"/>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62" t="str">
        <f>IF(COUNTIF(I79:I86,"BLANK"),"BLANK",IF(OR(SUMPRODUCT(--ISERROR(I79:I86))&gt;0,COUNTIF(I79:I86,"REJECT")),"REJECT",IF(COUNTIF(I79:I86,"CHECK"),"CHECK","EQ")))</f>
        <v>BLANK</v>
      </c>
      <c r="B78" s="262"/>
      <c r="C78" s="262"/>
      <c r="D78" s="262"/>
      <c r="E78" s="262"/>
      <c r="F78" s="262"/>
      <c r="G78" s="262"/>
      <c r="H78" s="262"/>
      <c r="I78" s="262"/>
      <c r="K78" s="47"/>
      <c r="L78" s="49"/>
      <c r="M78" s="49"/>
      <c r="N78" s="49"/>
      <c r="O78" s="49"/>
      <c r="P78" s="64" t="str">
        <f>IF(NOT(Q77="Bolted"),"","Size of fasteners:")</f>
        <v>Size of fasteners:</v>
      </c>
      <c r="Q78" s="236" t="s">
        <v>738</v>
      </c>
      <c r="R78" s="261"/>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62" t="str">
        <f>IF(COUNTIF(CA81:CA90,"BLANK"),"BLANK",IF(OR(SUMPRODUCT(--ISERROR(CA81:CA90))&gt;0,COUNTIF(CA81:CA90,"REJECT")),"REJECT",IF(COUNTIF(CA81:CA90,"CHECK"),"CHECK","EQ")))</f>
        <v>BLANK</v>
      </c>
      <c r="BT80" s="262"/>
      <c r="BU80" s="262"/>
      <c r="BV80" s="262"/>
      <c r="BW80" s="262"/>
      <c r="BX80" s="262"/>
      <c r="BY80" s="262"/>
      <c r="BZ80" s="262"/>
      <c r="CA80" s="262"/>
      <c r="CC80" s="262" t="str">
        <f>IF(COUNTIF(CK81:CK90,"BLANK"),"BLANK",IF(OR(SUMPRODUCT(--ISERROR(CK81:CK90))&gt;0,COUNTIF(CK81:CK90,"REJECT")),"REJECT",IF(COUNTIF(CK81:CK90,"CHECK"),"CHECK","EQ")))</f>
        <v>BLANK</v>
      </c>
      <c r="CD80" s="262"/>
      <c r="CE80" s="262"/>
      <c r="CF80" s="262"/>
      <c r="CG80" s="262"/>
      <c r="CH80" s="262"/>
      <c r="CI80" s="262"/>
      <c r="CJ80" s="262"/>
      <c r="CK80" s="262"/>
      <c r="CM80" s="262" t="str">
        <f>IF(COUNTIF(CU81:CU90,"BLANK"),"BLANK",IF(OR(SUMPRODUCT(--ISERROR(CU81:CU90))&gt;0,COUNTIF(CU81:CU90,"REJECT")),"REJECT",IF(COUNTIF(CU81:CU90,"CHECK"),"CHECK","EQ")))</f>
        <v>BLANK</v>
      </c>
      <c r="CN80" s="262"/>
      <c r="CO80" s="262"/>
      <c r="CP80" s="262"/>
      <c r="CQ80" s="262"/>
      <c r="CR80" s="262"/>
      <c r="CS80" s="262"/>
      <c r="CT80" s="262"/>
      <c r="CU80" s="262"/>
      <c r="CW80" s="262" t="str">
        <f>IF(COUNTIF(DE81:DE90,"BLANK"),"BLANK",IF(OR(SUMPRODUCT(--ISERROR(DE81:DE90))&gt;0,COUNTIF(DE81:DE90,"REJECT")),"REJECT",IF(COUNTIF(DE81:DE90,"CHECK"),"CHECK","EQ")))</f>
        <v>BLANK</v>
      </c>
      <c r="CX80" s="262"/>
      <c r="CY80" s="262"/>
      <c r="CZ80" s="262"/>
      <c r="DA80" s="262"/>
      <c r="DB80" s="262"/>
      <c r="DC80" s="262"/>
      <c r="DD80" s="262"/>
      <c r="DE80" s="262"/>
      <c r="DG80" s="262" t="str">
        <f>IF(COUNTIF(DO81:DO90,"BLANK"),"BLANK",IF(OR(SUMPRODUCT(--ISERROR(DO81:DO90))&gt;0,COUNTIF(DO81:DO90,"REJECT")),"REJECT",IF(COUNTIF(DO81:DO90,"CHECK"),"CHECK","EQ")))</f>
        <v>EQ</v>
      </c>
      <c r="DH80" s="262"/>
      <c r="DI80" s="262"/>
      <c r="DJ80" s="262"/>
      <c r="DK80" s="262"/>
      <c r="DL80" s="262"/>
      <c r="DM80" s="262"/>
      <c r="DN80" s="262"/>
      <c r="DO80" s="26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3" t="s">
        <v>744</v>
      </c>
      <c r="V81" s="313"/>
      <c r="W81" s="313"/>
      <c r="X81" s="313"/>
      <c r="Y81" s="313"/>
      <c r="Z81" s="313"/>
      <c r="AA81" s="313"/>
      <c r="AB81" s="313"/>
      <c r="AC81" s="313"/>
      <c r="AE81" s="313" t="s">
        <v>744</v>
      </c>
      <c r="AF81" s="313"/>
      <c r="AG81" s="313"/>
      <c r="AH81" s="313"/>
      <c r="AI81" s="313"/>
      <c r="AJ81" s="313"/>
      <c r="AK81" s="313"/>
      <c r="AL81" s="313"/>
      <c r="AM81" s="313"/>
      <c r="AO81" s="313" t="s">
        <v>744</v>
      </c>
      <c r="AP81" s="313"/>
      <c r="AQ81" s="313"/>
      <c r="AR81" s="313"/>
      <c r="AS81" s="313"/>
      <c r="AT81" s="313"/>
      <c r="AU81" s="313"/>
      <c r="AV81" s="313"/>
      <c r="AW81" s="313"/>
      <c r="AY81" s="313" t="s">
        <v>744</v>
      </c>
      <c r="AZ81" s="313"/>
      <c r="BA81" s="313"/>
      <c r="BB81" s="313"/>
      <c r="BC81" s="313"/>
      <c r="BD81" s="313"/>
      <c r="BE81" s="313"/>
      <c r="BF81" s="313"/>
      <c r="BG81" s="313"/>
      <c r="BI81" s="313" t="s">
        <v>744</v>
      </c>
      <c r="BJ81" s="313"/>
      <c r="BK81" s="313"/>
      <c r="BL81" s="313"/>
      <c r="BM81" s="313"/>
      <c r="BN81" s="313"/>
      <c r="BO81" s="313"/>
      <c r="BP81" s="313"/>
      <c r="BQ81" s="313"/>
      <c r="BS81" s="46"/>
      <c r="BT81" s="60"/>
      <c r="BU81" s="49"/>
      <c r="BV81" s="49"/>
      <c r="BW81" s="49"/>
      <c r="BX81" s="49" t="s">
        <v>745</v>
      </c>
      <c r="BY81" s="320" t="s">
        <v>301</v>
      </c>
      <c r="BZ81" s="321"/>
      <c r="CA81" s="25" t="str">
        <f>IF(BY81="","BLANK","EQ")</f>
        <v>EQ</v>
      </c>
      <c r="CC81" s="46"/>
      <c r="CD81" s="60"/>
      <c r="CE81" s="49"/>
      <c r="CF81" s="49"/>
      <c r="CG81" s="49"/>
      <c r="CH81" s="49" t="s">
        <v>745</v>
      </c>
      <c r="CI81" s="320" t="s">
        <v>301</v>
      </c>
      <c r="CJ81" s="321"/>
      <c r="CK81" s="25" t="str">
        <f>IF(CI81="","BLANK","EQ")</f>
        <v>EQ</v>
      </c>
      <c r="CM81" s="46"/>
      <c r="CN81" s="60"/>
      <c r="CO81" s="49"/>
      <c r="CP81" s="49"/>
      <c r="CQ81" s="49"/>
      <c r="CR81" s="49" t="s">
        <v>745</v>
      </c>
      <c r="CS81" s="320" t="s">
        <v>301</v>
      </c>
      <c r="CT81" s="321"/>
      <c r="CU81" s="25" t="str">
        <f>IF(CS81="","BLANK","EQ")</f>
        <v>EQ</v>
      </c>
      <c r="CW81" s="46"/>
      <c r="CX81" s="60"/>
      <c r="CY81" s="49"/>
      <c r="CZ81" s="49"/>
      <c r="DA81" s="49"/>
      <c r="DB81" s="49" t="s">
        <v>745</v>
      </c>
      <c r="DC81" s="320" t="s">
        <v>301</v>
      </c>
      <c r="DD81" s="321"/>
      <c r="DE81" s="25" t="str">
        <f>IF(DC81="","BLANK","EQ")</f>
        <v>EQ</v>
      </c>
      <c r="DG81" s="46"/>
      <c r="DH81" s="60"/>
      <c r="DI81" s="49"/>
      <c r="DJ81" s="49"/>
      <c r="DK81" s="49"/>
      <c r="DL81" s="49" t="s">
        <v>745</v>
      </c>
      <c r="DM81" s="320" t="s">
        <v>301</v>
      </c>
      <c r="DN81" s="321"/>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3" t="s">
        <v>747</v>
      </c>
      <c r="V82" s="313"/>
      <c r="W82" s="313"/>
      <c r="X82" s="313"/>
      <c r="Y82" s="313"/>
      <c r="Z82" s="313"/>
      <c r="AA82" s="313"/>
      <c r="AB82" s="313"/>
      <c r="AC82" s="313"/>
      <c r="AE82" s="313" t="s">
        <v>747</v>
      </c>
      <c r="AF82" s="313"/>
      <c r="AG82" s="313"/>
      <c r="AH82" s="313"/>
      <c r="AI82" s="313"/>
      <c r="AJ82" s="313"/>
      <c r="AK82" s="313"/>
      <c r="AL82" s="313"/>
      <c r="AM82" s="313"/>
      <c r="AO82" s="313" t="s">
        <v>747</v>
      </c>
      <c r="AP82" s="313"/>
      <c r="AQ82" s="313"/>
      <c r="AR82" s="313"/>
      <c r="AS82" s="313"/>
      <c r="AT82" s="313"/>
      <c r="AU82" s="313"/>
      <c r="AV82" s="313"/>
      <c r="AW82" s="313"/>
      <c r="AY82" s="313" t="s">
        <v>747</v>
      </c>
      <c r="AZ82" s="313"/>
      <c r="BA82" s="313"/>
      <c r="BB82" s="313"/>
      <c r="BC82" s="313"/>
      <c r="BD82" s="313"/>
      <c r="BE82" s="313"/>
      <c r="BF82" s="313"/>
      <c r="BG82" s="313"/>
      <c r="BI82" s="313" t="s">
        <v>747</v>
      </c>
      <c r="BJ82" s="313"/>
      <c r="BK82" s="313"/>
      <c r="BL82" s="313"/>
      <c r="BM82" s="313"/>
      <c r="BN82" s="313"/>
      <c r="BO82" s="313"/>
      <c r="BP82" s="313"/>
      <c r="BQ82" s="313"/>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62" t="str">
        <f>IF(COUNTIF(AC84:AC91,"BLANK"),"BLANK",IF(OR(SUMPRODUCT(--ISERROR(AC84:AC91))&gt;0,COUNTIF(AC84:AC91,"REJECT")),"REJECT",IF(COUNTIF(AC84:AC91,"CHECK"),"CHECK","EQ")))</f>
        <v>EQ</v>
      </c>
      <c r="V83" s="262"/>
      <c r="W83" s="262"/>
      <c r="X83" s="262"/>
      <c r="Y83" s="262"/>
      <c r="Z83" s="262"/>
      <c r="AA83" s="262"/>
      <c r="AB83" s="262"/>
      <c r="AC83" s="262"/>
      <c r="AE83" s="262" t="str">
        <f>IF(COUNTIF(AM84:AM91,"BLANK"),"BLANK",IF(OR(SUMPRODUCT(--ISERROR(AM84:AM91))&gt;0,COUNTIF(AM84:AM91,"REJECT")),"REJECT",IF(COUNTIF(AM84:AM91,"CHECK"),"CHECK","EQ")))</f>
        <v>EQ</v>
      </c>
      <c r="AF83" s="262"/>
      <c r="AG83" s="262"/>
      <c r="AH83" s="262"/>
      <c r="AI83" s="262"/>
      <c r="AJ83" s="262"/>
      <c r="AK83" s="262"/>
      <c r="AL83" s="262"/>
      <c r="AM83" s="262"/>
      <c r="AO83" s="262" t="str">
        <f>IF(COUNTIF(AW84:AW91,"BLANK"),"BLANK",IF(OR(SUMPRODUCT(--ISERROR(AW84:AW91))&gt;0,COUNTIF(AW84:AW91,"REJECT")),"REJECT",IF(COUNTIF(AW84:AW91,"CHECK"),"CHECK","EQ")))</f>
        <v>EQ</v>
      </c>
      <c r="AP83" s="262"/>
      <c r="AQ83" s="262"/>
      <c r="AR83" s="262"/>
      <c r="AS83" s="262"/>
      <c r="AT83" s="262"/>
      <c r="AU83" s="262"/>
      <c r="AV83" s="262"/>
      <c r="AW83" s="262"/>
      <c r="AY83" s="262" t="str">
        <f>IF(COUNTIF(BG84:BG91,"BLANK"),"BLANK",IF(OR(SUMPRODUCT(--ISERROR(BG84:BG91))&gt;0,COUNTIF(BG84:BG91,"REJECT")),"REJECT",IF(COUNTIF(BG84:BG91,"CHECK"),"CHECK","EQ")))</f>
        <v>EQ</v>
      </c>
      <c r="AZ83" s="262"/>
      <c r="BA83" s="262"/>
      <c r="BB83" s="262"/>
      <c r="BC83" s="262"/>
      <c r="BD83" s="262"/>
      <c r="BE83" s="262"/>
      <c r="BF83" s="262"/>
      <c r="BG83" s="262"/>
      <c r="BI83" s="262" t="str">
        <f>IF(COUNTIF(BQ84:BQ91,"BLANK"),"BLANK",IF(OR(SUMPRODUCT(--ISERROR(BQ84:BQ91))&gt;0,COUNTIF(BQ84:BQ91,"REJECT")),"REJECT",IF(COUNTIF(BQ84:BQ91,"CHECK"),"CHECK","EQ")))</f>
        <v>EQ</v>
      </c>
      <c r="BJ83" s="262"/>
      <c r="BK83" s="262"/>
      <c r="BL83" s="262"/>
      <c r="BM83" s="262"/>
      <c r="BN83" s="262"/>
      <c r="BO83" s="262"/>
      <c r="BP83" s="262"/>
      <c r="BQ83" s="26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56" t="s">
        <v>752</v>
      </c>
      <c r="L85" s="256"/>
      <c r="M85" s="256"/>
      <c r="N85" s="256"/>
      <c r="O85" s="256"/>
      <c r="P85" s="256"/>
      <c r="Q85" s="256"/>
      <c r="R85" s="256"/>
      <c r="S85" s="256"/>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62" t="str">
        <f>IF(COUNTIF(S87:S113,"BLANK"),"BLANK",IF(OR(SUMPRODUCT(--ISERROR(S87:S113))&gt;0,COUNTIF(S87:S113,"REJECT")),"REJECT",IF(COUNTIF(S87:S113,"CHECK"),"CHECK","EQ")))</f>
        <v>BLANK</v>
      </c>
      <c r="L86" s="262"/>
      <c r="M86" s="262"/>
      <c r="N86" s="262"/>
      <c r="O86" s="262"/>
      <c r="P86" s="262"/>
      <c r="Q86" s="262"/>
      <c r="R86" s="262"/>
      <c r="S86" s="26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46" t="s">
        <v>756</v>
      </c>
      <c r="L87" s="246"/>
      <c r="M87" s="246"/>
      <c r="N87" s="246"/>
      <c r="O87" s="246"/>
      <c r="P87" s="248"/>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62" t="str">
        <f>IF(COUNTIF(I89,"BLANK"),"BLANK",IF(OR(SUMPRODUCT(--ISERROR(I89))&gt;0,COUNTIF(I89,"REJECT")),"REJECT",IF(COUNTIF(I89,"CHECK"),"CHECK","EQ")))</f>
        <v>BLANK</v>
      </c>
      <c r="B88" s="262"/>
      <c r="C88" s="262"/>
      <c r="D88" s="262"/>
      <c r="E88" s="262"/>
      <c r="F88" s="262"/>
      <c r="G88" s="262"/>
      <c r="H88" s="262"/>
      <c r="I88" s="262"/>
      <c r="K88" s="246" t="s">
        <v>757</v>
      </c>
      <c r="L88" s="246"/>
      <c r="M88" s="246"/>
      <c r="N88" s="246"/>
      <c r="O88" s="246"/>
      <c r="P88" s="248"/>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54" t="s">
        <v>760</v>
      </c>
      <c r="E89" s="322"/>
      <c r="F89" s="322"/>
      <c r="G89" s="322"/>
      <c r="H89" s="255"/>
      <c r="I89" s="25" t="str">
        <f>IF(OR(LEFT(D89,9)="Examples:",D89=""),"BLANK","EQ")</f>
        <v>BLANK</v>
      </c>
      <c r="K89" s="47" t="s">
        <v>761</v>
      </c>
      <c r="L89" s="259" t="s">
        <v>762</v>
      </c>
      <c r="M89" s="259"/>
      <c r="N89" s="259"/>
      <c r="O89" s="259"/>
      <c r="P89" s="236" t="s">
        <v>160</v>
      </c>
      <c r="Q89" s="261"/>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46" t="s">
        <v>766</v>
      </c>
      <c r="L91" s="246"/>
      <c r="M91" s="246"/>
      <c r="N91" s="246"/>
      <c r="O91" s="246"/>
      <c r="P91" s="243"/>
      <c r="Q91" s="318"/>
      <c r="R91" s="31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46" t="s">
        <v>767</v>
      </c>
      <c r="L92" s="246"/>
      <c r="M92" s="246"/>
      <c r="N92" s="246"/>
      <c r="O92" s="246"/>
      <c r="P92" s="246"/>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3" t="s">
        <v>768</v>
      </c>
      <c r="BT92" s="313"/>
      <c r="BU92" s="313"/>
      <c r="BV92" s="313"/>
      <c r="BW92" s="313"/>
      <c r="BX92" s="313"/>
      <c r="BY92" s="313"/>
      <c r="BZ92" s="313"/>
      <c r="CA92" s="313"/>
      <c r="CC92" s="313" t="s">
        <v>768</v>
      </c>
      <c r="CD92" s="313"/>
      <c r="CE92" s="313"/>
      <c r="CF92" s="313"/>
      <c r="CG92" s="313"/>
      <c r="CH92" s="313"/>
      <c r="CI92" s="313"/>
      <c r="CJ92" s="313"/>
      <c r="CK92" s="313"/>
      <c r="CM92" s="313" t="s">
        <v>768</v>
      </c>
      <c r="CN92" s="313"/>
      <c r="CO92" s="313"/>
      <c r="CP92" s="313"/>
      <c r="CQ92" s="313"/>
      <c r="CR92" s="313"/>
      <c r="CS92" s="313"/>
      <c r="CT92" s="313"/>
      <c r="CU92" s="313"/>
      <c r="CW92" s="313" t="s">
        <v>768</v>
      </c>
      <c r="CX92" s="313"/>
      <c r="CY92" s="313"/>
      <c r="CZ92" s="313"/>
      <c r="DA92" s="313"/>
      <c r="DB92" s="313"/>
      <c r="DC92" s="313"/>
      <c r="DD92" s="313"/>
      <c r="DE92" s="313"/>
      <c r="DG92" s="313" t="s">
        <v>768</v>
      </c>
      <c r="DH92" s="313"/>
      <c r="DI92" s="313"/>
      <c r="DJ92" s="313"/>
      <c r="DK92" s="313"/>
      <c r="DL92" s="313"/>
      <c r="DM92" s="313"/>
      <c r="DN92" s="313"/>
      <c r="DO92" s="313"/>
    </row>
    <row r="93" spans="1:119" ht="15" customHeight="1" x14ac:dyDescent="0.3">
      <c r="A93" s="47"/>
      <c r="B93" s="49"/>
      <c r="C93" s="49"/>
      <c r="D93" s="49"/>
      <c r="E93" s="49"/>
      <c r="F93" s="58"/>
      <c r="G93" s="58"/>
      <c r="I93" s="25"/>
      <c r="K93" s="245" t="s">
        <v>769</v>
      </c>
      <c r="L93" s="245"/>
      <c r="M93" s="245"/>
      <c r="N93" s="245"/>
      <c r="O93" s="245"/>
      <c r="P93" s="323"/>
      <c r="Q93" s="76"/>
      <c r="R93" s="19" t="str">
        <f>IF($A$25="mm","mm","in")</f>
        <v>mm</v>
      </c>
      <c r="S93" s="25" t="str">
        <f>IF(NOT(P89="Other"),"N/A",IF(Q93="","BLANK","EQ"))</f>
        <v>N/A</v>
      </c>
      <c r="U93" s="313" t="s">
        <v>770</v>
      </c>
      <c r="V93" s="313"/>
      <c r="W93" s="313"/>
      <c r="X93" s="313"/>
      <c r="Y93" s="313"/>
      <c r="Z93" s="313"/>
      <c r="AA93" s="313"/>
      <c r="AB93" s="313"/>
      <c r="AC93" s="313"/>
      <c r="AE93" s="313" t="s">
        <v>770</v>
      </c>
      <c r="AF93" s="313"/>
      <c r="AG93" s="313"/>
      <c r="AH93" s="313"/>
      <c r="AI93" s="313"/>
      <c r="AJ93" s="313"/>
      <c r="AK93" s="313"/>
      <c r="AL93" s="313"/>
      <c r="AM93" s="313"/>
      <c r="AO93" s="313" t="s">
        <v>770</v>
      </c>
      <c r="AP93" s="313"/>
      <c r="AQ93" s="313"/>
      <c r="AR93" s="313"/>
      <c r="AS93" s="313"/>
      <c r="AT93" s="313"/>
      <c r="AU93" s="313"/>
      <c r="AV93" s="313"/>
      <c r="AW93" s="313"/>
      <c r="AY93" s="313" t="s">
        <v>770</v>
      </c>
      <c r="AZ93" s="313"/>
      <c r="BA93" s="313"/>
      <c r="BB93" s="313"/>
      <c r="BC93" s="313"/>
      <c r="BD93" s="313"/>
      <c r="BE93" s="313"/>
      <c r="BF93" s="313"/>
      <c r="BG93" s="313"/>
      <c r="BI93" s="313" t="s">
        <v>770</v>
      </c>
      <c r="BJ93" s="313"/>
      <c r="BK93" s="313"/>
      <c r="BL93" s="313"/>
      <c r="BM93" s="313"/>
      <c r="BN93" s="313"/>
      <c r="BO93" s="313"/>
      <c r="BP93" s="313"/>
      <c r="BQ93" s="313"/>
      <c r="BS93" s="313" t="s">
        <v>747</v>
      </c>
      <c r="BT93" s="313"/>
      <c r="BU93" s="313"/>
      <c r="BV93" s="313"/>
      <c r="BW93" s="313"/>
      <c r="BX93" s="313"/>
      <c r="BY93" s="313"/>
      <c r="BZ93" s="313"/>
      <c r="CA93" s="313"/>
      <c r="CC93" s="313" t="s">
        <v>771</v>
      </c>
      <c r="CD93" s="313"/>
      <c r="CE93" s="313"/>
      <c r="CF93" s="313"/>
      <c r="CG93" s="313"/>
      <c r="CH93" s="313"/>
      <c r="CI93" s="313"/>
      <c r="CJ93" s="313"/>
      <c r="CK93" s="313"/>
      <c r="CM93" s="313" t="s">
        <v>771</v>
      </c>
      <c r="CN93" s="313"/>
      <c r="CO93" s="313"/>
      <c r="CP93" s="313"/>
      <c r="CQ93" s="313"/>
      <c r="CR93" s="313"/>
      <c r="CS93" s="313"/>
      <c r="CT93" s="313"/>
      <c r="CU93" s="313"/>
      <c r="CW93" s="313" t="s">
        <v>771</v>
      </c>
      <c r="CX93" s="313"/>
      <c r="CY93" s="313"/>
      <c r="CZ93" s="313"/>
      <c r="DA93" s="313"/>
      <c r="DB93" s="313"/>
      <c r="DC93" s="313"/>
      <c r="DD93" s="313"/>
      <c r="DE93" s="313"/>
      <c r="DG93" s="313" t="s">
        <v>771</v>
      </c>
      <c r="DH93" s="313"/>
      <c r="DI93" s="313"/>
      <c r="DJ93" s="313"/>
      <c r="DK93" s="313"/>
      <c r="DL93" s="313"/>
      <c r="DM93" s="313"/>
      <c r="DN93" s="313"/>
      <c r="DO93" s="313"/>
    </row>
    <row r="94" spans="1:119" ht="15" customHeight="1" thickBot="1" x14ac:dyDescent="0.35">
      <c r="A94" s="60"/>
      <c r="B94" s="49"/>
      <c r="C94" s="49"/>
      <c r="D94" s="49"/>
      <c r="E94" s="49"/>
      <c r="F94" s="58"/>
      <c r="G94" s="58"/>
      <c r="I94" s="25"/>
      <c r="K94" s="246" t="s">
        <v>772</v>
      </c>
      <c r="L94" s="246"/>
      <c r="M94" s="246"/>
      <c r="N94" s="246"/>
      <c r="O94" s="246"/>
      <c r="P94" s="248"/>
      <c r="Q94" s="50"/>
      <c r="R94" s="19" t="str">
        <f>IF($A$25="mm","mm","in")</f>
        <v>mm</v>
      </c>
      <c r="S94" s="25" t="str">
        <f>IF(NOT(P89="Other"),"N/A",IF(Q94="","BLANK","EQ"))</f>
        <v>N/A</v>
      </c>
      <c r="U94" s="262" t="str">
        <f>IF(COUNTIF(AC95:AC121,"BLANK"),"BLANK",IF(OR(SUMPRODUCT(--ISERROR(AC95:AC121))&gt;0,COUNTIF(AC95:AC121,"REJECT")),"REJECT",IF(COUNTIF(AC95:AC121,"CHECK"),"CHECK","EQ")))</f>
        <v>EQ</v>
      </c>
      <c r="V94" s="262"/>
      <c r="W94" s="262"/>
      <c r="X94" s="262"/>
      <c r="Y94" s="262"/>
      <c r="Z94" s="262"/>
      <c r="AA94" s="262"/>
      <c r="AB94" s="262"/>
      <c r="AC94" s="262"/>
      <c r="AE94" s="262" t="str">
        <f>IF(COUNTIF(AM95:AM121,"BLANK"),"BLANK",IF(OR(SUMPRODUCT(--ISERROR(AM95:AM121))&gt;0,COUNTIF(AM95:AM121,"REJECT")),"REJECT",IF(COUNTIF(AM95:AM121,"CHECK"),"CHECK","EQ")))</f>
        <v>EQ</v>
      </c>
      <c r="AF94" s="262"/>
      <c r="AG94" s="262"/>
      <c r="AH94" s="262"/>
      <c r="AI94" s="262"/>
      <c r="AJ94" s="262"/>
      <c r="AK94" s="262"/>
      <c r="AL94" s="262"/>
      <c r="AM94" s="262"/>
      <c r="AO94" s="262" t="str">
        <f>IF(COUNTIF(AW95:AW121,"BLANK"),"BLANK",IF(OR(SUMPRODUCT(--ISERROR(AW95:AW121))&gt;0,COUNTIF(AW95:AW121,"REJECT")),"REJECT",IF(COUNTIF(AW95:AW121,"CHECK"),"CHECK","EQ")))</f>
        <v>EQ</v>
      </c>
      <c r="AP94" s="262"/>
      <c r="AQ94" s="262"/>
      <c r="AR94" s="262"/>
      <c r="AS94" s="262"/>
      <c r="AT94" s="262"/>
      <c r="AU94" s="262"/>
      <c r="AV94" s="262"/>
      <c r="AW94" s="262"/>
      <c r="AY94" s="262" t="str">
        <f>IF(COUNTIF(BG95:BG121,"BLANK"),"BLANK",IF(OR(SUMPRODUCT(--ISERROR(BG95:BG121))&gt;0,COUNTIF(BG95:BG121,"REJECT")),"REJECT",IF(COUNTIF(BG95:BG121,"CHECK"),"CHECK","EQ")))</f>
        <v>EQ</v>
      </c>
      <c r="AZ94" s="262"/>
      <c r="BA94" s="262"/>
      <c r="BB94" s="262"/>
      <c r="BC94" s="262"/>
      <c r="BD94" s="262"/>
      <c r="BE94" s="262"/>
      <c r="BF94" s="262"/>
      <c r="BG94" s="262"/>
      <c r="BI94" s="262" t="str">
        <f>IF(COUNTIF(BQ95:BQ121,"BLANK"),"BLANK",IF(OR(SUMPRODUCT(--ISERROR(BQ95:BQ121))&gt;0,COUNTIF(BQ95:BQ121,"REJECT")),"REJECT",IF(COUNTIF(BQ95:BQ121,"CHECK"),"CHECK","EQ")))</f>
        <v>EQ</v>
      </c>
      <c r="BJ94" s="262"/>
      <c r="BK94" s="262"/>
      <c r="BL94" s="262"/>
      <c r="BM94" s="262"/>
      <c r="BN94" s="262"/>
      <c r="BO94" s="262"/>
      <c r="BP94" s="262"/>
      <c r="BQ94" s="262"/>
      <c r="BS94" s="262" t="str">
        <f>IF(COUNTIF(CA95:CA102,"BLANK"),"BLANK",IF(OR(SUMPRODUCT(--ISERROR(CA95:CA102))&gt;0,COUNTIF(CA95:CA102,"REJECT")),"REJECT",IF(COUNTIF(CA95:CA102,"CHECK"),"CHECK","EQ")))</f>
        <v>EQ</v>
      </c>
      <c r="BT94" s="262"/>
      <c r="BU94" s="262"/>
      <c r="BV94" s="262"/>
      <c r="BW94" s="262"/>
      <c r="BX94" s="262"/>
      <c r="BY94" s="262"/>
      <c r="BZ94" s="262"/>
      <c r="CA94" s="262"/>
      <c r="CC94" s="262" t="str">
        <f>IF(COUNTIF(CK95:CK102,"BLANK"),"BLANK",IF(OR(SUMPRODUCT(--ISERROR(CK95:CK102))&gt;0,COUNTIF(CK95:CK102,"REJECT")),"REJECT",IF(COUNTIF(CK95:CK102,"CHECK"),"CHECK","EQ")))</f>
        <v>EQ</v>
      </c>
      <c r="CD94" s="262"/>
      <c r="CE94" s="262"/>
      <c r="CF94" s="262"/>
      <c r="CG94" s="262"/>
      <c r="CH94" s="262"/>
      <c r="CI94" s="262"/>
      <c r="CJ94" s="262"/>
      <c r="CK94" s="262"/>
      <c r="CM94" s="262" t="str">
        <f>IF(COUNTIF(CU95:CU102,"BLANK"),"BLANK",IF(OR(SUMPRODUCT(--ISERROR(CU95:CU102))&gt;0,COUNTIF(CU95:CU102,"REJECT")),"REJECT",IF(COUNTIF(CU95:CU102,"CHECK"),"CHECK","EQ")))</f>
        <v>EQ</v>
      </c>
      <c r="CN94" s="262"/>
      <c r="CO94" s="262"/>
      <c r="CP94" s="262"/>
      <c r="CQ94" s="262"/>
      <c r="CR94" s="262"/>
      <c r="CS94" s="262"/>
      <c r="CT94" s="262"/>
      <c r="CU94" s="262"/>
      <c r="CW94" s="262" t="str">
        <f>IF(COUNTIF(DE95:DE102,"BLANK"),"BLANK",IF(OR(SUMPRODUCT(--ISERROR(DE95:DE102))&gt;0,COUNTIF(DE95:DE102,"REJECT")),"REJECT",IF(COUNTIF(DE95:DE102,"CHECK"),"CHECK","EQ")))</f>
        <v>EQ</v>
      </c>
      <c r="CX94" s="262"/>
      <c r="CY94" s="262"/>
      <c r="CZ94" s="262"/>
      <c r="DA94" s="262"/>
      <c r="DB94" s="262"/>
      <c r="DC94" s="262"/>
      <c r="DD94" s="262"/>
      <c r="DE94" s="262"/>
      <c r="DG94" s="262" t="str">
        <f>IF(COUNTIF(DO95:DO102,"BLANK"),"BLANK",IF(OR(SUMPRODUCT(--ISERROR(DO95:DO102))&gt;0,COUNTIF(DO95:DO102,"REJECT")),"REJECT",IF(COUNTIF(DO95:DO102,"CHECK"),"CHECK","EQ")))</f>
        <v>EQ</v>
      </c>
      <c r="DH94" s="262"/>
      <c r="DI94" s="262"/>
      <c r="DJ94" s="262"/>
      <c r="DK94" s="262"/>
      <c r="DL94" s="262"/>
      <c r="DM94" s="262"/>
      <c r="DN94" s="262"/>
      <c r="DO94" s="262"/>
    </row>
    <row r="95" spans="1:119" ht="15" customHeight="1" thickBot="1" x14ac:dyDescent="0.35">
      <c r="A95" s="63"/>
      <c r="B95" s="63"/>
      <c r="C95" s="60"/>
      <c r="D95" s="60"/>
      <c r="E95" s="60"/>
      <c r="F95" s="67"/>
      <c r="G95" s="67"/>
      <c r="H95" s="68"/>
      <c r="I95" s="55"/>
      <c r="K95" s="246" t="s">
        <v>773</v>
      </c>
      <c r="L95" s="246"/>
      <c r="M95" s="246"/>
      <c r="N95" s="246"/>
      <c r="O95" s="246"/>
      <c r="P95" s="248"/>
      <c r="Q95" s="50"/>
      <c r="R95" s="19" t="str">
        <f>IF($A$25="mm","mm","in")</f>
        <v>mm</v>
      </c>
      <c r="S95" s="25" t="str">
        <f>IF(NOT(P89="Other"),"N/A",IF(Q95="","BLANK","EQ"))</f>
        <v>N/A</v>
      </c>
      <c r="U95" s="25"/>
      <c r="V95" s="25"/>
      <c r="W95" s="25"/>
      <c r="X95" s="25"/>
      <c r="Y95" s="25"/>
      <c r="Z95" s="49" t="s">
        <v>774</v>
      </c>
      <c r="AA95" s="318" t="s">
        <v>606</v>
      </c>
      <c r="AB95" s="319"/>
      <c r="AC95" s="25" t="str">
        <f>IF(AA65=0,"N/A","EQ")</f>
        <v>N/A</v>
      </c>
      <c r="AE95" s="25"/>
      <c r="AF95" s="25"/>
      <c r="AG95" s="25"/>
      <c r="AH95" s="25"/>
      <c r="AI95" s="25"/>
      <c r="AJ95" s="49" t="s">
        <v>774</v>
      </c>
      <c r="AK95" s="318" t="s">
        <v>606</v>
      </c>
      <c r="AL95" s="319"/>
      <c r="AM95" s="25" t="str">
        <f>IF(AK65=0,"N/A","EQ")</f>
        <v>N/A</v>
      </c>
      <c r="AO95" s="25"/>
      <c r="AP95" s="25"/>
      <c r="AQ95" s="25"/>
      <c r="AR95" s="25"/>
      <c r="AS95" s="25"/>
      <c r="AT95" s="49" t="s">
        <v>774</v>
      </c>
      <c r="AU95" s="318" t="s">
        <v>606</v>
      </c>
      <c r="AV95" s="319"/>
      <c r="AW95" s="25" t="str">
        <f>IF(AU65=0,"N/A","EQ")</f>
        <v>N/A</v>
      </c>
      <c r="AY95" s="25"/>
      <c r="AZ95" s="25"/>
      <c r="BA95" s="25"/>
      <c r="BB95" s="25"/>
      <c r="BC95" s="25"/>
      <c r="BD95" s="49" t="s">
        <v>774</v>
      </c>
      <c r="BE95" s="318" t="s">
        <v>606</v>
      </c>
      <c r="BF95" s="319"/>
      <c r="BG95" s="25" t="str">
        <f>IF(BE65=0,"N/A","EQ")</f>
        <v>N/A</v>
      </c>
      <c r="BI95" s="25"/>
      <c r="BJ95" s="25"/>
      <c r="BK95" s="25"/>
      <c r="BL95" s="25"/>
      <c r="BM95" s="25"/>
      <c r="BN95" s="49" t="s">
        <v>774</v>
      </c>
      <c r="BO95" s="318" t="s">
        <v>606</v>
      </c>
      <c r="BP95" s="31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56" t="s">
        <v>775</v>
      </c>
      <c r="L96" s="256"/>
      <c r="M96" s="256"/>
      <c r="N96" s="324" t="s">
        <v>775</v>
      </c>
      <c r="O96" s="256"/>
      <c r="P96" s="325"/>
      <c r="Q96" s="324" t="s">
        <v>775</v>
      </c>
      <c r="R96" s="256"/>
      <c r="S96" s="325"/>
      <c r="V96" s="47"/>
      <c r="W96" s="246" t="s">
        <v>510</v>
      </c>
      <c r="X96" s="246"/>
      <c r="Y96" s="246"/>
      <c r="Z96" s="246"/>
      <c r="AA96" s="58">
        <f>INDEX($G$3:$G$19,MATCH(AA95,$E$3:$E$19,0))</f>
        <v>200000000000</v>
      </c>
      <c r="AB96" s="19" t="str">
        <f>IF($A$25="mm","Pa","psi")</f>
        <v>Pa</v>
      </c>
      <c r="AC96" s="25" t="str">
        <f>IF(AA65=0,"N/A","EQ")</f>
        <v>N/A</v>
      </c>
      <c r="AE96" s="19"/>
      <c r="AF96" s="47"/>
      <c r="AG96" s="246" t="s">
        <v>510</v>
      </c>
      <c r="AH96" s="246"/>
      <c r="AI96" s="246"/>
      <c r="AJ96" s="246"/>
      <c r="AK96" s="58">
        <f>INDEX($G$3:$G$19,MATCH(AK95,$E$3:$E$19,0))</f>
        <v>200000000000</v>
      </c>
      <c r="AL96" s="19" t="str">
        <f>IF($A$25="mm","Pa","psi")</f>
        <v>Pa</v>
      </c>
      <c r="AM96" s="25" t="str">
        <f>IF(AK65=0,"N/A","EQ")</f>
        <v>N/A</v>
      </c>
      <c r="AP96" s="47"/>
      <c r="AQ96" s="246" t="s">
        <v>510</v>
      </c>
      <c r="AR96" s="246"/>
      <c r="AS96" s="246"/>
      <c r="AT96" s="246"/>
      <c r="AU96" s="58">
        <f>INDEX($G$3:$G$19,MATCH(AU95,$E$3:$E$19,0))</f>
        <v>200000000000</v>
      </c>
      <c r="AV96" s="19" t="str">
        <f>IF($A$25="mm","Pa","psi")</f>
        <v>Pa</v>
      </c>
      <c r="AW96" s="25" t="str">
        <f>IF(AU65=0,"N/A","EQ")</f>
        <v>N/A</v>
      </c>
      <c r="AZ96" s="47"/>
      <c r="BA96" s="246" t="s">
        <v>510</v>
      </c>
      <c r="BB96" s="246"/>
      <c r="BC96" s="246"/>
      <c r="BD96" s="246"/>
      <c r="BE96" s="58">
        <f>INDEX($G$3:$G$19,MATCH(BE95,$E$3:$E$19,0))</f>
        <v>200000000000</v>
      </c>
      <c r="BF96" s="19" t="str">
        <f>IF($A$25="mm","Pa","psi")</f>
        <v>Pa</v>
      </c>
      <c r="BG96" s="25" t="str">
        <f>IF(BE65=0,"N/A","EQ")</f>
        <v>N/A</v>
      </c>
      <c r="BJ96" s="47"/>
      <c r="BK96" s="246" t="s">
        <v>510</v>
      </c>
      <c r="BL96" s="246"/>
      <c r="BM96" s="246"/>
      <c r="BN96" s="246"/>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46" t="s">
        <v>705</v>
      </c>
      <c r="W97" s="246"/>
      <c r="X97" s="246"/>
      <c r="Y97" s="246"/>
      <c r="Z97" s="246"/>
      <c r="AA97" s="58">
        <f>INDEX($I$3:$I$19,MATCH(AA95,$E$3:$E$19,0))</f>
        <v>365000000</v>
      </c>
      <c r="AB97" s="19" t="str">
        <f>IF($A$25="mm","Pa","psi")</f>
        <v>Pa</v>
      </c>
      <c r="AC97" s="25" t="str">
        <f>IF(AA65=0,"N/A","EQ")</f>
        <v>N/A</v>
      </c>
      <c r="AE97" s="101"/>
      <c r="AF97" s="246" t="s">
        <v>705</v>
      </c>
      <c r="AG97" s="246"/>
      <c r="AH97" s="246"/>
      <c r="AI97" s="246"/>
      <c r="AJ97" s="246"/>
      <c r="AK97" s="58">
        <f>INDEX($I$3:$I$19,MATCH(AK95,$E$3:$E$19,0))</f>
        <v>365000000</v>
      </c>
      <c r="AL97" s="19" t="str">
        <f>IF($A$25="mm","Pa","psi")</f>
        <v>Pa</v>
      </c>
      <c r="AM97" s="25" t="str">
        <f>IF(AK65=0,"N/A","EQ")</f>
        <v>N/A</v>
      </c>
      <c r="AO97" s="101"/>
      <c r="AP97" s="246" t="s">
        <v>705</v>
      </c>
      <c r="AQ97" s="246"/>
      <c r="AR97" s="246"/>
      <c r="AS97" s="246"/>
      <c r="AT97" s="246"/>
      <c r="AU97" s="58">
        <f>INDEX($I$3:$I$19,MATCH(AU95,$E$3:$E$19,0))</f>
        <v>365000000</v>
      </c>
      <c r="AV97" s="19" t="str">
        <f>IF($A$25="mm","Pa","psi")</f>
        <v>Pa</v>
      </c>
      <c r="AW97" s="25" t="str">
        <f>IF(AU65=0,"N/A","EQ")</f>
        <v>N/A</v>
      </c>
      <c r="AY97" s="101"/>
      <c r="AZ97" s="246" t="s">
        <v>705</v>
      </c>
      <c r="BA97" s="246"/>
      <c r="BB97" s="246"/>
      <c r="BC97" s="246"/>
      <c r="BD97" s="246"/>
      <c r="BE97" s="58">
        <f>INDEX($I$3:$I$19,MATCH(BE95,$E$3:$E$19,0))</f>
        <v>365000000</v>
      </c>
      <c r="BF97" s="19" t="str">
        <f>IF($A$25="mm","Pa","psi")</f>
        <v>Pa</v>
      </c>
      <c r="BG97" s="25" t="str">
        <f>IF(BE65=0,"N/A","EQ")</f>
        <v>N/A</v>
      </c>
      <c r="BI97" s="101"/>
      <c r="BJ97" s="246" t="s">
        <v>705</v>
      </c>
      <c r="BK97" s="246"/>
      <c r="BL97" s="246"/>
      <c r="BM97" s="246"/>
      <c r="BN97" s="246"/>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46" t="s">
        <v>708</v>
      </c>
      <c r="X98" s="246"/>
      <c r="Y98" s="246"/>
      <c r="Z98" s="246"/>
      <c r="AA98" s="58">
        <f>INDEX($K$3:$K$19,MATCH(AA95,$E$3:$E$19,0))</f>
        <v>210604999.99999997</v>
      </c>
      <c r="AB98" s="19" t="str">
        <f>IF($A$25="mm","Pa","psi")</f>
        <v>Pa</v>
      </c>
      <c r="AC98" s="25" t="str">
        <f>IF(AA65=0,"N/A","EQ")</f>
        <v>N/A</v>
      </c>
      <c r="AE98" s="46"/>
      <c r="AF98" s="60"/>
      <c r="AG98" s="246" t="s">
        <v>708</v>
      </c>
      <c r="AH98" s="246"/>
      <c r="AI98" s="246"/>
      <c r="AJ98" s="246"/>
      <c r="AK98" s="58">
        <f>INDEX($K$3:$K$19,MATCH(AK95,$E$3:$E$19,0))</f>
        <v>210604999.99999997</v>
      </c>
      <c r="AL98" s="19" t="str">
        <f>IF($A$25="mm","Pa","psi")</f>
        <v>Pa</v>
      </c>
      <c r="AM98" s="25" t="str">
        <f>IF(AK65=0,"N/A","EQ")</f>
        <v>N/A</v>
      </c>
      <c r="AO98" s="46"/>
      <c r="AP98" s="60"/>
      <c r="AQ98" s="246" t="s">
        <v>708</v>
      </c>
      <c r="AR98" s="246"/>
      <c r="AS98" s="246"/>
      <c r="AT98" s="246"/>
      <c r="AU98" s="58">
        <f>INDEX($K$3:$K$19,MATCH(AU95,$E$3:$E$19,0))</f>
        <v>210604999.99999997</v>
      </c>
      <c r="AV98" s="19" t="str">
        <f>IF($A$25="mm","Pa","psi")</f>
        <v>Pa</v>
      </c>
      <c r="AW98" s="25" t="str">
        <f>IF(AU65=0,"N/A","EQ")</f>
        <v>N/A</v>
      </c>
      <c r="AY98" s="46"/>
      <c r="AZ98" s="60"/>
      <c r="BA98" s="246" t="s">
        <v>708</v>
      </c>
      <c r="BB98" s="246"/>
      <c r="BC98" s="246"/>
      <c r="BD98" s="246"/>
      <c r="BE98" s="58">
        <f>INDEX($K$3:$K$19,MATCH(BE95,$E$3:$E$19,0))</f>
        <v>210604999.99999997</v>
      </c>
      <c r="BF98" s="19" t="str">
        <f>IF($A$25="mm","Pa","psi")</f>
        <v>Pa</v>
      </c>
      <c r="BG98" s="25" t="str">
        <f>IF(BE65=0,"N/A","EQ")</f>
        <v>N/A</v>
      </c>
      <c r="BI98" s="46"/>
      <c r="BJ98" s="60"/>
      <c r="BK98" s="246" t="s">
        <v>708</v>
      </c>
      <c r="BL98" s="246"/>
      <c r="BM98" s="246"/>
      <c r="BN98" s="246"/>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36" t="s">
        <v>736</v>
      </c>
      <c r="AB100" s="261"/>
      <c r="AC100" s="25" t="str">
        <f>IF(AA65=0,"N/A","EQ")</f>
        <v>N/A</v>
      </c>
      <c r="AE100" s="25"/>
      <c r="AF100" s="25"/>
      <c r="AG100" s="25"/>
      <c r="AH100" s="25"/>
      <c r="AI100" s="25"/>
      <c r="AJ100" s="49" t="str">
        <f>IF(AK65=0,"","Mount interface with accumulator:")</f>
        <v/>
      </c>
      <c r="AK100" s="236" t="s">
        <v>736</v>
      </c>
      <c r="AL100" s="261"/>
      <c r="AM100" s="25" t="str">
        <f>IF(AK65=0,"N/A","EQ")</f>
        <v>N/A</v>
      </c>
      <c r="AO100" s="25"/>
      <c r="AP100" s="25"/>
      <c r="AQ100" s="25"/>
      <c r="AR100" s="25"/>
      <c r="AS100" s="25"/>
      <c r="AT100" s="49" t="str">
        <f>IF(AU65=0,"","Mount interface with accumulator:")</f>
        <v/>
      </c>
      <c r="AU100" s="236" t="s">
        <v>736</v>
      </c>
      <c r="AV100" s="261"/>
      <c r="AW100" s="25" t="str">
        <f>IF(AU65=0,"N/A","EQ")</f>
        <v>N/A</v>
      </c>
      <c r="AY100" s="25"/>
      <c r="AZ100" s="25"/>
      <c r="BA100" s="25"/>
      <c r="BB100" s="25"/>
      <c r="BC100" s="25"/>
      <c r="BD100" s="49" t="str">
        <f>IF(BE65=0,"","Mount interface with accumulator:")</f>
        <v/>
      </c>
      <c r="BE100" s="236" t="s">
        <v>736</v>
      </c>
      <c r="BF100" s="261"/>
      <c r="BG100" s="25" t="str">
        <f>IF(BE65=0,"N/A","EQ")</f>
        <v>N/A</v>
      </c>
      <c r="BI100" s="25"/>
      <c r="BJ100" s="25"/>
      <c r="BK100" s="25"/>
      <c r="BL100" s="25"/>
      <c r="BM100" s="25"/>
      <c r="BN100" s="49" t="str">
        <f>IF(BO65=0,"","Mount interface with accumulator:")</f>
        <v/>
      </c>
      <c r="BO100" s="236" t="s">
        <v>736</v>
      </c>
      <c r="BP100" s="261"/>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57" t="s">
        <v>791</v>
      </c>
      <c r="P102" s="257"/>
      <c r="Q102" s="258" t="str">
        <f>P89</f>
        <v>Steel</v>
      </c>
      <c r="R102" s="258"/>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46" t="s">
        <v>792</v>
      </c>
      <c r="M103" s="246"/>
      <c r="N103" s="246"/>
      <c r="O103" s="246"/>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46" t="s">
        <v>793</v>
      </c>
      <c r="M104" s="246"/>
      <c r="N104" s="246"/>
      <c r="O104" s="246"/>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3" t="s">
        <v>794</v>
      </c>
      <c r="BT104" s="313"/>
      <c r="BU104" s="313"/>
      <c r="BV104" s="313"/>
      <c r="BW104" s="313"/>
      <c r="BX104" s="313"/>
      <c r="BY104" s="313"/>
      <c r="BZ104" s="313"/>
      <c r="CA104" s="313"/>
      <c r="CC104" s="313" t="s">
        <v>794</v>
      </c>
      <c r="CD104" s="313"/>
      <c r="CE104" s="313"/>
      <c r="CF104" s="313"/>
      <c r="CG104" s="313"/>
      <c r="CH104" s="313"/>
      <c r="CI104" s="313"/>
      <c r="CJ104" s="313"/>
      <c r="CK104" s="313"/>
      <c r="CM104" s="313" t="s">
        <v>794</v>
      </c>
      <c r="CN104" s="313"/>
      <c r="CO104" s="313"/>
      <c r="CP104" s="313"/>
      <c r="CQ104" s="313"/>
      <c r="CR104" s="313"/>
      <c r="CS104" s="313"/>
      <c r="CT104" s="313"/>
      <c r="CU104" s="313"/>
      <c r="CW104" s="313" t="s">
        <v>794</v>
      </c>
      <c r="CX104" s="313"/>
      <c r="CY104" s="313"/>
      <c r="CZ104" s="313"/>
      <c r="DA104" s="313"/>
      <c r="DB104" s="313"/>
      <c r="DC104" s="313"/>
      <c r="DD104" s="313"/>
      <c r="DE104" s="313"/>
      <c r="DG104" s="313" t="s">
        <v>794</v>
      </c>
      <c r="DH104" s="313"/>
      <c r="DI104" s="313"/>
      <c r="DJ104" s="313"/>
      <c r="DK104" s="313"/>
      <c r="DL104" s="313"/>
      <c r="DM104" s="313"/>
      <c r="DN104" s="313"/>
      <c r="DO104" s="313"/>
    </row>
    <row r="105" spans="1:119" ht="15" customHeight="1" thickBot="1" x14ac:dyDescent="0.35">
      <c r="A105" s="25"/>
      <c r="B105" s="25"/>
      <c r="C105" s="25"/>
      <c r="D105" s="25"/>
      <c r="E105" s="25"/>
      <c r="F105" s="25"/>
      <c r="G105" s="25"/>
      <c r="H105" s="25"/>
      <c r="I105" s="25"/>
      <c r="K105" s="60"/>
      <c r="L105" s="246" t="s">
        <v>795</v>
      </c>
      <c r="M105" s="246"/>
      <c r="N105" s="246"/>
      <c r="O105" s="246"/>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62" t="str">
        <f>IF(COUNTIF(CA106:CA132,"BLANK"),"BLANK",IF(OR(SUMPRODUCT(--ISERROR(CA106:CA132))&gt;0,COUNTIF(CA106:CA132,"REJECT")),"REJECT",IF(COUNTIF(CA106:CA132,"CHECK"),"CHECK","EQ")))</f>
        <v>EQ</v>
      </c>
      <c r="BT105" s="262"/>
      <c r="BU105" s="262"/>
      <c r="BV105" s="262"/>
      <c r="BW105" s="262"/>
      <c r="BX105" s="262"/>
      <c r="BY105" s="262"/>
      <c r="BZ105" s="262"/>
      <c r="CA105" s="262"/>
      <c r="CC105" s="262" t="str">
        <f>IF(COUNTIF(CK106:CK132,"BLANK"),"BLANK",IF(OR(SUMPRODUCT(--ISERROR(CK106:CK132))&gt;0,COUNTIF(CK106:CK132,"REJECT")),"REJECT",IF(COUNTIF(CK106:CK132,"CHECK"),"CHECK","EQ")))</f>
        <v>EQ</v>
      </c>
      <c r="CD105" s="262"/>
      <c r="CE105" s="262"/>
      <c r="CF105" s="262"/>
      <c r="CG105" s="262"/>
      <c r="CH105" s="262"/>
      <c r="CI105" s="262"/>
      <c r="CJ105" s="262"/>
      <c r="CK105" s="262"/>
      <c r="CM105" s="262" t="str">
        <f>IF(COUNTIF(CU106:CU132,"BLANK"),"BLANK",IF(OR(SUMPRODUCT(--ISERROR(CU106:CU132))&gt;0,COUNTIF(CU106:CU132,"REJECT")),"REJECT",IF(COUNTIF(CU106:CU132,"CHECK"),"CHECK","EQ")))</f>
        <v>EQ</v>
      </c>
      <c r="CN105" s="262"/>
      <c r="CO105" s="262"/>
      <c r="CP105" s="262"/>
      <c r="CQ105" s="262"/>
      <c r="CR105" s="262"/>
      <c r="CS105" s="262"/>
      <c r="CT105" s="262"/>
      <c r="CU105" s="262"/>
      <c r="CW105" s="262" t="str">
        <f>IF(COUNTIF(DE106:DE132,"BLANK"),"BLANK",IF(OR(SUMPRODUCT(--ISERROR(DE106:DE132))&gt;0,COUNTIF(DE106:DE132,"REJECT")),"REJECT",IF(COUNTIF(DE106:DE132,"CHECK"),"CHECK","EQ")))</f>
        <v>EQ</v>
      </c>
      <c r="CX105" s="262"/>
      <c r="CY105" s="262"/>
      <c r="CZ105" s="262"/>
      <c r="DA105" s="262"/>
      <c r="DB105" s="262"/>
      <c r="DC105" s="262"/>
      <c r="DD105" s="262"/>
      <c r="DE105" s="262"/>
      <c r="DG105" s="262" t="str">
        <f>IF(COUNTIF(DO106:DO132,"BLANK"),"BLANK",IF(OR(SUMPRODUCT(--ISERROR(DO106:DO132))&gt;0,COUNTIF(DO106:DO132,"REJECT")),"REJECT",IF(COUNTIF(DO106:DO132,"CHECK"),"CHECK","EQ")))</f>
        <v>EQ</v>
      </c>
      <c r="DH105" s="262"/>
      <c r="DI105" s="262"/>
      <c r="DJ105" s="262"/>
      <c r="DK105" s="262"/>
      <c r="DL105" s="262"/>
      <c r="DM105" s="262"/>
      <c r="DN105" s="262"/>
      <c r="DO105" s="262"/>
    </row>
    <row r="106" spans="1:119" ht="15" customHeight="1" thickBot="1" x14ac:dyDescent="0.35">
      <c r="A106" s="47"/>
      <c r="B106" s="48"/>
      <c r="C106" s="48"/>
      <c r="D106" s="48"/>
      <c r="E106" s="48"/>
      <c r="F106" s="25"/>
      <c r="G106" s="25"/>
      <c r="I106" s="25"/>
      <c r="K106" s="47" t="s">
        <v>534</v>
      </c>
      <c r="L106" s="246" t="s">
        <v>510</v>
      </c>
      <c r="M106" s="246"/>
      <c r="N106" s="246"/>
      <c r="O106" s="246"/>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18" t="s">
        <v>606</v>
      </c>
      <c r="BZ106" s="319"/>
      <c r="CA106" s="25" t="str">
        <f>IF(BY63=0,"N/A","EQ")</f>
        <v>N/A</v>
      </c>
      <c r="CC106" s="25"/>
      <c r="CD106" s="25"/>
      <c r="CE106" s="25"/>
      <c r="CF106" s="25"/>
      <c r="CG106" s="25"/>
      <c r="CH106" s="49" t="s">
        <v>796</v>
      </c>
      <c r="CI106" s="318" t="s">
        <v>606</v>
      </c>
      <c r="CJ106" s="319"/>
      <c r="CK106" s="25" t="str">
        <f>IF(CI63=0,"N/A","EQ")</f>
        <v>N/A</v>
      </c>
      <c r="CM106" s="25"/>
      <c r="CN106" s="25"/>
      <c r="CO106" s="25"/>
      <c r="CP106" s="25"/>
      <c r="CQ106" s="25"/>
      <c r="CR106" s="49" t="s">
        <v>796</v>
      </c>
      <c r="CS106" s="318" t="s">
        <v>606</v>
      </c>
      <c r="CT106" s="319"/>
      <c r="CU106" s="25" t="str">
        <f>IF(CS63=0,"N/A","EQ")</f>
        <v>N/A</v>
      </c>
      <c r="CW106" s="25"/>
      <c r="CX106" s="25"/>
      <c r="CY106" s="25"/>
      <c r="CZ106" s="25"/>
      <c r="DA106" s="25"/>
      <c r="DB106" s="49" t="s">
        <v>796</v>
      </c>
      <c r="DC106" s="318" t="s">
        <v>606</v>
      </c>
      <c r="DD106" s="319"/>
      <c r="DE106" s="25" t="str">
        <f>IF(DC63=0,"N/A","EQ")</f>
        <v>N/A</v>
      </c>
      <c r="DG106" s="25"/>
      <c r="DH106" s="25"/>
      <c r="DI106" s="25"/>
      <c r="DJ106" s="25"/>
      <c r="DK106" s="25"/>
      <c r="DL106" s="49" t="s">
        <v>796</v>
      </c>
      <c r="DM106" s="318" t="s">
        <v>606</v>
      </c>
      <c r="DN106" s="319"/>
      <c r="DO106" s="25" t="str">
        <f>IF(DM63=0,"N/A","EQ")</f>
        <v>N/A</v>
      </c>
    </row>
    <row r="107" spans="1:119" ht="15" customHeight="1" x14ac:dyDescent="0.3">
      <c r="A107" s="47"/>
      <c r="B107" s="49"/>
      <c r="C107" s="49"/>
      <c r="D107" s="49"/>
      <c r="E107" s="49"/>
      <c r="F107" s="47"/>
      <c r="G107" s="47"/>
      <c r="H107" s="47"/>
      <c r="I107" s="25"/>
      <c r="K107" s="246" t="s">
        <v>705</v>
      </c>
      <c r="L107" s="246"/>
      <c r="M107" s="246"/>
      <c r="N107" s="246"/>
      <c r="O107" s="246"/>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46" t="s">
        <v>510</v>
      </c>
      <c r="BV107" s="246"/>
      <c r="BW107" s="246"/>
      <c r="BX107" s="246"/>
      <c r="BY107" s="58">
        <f>INDEX($G$3:$G$19,MATCH(BY106,$E$3:$E$19,0))</f>
        <v>200000000000</v>
      </c>
      <c r="BZ107" s="19" t="str">
        <f>IF($A$25="mm","Pa","psi")</f>
        <v>Pa</v>
      </c>
      <c r="CA107" s="25" t="str">
        <f>IF(BY63=0,"N/A","EQ")</f>
        <v>N/A</v>
      </c>
      <c r="CD107" s="47"/>
      <c r="CE107" s="246" t="s">
        <v>510</v>
      </c>
      <c r="CF107" s="246"/>
      <c r="CG107" s="246"/>
      <c r="CH107" s="246"/>
      <c r="CI107" s="58">
        <f>INDEX($G$3:$G$19,MATCH(CI106,$E$3:$E$19,0))</f>
        <v>200000000000</v>
      </c>
      <c r="CJ107" s="19" t="str">
        <f>IF($A$25="mm","Pa","psi")</f>
        <v>Pa</v>
      </c>
      <c r="CK107" s="25" t="str">
        <f>IF(CI63=0,"N/A","EQ")</f>
        <v>N/A</v>
      </c>
      <c r="CN107" s="47"/>
      <c r="CO107" s="246" t="s">
        <v>510</v>
      </c>
      <c r="CP107" s="246"/>
      <c r="CQ107" s="246"/>
      <c r="CR107" s="246"/>
      <c r="CS107" s="58">
        <f>INDEX($G$3:$G$19,MATCH(CS106,$E$3:$E$19,0))</f>
        <v>200000000000</v>
      </c>
      <c r="CT107" s="19" t="str">
        <f>IF($A$25="mm","Pa","psi")</f>
        <v>Pa</v>
      </c>
      <c r="CU107" s="25" t="str">
        <f>IF(CS63=0,"N/A","EQ")</f>
        <v>N/A</v>
      </c>
      <c r="CX107" s="47"/>
      <c r="CY107" s="246" t="s">
        <v>510</v>
      </c>
      <c r="CZ107" s="246"/>
      <c r="DA107" s="246"/>
      <c r="DB107" s="246"/>
      <c r="DC107" s="58">
        <f>INDEX($G$3:$G$19,MATCH(DC106,$E$3:$E$19,0))</f>
        <v>200000000000</v>
      </c>
      <c r="DD107" s="19" t="str">
        <f>IF($A$25="mm","Pa","psi")</f>
        <v>Pa</v>
      </c>
      <c r="DE107" s="25" t="str">
        <f>IF(DC63=0,"N/A","EQ")</f>
        <v>N/A</v>
      </c>
      <c r="DH107" s="47"/>
      <c r="DI107" s="246" t="s">
        <v>510</v>
      </c>
      <c r="DJ107" s="246"/>
      <c r="DK107" s="246"/>
      <c r="DL107" s="246"/>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46" t="s">
        <v>708</v>
      </c>
      <c r="M108" s="246"/>
      <c r="N108" s="246"/>
      <c r="O108" s="246"/>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46" t="s">
        <v>705</v>
      </c>
      <c r="BU108" s="246"/>
      <c r="BV108" s="246"/>
      <c r="BW108" s="246"/>
      <c r="BX108" s="246"/>
      <c r="BY108" s="58">
        <f>INDEX($I$3:$I$19,MATCH(BY106,$E$3:$E$19,0))</f>
        <v>365000000</v>
      </c>
      <c r="BZ108" s="19" t="str">
        <f>IF($A$25="mm","Pa","psi")</f>
        <v>Pa</v>
      </c>
      <c r="CA108" s="25" t="str">
        <f>IF(BY63=0,"N/A","EQ")</f>
        <v>N/A</v>
      </c>
      <c r="CC108" s="101"/>
      <c r="CD108" s="246" t="s">
        <v>705</v>
      </c>
      <c r="CE108" s="246"/>
      <c r="CF108" s="246"/>
      <c r="CG108" s="246"/>
      <c r="CH108" s="246"/>
      <c r="CI108" s="58">
        <f>INDEX($I$3:$I$19,MATCH(CI106,$E$3:$E$19,0))</f>
        <v>365000000</v>
      </c>
      <c r="CJ108" s="19" t="str">
        <f>IF($A$25="mm","Pa","psi")</f>
        <v>Pa</v>
      </c>
      <c r="CK108" s="25" t="str">
        <f>IF(CI63=0,"N/A","EQ")</f>
        <v>N/A</v>
      </c>
      <c r="CM108" s="101"/>
      <c r="CN108" s="246" t="s">
        <v>705</v>
      </c>
      <c r="CO108" s="246"/>
      <c r="CP108" s="246"/>
      <c r="CQ108" s="246"/>
      <c r="CR108" s="246"/>
      <c r="CS108" s="58">
        <f>INDEX($I$3:$I$19,MATCH(CS106,$E$3:$E$19,0))</f>
        <v>365000000</v>
      </c>
      <c r="CT108" s="19" t="str">
        <f>IF($A$25="mm","Pa","psi")</f>
        <v>Pa</v>
      </c>
      <c r="CU108" s="25" t="str">
        <f>IF(CS63=0,"N/A","EQ")</f>
        <v>N/A</v>
      </c>
      <c r="CW108" s="101"/>
      <c r="CX108" s="246" t="s">
        <v>705</v>
      </c>
      <c r="CY108" s="246"/>
      <c r="CZ108" s="246"/>
      <c r="DA108" s="246"/>
      <c r="DB108" s="246"/>
      <c r="DC108" s="58">
        <f>INDEX($I$3:$I$19,MATCH(DC106,$E$3:$E$19,0))</f>
        <v>365000000</v>
      </c>
      <c r="DD108" s="19" t="str">
        <f>IF($A$25="mm","Pa","psi")</f>
        <v>Pa</v>
      </c>
      <c r="DE108" s="25" t="str">
        <f>IF(DC63=0,"N/A","EQ")</f>
        <v>N/A</v>
      </c>
      <c r="DG108" s="101"/>
      <c r="DH108" s="246" t="s">
        <v>705</v>
      </c>
      <c r="DI108" s="246"/>
      <c r="DJ108" s="246"/>
      <c r="DK108" s="246"/>
      <c r="DL108" s="246"/>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44" t="s">
        <v>513</v>
      </c>
      <c r="L109" s="244"/>
      <c r="M109" s="245" t="s">
        <v>797</v>
      </c>
      <c r="N109" s="245"/>
      <c r="O109" s="245"/>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46" t="s">
        <v>708</v>
      </c>
      <c r="BV109" s="246"/>
      <c r="BW109" s="246"/>
      <c r="BX109" s="246"/>
      <c r="BY109" s="58">
        <f>INDEX($K$3:$K$19,MATCH(BY106,$E$3:$E$19,0))</f>
        <v>210604999.99999997</v>
      </c>
      <c r="BZ109" s="19" t="str">
        <f>IF($A$25="mm","Pa","psi")</f>
        <v>Pa</v>
      </c>
      <c r="CA109" s="25" t="str">
        <f>IF(BY63=0,"N/A","EQ")</f>
        <v>N/A</v>
      </c>
      <c r="CC109" s="46"/>
      <c r="CD109" s="60"/>
      <c r="CE109" s="246" t="s">
        <v>708</v>
      </c>
      <c r="CF109" s="246"/>
      <c r="CG109" s="246"/>
      <c r="CH109" s="246"/>
      <c r="CI109" s="58">
        <f>INDEX($K$3:$K$19,MATCH(CI106,$E$3:$E$19,0))</f>
        <v>210604999.99999997</v>
      </c>
      <c r="CJ109" s="19" t="str">
        <f>IF($A$25="mm","Pa","psi")</f>
        <v>Pa</v>
      </c>
      <c r="CK109" s="25" t="str">
        <f>IF(CI63=0,"N/A","EQ")</f>
        <v>N/A</v>
      </c>
      <c r="CM109" s="46"/>
      <c r="CN109" s="60"/>
      <c r="CO109" s="246" t="s">
        <v>708</v>
      </c>
      <c r="CP109" s="246"/>
      <c r="CQ109" s="246"/>
      <c r="CR109" s="246"/>
      <c r="CS109" s="58">
        <f>INDEX($K$3:$K$19,MATCH(CS106,$E$3:$E$19,0))</f>
        <v>210604999.99999997</v>
      </c>
      <c r="CT109" s="19" t="str">
        <f>IF($A$25="mm","Pa","psi")</f>
        <v>Pa</v>
      </c>
      <c r="CU109" s="25" t="str">
        <f>IF(CS63=0,"N/A","EQ")</f>
        <v>N/A</v>
      </c>
      <c r="CW109" s="46"/>
      <c r="CX109" s="60"/>
      <c r="CY109" s="246" t="s">
        <v>708</v>
      </c>
      <c r="CZ109" s="246"/>
      <c r="DA109" s="246"/>
      <c r="DB109" s="246"/>
      <c r="DC109" s="58">
        <f>INDEX($K$3:$K$19,MATCH(DC106,$E$3:$E$19,0))</f>
        <v>210604999.99999997</v>
      </c>
      <c r="DD109" s="19" t="str">
        <f>IF($A$25="mm","Pa","psi")</f>
        <v>Pa</v>
      </c>
      <c r="DE109" s="25" t="str">
        <f>IF(DC63=0,"N/A","EQ")</f>
        <v>N/A</v>
      </c>
      <c r="DG109" s="46"/>
      <c r="DH109" s="60"/>
      <c r="DI109" s="246" t="s">
        <v>708</v>
      </c>
      <c r="DJ109" s="246"/>
      <c r="DK109" s="246"/>
      <c r="DL109" s="246"/>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45" t="s">
        <v>799</v>
      </c>
      <c r="M110" s="245"/>
      <c r="N110" s="245"/>
      <c r="O110" s="245"/>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45" t="s">
        <v>800</v>
      </c>
      <c r="M111" s="245"/>
      <c r="N111" s="245"/>
      <c r="O111" s="245"/>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36" t="s">
        <v>736</v>
      </c>
      <c r="BZ111" s="261"/>
      <c r="CA111" s="25" t="str">
        <f>IF(BY63=0,"N/A","EQ")</f>
        <v>N/A</v>
      </c>
      <c r="CC111" s="25"/>
      <c r="CD111" s="25"/>
      <c r="CE111" s="25"/>
      <c r="CF111" s="25"/>
      <c r="CG111" s="25"/>
      <c r="CH111" s="49" t="str">
        <f>IF(CI63=0,"","Mount interface with chassis:")</f>
        <v/>
      </c>
      <c r="CI111" s="236" t="s">
        <v>736</v>
      </c>
      <c r="CJ111" s="261"/>
      <c r="CK111" s="25" t="str">
        <f>IF(CI63=0,"N/A","EQ")</f>
        <v>N/A</v>
      </c>
      <c r="CM111" s="25"/>
      <c r="CN111" s="25"/>
      <c r="CO111" s="25"/>
      <c r="CP111" s="25"/>
      <c r="CQ111" s="25"/>
      <c r="CR111" s="49" t="str">
        <f>IF(CS63=0,"","Mount interface with chassis:")</f>
        <v/>
      </c>
      <c r="CS111" s="236" t="s">
        <v>736</v>
      </c>
      <c r="CT111" s="261"/>
      <c r="CU111" s="25" t="str">
        <f>IF(CS63=0,"N/A","EQ")</f>
        <v>N/A</v>
      </c>
      <c r="CW111" s="25"/>
      <c r="CX111" s="25"/>
      <c r="CY111" s="25"/>
      <c r="CZ111" s="25"/>
      <c r="DA111" s="25"/>
      <c r="DB111" s="49" t="str">
        <f>IF(DC63=0,"","Mount interface with chassis:")</f>
        <v/>
      </c>
      <c r="DC111" s="236" t="s">
        <v>736</v>
      </c>
      <c r="DD111" s="261"/>
      <c r="DE111" s="25" t="str">
        <f>IF(DC63=0,"N/A","EQ")</f>
        <v>N/A</v>
      </c>
      <c r="DG111" s="25"/>
      <c r="DH111" s="25"/>
      <c r="DI111" s="25"/>
      <c r="DJ111" s="25"/>
      <c r="DK111" s="25"/>
      <c r="DL111" s="49" t="str">
        <f>IF(DM63=0,"","Mount interface with chassis:")</f>
        <v/>
      </c>
      <c r="DM111" s="236" t="s">
        <v>736</v>
      </c>
      <c r="DN111" s="261"/>
      <c r="DO111" s="25" t="str">
        <f>IF(DM63=0,"N/A","EQ")</f>
        <v>N/A</v>
      </c>
    </row>
    <row r="112" spans="1:119" ht="15" customHeight="1" x14ac:dyDescent="0.3">
      <c r="A112" s="47"/>
      <c r="B112" s="49"/>
      <c r="C112" s="49"/>
      <c r="D112" s="49"/>
      <c r="E112" s="49"/>
      <c r="F112" s="25"/>
      <c r="G112" s="25"/>
      <c r="I112" s="25"/>
      <c r="K112" s="47" t="s">
        <v>522</v>
      </c>
      <c r="L112" s="246" t="s">
        <v>523</v>
      </c>
      <c r="M112" s="246"/>
      <c r="N112" s="246"/>
      <c r="O112" s="246"/>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46" t="s">
        <v>524</v>
      </c>
      <c r="M113" s="246"/>
      <c r="N113" s="246"/>
      <c r="O113" s="246"/>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45"/>
      <c r="M114" s="245"/>
      <c r="N114" s="245"/>
      <c r="O114" s="245"/>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56" t="s">
        <v>801</v>
      </c>
      <c r="L115" s="256"/>
      <c r="M115" s="256"/>
      <c r="N115" s="256"/>
      <c r="O115" s="256"/>
      <c r="P115" s="256"/>
      <c r="Q115" s="256"/>
      <c r="R115" s="256"/>
      <c r="S115" s="256"/>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62" t="str">
        <f>IF(COUNTIF(S117:S142,"BLANK"),"BLANK",IF(OR(SUMPRODUCT(--ISERROR(S117:S142))&gt;0,COUNTIF(S117:S142,"REJECT")),"REJECT",IF(COUNTIF(S117:S142,"CHECK"),"CHECK","EQ")))</f>
        <v>BLANK</v>
      </c>
      <c r="L116" s="262"/>
      <c r="M116" s="262"/>
      <c r="N116" s="262"/>
      <c r="O116" s="262"/>
      <c r="P116" s="262"/>
      <c r="Q116" s="262"/>
      <c r="R116" s="262"/>
      <c r="S116" s="26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46" t="s">
        <v>802</v>
      </c>
      <c r="L117" s="246"/>
      <c r="M117" s="246"/>
      <c r="N117" s="246"/>
      <c r="O117" s="246"/>
      <c r="P117" s="248"/>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59" t="s">
        <v>804</v>
      </c>
      <c r="M118" s="259"/>
      <c r="N118" s="259"/>
      <c r="O118" s="259"/>
      <c r="P118" s="236" t="s">
        <v>160</v>
      </c>
      <c r="Q118" s="261"/>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46" t="s">
        <v>766</v>
      </c>
      <c r="L120" s="246"/>
      <c r="M120" s="246"/>
      <c r="N120" s="246"/>
      <c r="O120" s="246"/>
      <c r="P120" s="243"/>
      <c r="Q120" s="318"/>
      <c r="R120" s="31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46" t="s">
        <v>767</v>
      </c>
      <c r="L121" s="246"/>
      <c r="M121" s="246"/>
      <c r="N121" s="246"/>
      <c r="O121" s="246"/>
      <c r="P121" s="246"/>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45" t="s">
        <v>769</v>
      </c>
      <c r="L122" s="245"/>
      <c r="M122" s="245"/>
      <c r="N122" s="245"/>
      <c r="O122" s="245"/>
      <c r="P122" s="323"/>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46" t="s">
        <v>772</v>
      </c>
      <c r="L123" s="246"/>
      <c r="M123" s="246"/>
      <c r="N123" s="246"/>
      <c r="O123" s="246"/>
      <c r="P123" s="248"/>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46" t="s">
        <v>773</v>
      </c>
      <c r="L124" s="246"/>
      <c r="M124" s="246"/>
      <c r="N124" s="246"/>
      <c r="O124" s="246"/>
      <c r="P124" s="248"/>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56" t="s">
        <v>775</v>
      </c>
      <c r="L125" s="256"/>
      <c r="M125" s="256"/>
      <c r="N125" s="324" t="s">
        <v>775</v>
      </c>
      <c r="O125" s="256"/>
      <c r="P125" s="325"/>
      <c r="Q125" s="324" t="s">
        <v>775</v>
      </c>
      <c r="R125" s="256"/>
      <c r="S125" s="32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57" t="s">
        <v>791</v>
      </c>
      <c r="P131" s="257"/>
      <c r="Q131" s="258" t="str">
        <f>P118</f>
        <v>Steel</v>
      </c>
      <c r="R131" s="258"/>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46" t="s">
        <v>792</v>
      </c>
      <c r="M132" s="246"/>
      <c r="N132" s="246"/>
      <c r="O132" s="246"/>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46" t="s">
        <v>793</v>
      </c>
      <c r="M133" s="246"/>
      <c r="N133" s="246"/>
      <c r="O133" s="246"/>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46" t="s">
        <v>795</v>
      </c>
      <c r="M134" s="246"/>
      <c r="N134" s="246"/>
      <c r="O134" s="246"/>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46" t="s">
        <v>510</v>
      </c>
      <c r="M135" s="246"/>
      <c r="N135" s="246"/>
      <c r="O135" s="246"/>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46" t="s">
        <v>705</v>
      </c>
      <c r="L136" s="246"/>
      <c r="M136" s="246"/>
      <c r="N136" s="246"/>
      <c r="O136" s="246"/>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46" t="s">
        <v>708</v>
      </c>
      <c r="M137" s="246"/>
      <c r="N137" s="246"/>
      <c r="O137" s="246"/>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44" t="s">
        <v>513</v>
      </c>
      <c r="L138" s="244"/>
      <c r="M138" s="245" t="s">
        <v>797</v>
      </c>
      <c r="N138" s="245"/>
      <c r="O138" s="245"/>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45" t="s">
        <v>799</v>
      </c>
      <c r="M139" s="245"/>
      <c r="N139" s="245"/>
      <c r="O139" s="245"/>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45" t="s">
        <v>800</v>
      </c>
      <c r="M140" s="245"/>
      <c r="N140" s="245"/>
      <c r="O140" s="245"/>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46" t="s">
        <v>523</v>
      </c>
      <c r="M141" s="246"/>
      <c r="N141" s="246"/>
      <c r="O141" s="246"/>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46" t="s">
        <v>524</v>
      </c>
      <c r="M142" s="246"/>
      <c r="N142" s="246"/>
      <c r="O142" s="246"/>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56" t="s">
        <v>806</v>
      </c>
      <c r="L144" s="256"/>
      <c r="M144" s="256"/>
      <c r="N144" s="256"/>
      <c r="O144" s="256"/>
      <c r="P144" s="256"/>
      <c r="Q144" s="256"/>
      <c r="R144" s="256"/>
      <c r="S144" s="256"/>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62" t="str">
        <f>IF(COUNTIF(S146:S171,"BLANK"),"BLANK",IF(OR(SUMPRODUCT(--ISERROR(S146:S171))&gt;0,COUNTIF(S146:S171,"REJECT")),"REJECT",IF(COUNTIF(S146:S171,"CHECK"),"CHECK","EQ")))</f>
        <v>BLANK</v>
      </c>
      <c r="L145" s="262"/>
      <c r="M145" s="262"/>
      <c r="N145" s="262"/>
      <c r="O145" s="262"/>
      <c r="P145" s="262"/>
      <c r="Q145" s="262"/>
      <c r="R145" s="262"/>
      <c r="S145" s="26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46" t="s">
        <v>807</v>
      </c>
      <c r="L146" s="246"/>
      <c r="M146" s="246"/>
      <c r="N146" s="246"/>
      <c r="O146" s="246"/>
      <c r="P146" s="248"/>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59" t="s">
        <v>809</v>
      </c>
      <c r="M147" s="259"/>
      <c r="N147" s="259"/>
      <c r="O147" s="259"/>
      <c r="P147" s="236" t="s">
        <v>160</v>
      </c>
      <c r="Q147" s="261"/>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46" t="s">
        <v>766</v>
      </c>
      <c r="L149" s="246"/>
      <c r="M149" s="246"/>
      <c r="N149" s="246"/>
      <c r="O149" s="246"/>
      <c r="P149" s="243"/>
      <c r="Q149" s="318"/>
      <c r="R149" s="31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46" t="s">
        <v>767</v>
      </c>
      <c r="L150" s="246"/>
      <c r="M150" s="246"/>
      <c r="N150" s="246"/>
      <c r="O150" s="246"/>
      <c r="P150" s="246"/>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45" t="s">
        <v>769</v>
      </c>
      <c r="L151" s="245"/>
      <c r="M151" s="245"/>
      <c r="N151" s="245"/>
      <c r="O151" s="245"/>
      <c r="P151" s="323"/>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46" t="s">
        <v>772</v>
      </c>
      <c r="L152" s="246"/>
      <c r="M152" s="246"/>
      <c r="N152" s="246"/>
      <c r="O152" s="246"/>
      <c r="P152" s="248"/>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46" t="s">
        <v>773</v>
      </c>
      <c r="L153" s="246"/>
      <c r="M153" s="246"/>
      <c r="N153" s="246"/>
      <c r="O153" s="246"/>
      <c r="P153" s="248"/>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56" t="s">
        <v>775</v>
      </c>
      <c r="L154" s="256"/>
      <c r="M154" s="256"/>
      <c r="N154" s="324" t="s">
        <v>775</v>
      </c>
      <c r="O154" s="256"/>
      <c r="P154" s="325"/>
      <c r="Q154" s="324" t="s">
        <v>775</v>
      </c>
      <c r="R154" s="256"/>
      <c r="S154" s="32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57" t="s">
        <v>791</v>
      </c>
      <c r="P160" s="257"/>
      <c r="Q160" s="258" t="str">
        <f>P147</f>
        <v>Steel</v>
      </c>
      <c r="R160" s="258"/>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46" t="s">
        <v>792</v>
      </c>
      <c r="M161" s="246"/>
      <c r="N161" s="246"/>
      <c r="O161" s="246"/>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46" t="s">
        <v>793</v>
      </c>
      <c r="M162" s="246"/>
      <c r="N162" s="246"/>
      <c r="O162" s="246"/>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46" t="s">
        <v>795</v>
      </c>
      <c r="M163" s="246"/>
      <c r="N163" s="246"/>
      <c r="O163" s="246"/>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46" t="s">
        <v>510</v>
      </c>
      <c r="M164" s="246"/>
      <c r="N164" s="246"/>
      <c r="O164" s="246"/>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46" t="s">
        <v>705</v>
      </c>
      <c r="L165" s="246"/>
      <c r="M165" s="246"/>
      <c r="N165" s="246"/>
      <c r="O165" s="246"/>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46" t="s">
        <v>708</v>
      </c>
      <c r="M166" s="246"/>
      <c r="N166" s="246"/>
      <c r="O166" s="246"/>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44" t="s">
        <v>513</v>
      </c>
      <c r="L167" s="244"/>
      <c r="M167" s="245" t="s">
        <v>797</v>
      </c>
      <c r="N167" s="245"/>
      <c r="O167" s="245"/>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45" t="s">
        <v>799</v>
      </c>
      <c r="M168" s="245"/>
      <c r="N168" s="245"/>
      <c r="O168" s="245"/>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45" t="s">
        <v>800</v>
      </c>
      <c r="M169" s="245"/>
      <c r="N169" s="245"/>
      <c r="O169" s="245"/>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46" t="s">
        <v>523</v>
      </c>
      <c r="M170" s="246"/>
      <c r="N170" s="246"/>
      <c r="O170" s="246"/>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46" t="s">
        <v>524</v>
      </c>
      <c r="M171" s="246"/>
      <c r="N171" s="246"/>
      <c r="O171" s="246"/>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56" t="s">
        <v>810</v>
      </c>
      <c r="L173" s="256"/>
      <c r="M173" s="256"/>
      <c r="N173" s="256"/>
      <c r="O173" s="256"/>
      <c r="P173" s="256"/>
      <c r="Q173" s="256"/>
      <c r="R173" s="256"/>
      <c r="S173" s="256"/>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62" t="str">
        <f>IF(COUNTIF(S175:S201,"BLANK"),"BLANK",IF(OR(SUMPRODUCT(--ISERROR(S175:S201))&gt;0,COUNTIF(S175:S201,"REJECT")),"REJECT",IF(COUNTIF(S175:S201,"CHECK"),"CHECK","EQ")))</f>
        <v>BLANK</v>
      </c>
      <c r="L174" s="262"/>
      <c r="M174" s="262"/>
      <c r="N174" s="262"/>
      <c r="O174" s="262"/>
      <c r="P174" s="262"/>
      <c r="Q174" s="262"/>
      <c r="R174" s="262"/>
      <c r="S174" s="26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46" t="s">
        <v>811</v>
      </c>
      <c r="L175" s="246"/>
      <c r="M175" s="246"/>
      <c r="N175" s="246"/>
      <c r="O175" s="246"/>
      <c r="P175" s="248"/>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46" t="s">
        <v>812</v>
      </c>
      <c r="L176" s="246"/>
      <c r="M176" s="246"/>
      <c r="N176" s="246"/>
      <c r="O176" s="246"/>
      <c r="P176" s="248"/>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26" t="s">
        <v>814</v>
      </c>
      <c r="M177" s="326"/>
      <c r="N177" s="326"/>
      <c r="O177" s="326"/>
      <c r="P177" s="236" t="s">
        <v>160</v>
      </c>
      <c r="Q177" s="261"/>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46" t="s">
        <v>766</v>
      </c>
      <c r="L179" s="246"/>
      <c r="M179" s="246"/>
      <c r="N179" s="246"/>
      <c r="O179" s="246"/>
      <c r="P179" s="243"/>
      <c r="Q179" s="318"/>
      <c r="R179" s="31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46" t="s">
        <v>767</v>
      </c>
      <c r="L180" s="246"/>
      <c r="M180" s="246"/>
      <c r="N180" s="246"/>
      <c r="O180" s="246"/>
      <c r="P180" s="246"/>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45" t="s">
        <v>769</v>
      </c>
      <c r="L181" s="245"/>
      <c r="M181" s="245"/>
      <c r="N181" s="245"/>
      <c r="O181" s="245"/>
      <c r="P181" s="323"/>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46" t="s">
        <v>772</v>
      </c>
      <c r="L182" s="246"/>
      <c r="M182" s="246"/>
      <c r="N182" s="246"/>
      <c r="O182" s="246"/>
      <c r="P182" s="248"/>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46" t="s">
        <v>773</v>
      </c>
      <c r="L183" s="246"/>
      <c r="M183" s="246"/>
      <c r="N183" s="246"/>
      <c r="O183" s="246"/>
      <c r="P183" s="248"/>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56" t="s">
        <v>775</v>
      </c>
      <c r="L184" s="256"/>
      <c r="M184" s="256"/>
      <c r="N184" s="324" t="s">
        <v>775</v>
      </c>
      <c r="O184" s="256"/>
      <c r="P184" s="325"/>
      <c r="Q184" s="324" t="s">
        <v>775</v>
      </c>
      <c r="R184" s="256"/>
      <c r="S184" s="32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57" t="s">
        <v>791</v>
      </c>
      <c r="P190" s="257"/>
      <c r="Q190" s="258" t="str">
        <f>P177</f>
        <v>Steel</v>
      </c>
      <c r="R190" s="258"/>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46" t="s">
        <v>792</v>
      </c>
      <c r="M191" s="246"/>
      <c r="N191" s="246"/>
      <c r="O191" s="246"/>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46" t="s">
        <v>793</v>
      </c>
      <c r="M192" s="246"/>
      <c r="N192" s="246"/>
      <c r="O192" s="246"/>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46" t="s">
        <v>795</v>
      </c>
      <c r="M193" s="246"/>
      <c r="N193" s="246"/>
      <c r="O193" s="246"/>
      <c r="P193" s="58">
        <f>IF($A$25="mm",1/1000,1)*Q176*P191^3/12</f>
        <v>0</v>
      </c>
      <c r="Q193" s="58">
        <f>R189</f>
        <v>0</v>
      </c>
      <c r="R193" s="19" t="str">
        <f>IF($A$25="mm","m^4","in^4")</f>
        <v>m^4</v>
      </c>
      <c r="S193" s="25" t="str">
        <f>IF(NOT(P177="Other"),"N/A","EQ")</f>
        <v>N/A</v>
      </c>
    </row>
    <row r="194" spans="11:20" x14ac:dyDescent="0.3">
      <c r="K194" s="47" t="s">
        <v>534</v>
      </c>
      <c r="L194" s="246" t="s">
        <v>510</v>
      </c>
      <c r="M194" s="246"/>
      <c r="N194" s="246"/>
      <c r="O194" s="246"/>
      <c r="P194" s="58">
        <f>$G$3</f>
        <v>200000000000</v>
      </c>
      <c r="Q194" s="58" t="e">
        <f>INDEX($G$3:$G$19,MATCH(Q179,$E$3:$E$19,0))</f>
        <v>#N/A</v>
      </c>
      <c r="R194" s="19" t="str">
        <f>IF($A$25="mm","Pa","psi")</f>
        <v>Pa</v>
      </c>
      <c r="S194" s="25" t="str">
        <f>IF(NOT(P177="Other"),"N/A",IF(Q194=0,"BLANK","EQ"))</f>
        <v>N/A</v>
      </c>
    </row>
    <row r="195" spans="11:20" x14ac:dyDescent="0.3">
      <c r="K195" s="246" t="s">
        <v>705</v>
      </c>
      <c r="L195" s="246"/>
      <c r="M195" s="246"/>
      <c r="N195" s="246"/>
      <c r="O195" s="246"/>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46" t="s">
        <v>708</v>
      </c>
      <c r="M196" s="246"/>
      <c r="N196" s="246"/>
      <c r="O196" s="246"/>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44" t="s">
        <v>513</v>
      </c>
      <c r="L197" s="244"/>
      <c r="M197" s="245" t="s">
        <v>797</v>
      </c>
      <c r="N197" s="245"/>
      <c r="O197" s="245"/>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45" t="s">
        <v>799</v>
      </c>
      <c r="M198" s="245"/>
      <c r="N198" s="245"/>
      <c r="O198" s="245"/>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45" t="s">
        <v>800</v>
      </c>
      <c r="M199" s="245"/>
      <c r="N199" s="245"/>
      <c r="O199" s="245"/>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46" t="s">
        <v>523</v>
      </c>
      <c r="M200" s="246"/>
      <c r="N200" s="246"/>
      <c r="O200" s="246"/>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46" t="s">
        <v>524</v>
      </c>
      <c r="M201" s="246"/>
      <c r="N201" s="246"/>
      <c r="O201" s="246"/>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L199:O199"/>
    <mergeCell ref="L200:O200"/>
    <mergeCell ref="L201:O201"/>
    <mergeCell ref="L194:O194"/>
    <mergeCell ref="K195:O195"/>
    <mergeCell ref="L196:O196"/>
    <mergeCell ref="K197:L197"/>
    <mergeCell ref="M197:O197"/>
    <mergeCell ref="L198:O198"/>
    <mergeCell ref="Q184:S184"/>
    <mergeCell ref="O190:P190"/>
    <mergeCell ref="Q190:R190"/>
    <mergeCell ref="L191:O191"/>
    <mergeCell ref="L192:O192"/>
    <mergeCell ref="L193:O193"/>
    <mergeCell ref="K180:P180"/>
    <mergeCell ref="K181:P181"/>
    <mergeCell ref="K182:P182"/>
    <mergeCell ref="K183:P183"/>
    <mergeCell ref="K184:M184"/>
    <mergeCell ref="N184:P184"/>
    <mergeCell ref="K175:P175"/>
    <mergeCell ref="K176:P176"/>
    <mergeCell ref="L177:O177"/>
    <mergeCell ref="P177:Q177"/>
    <mergeCell ref="K179:P179"/>
    <mergeCell ref="Q179:R179"/>
    <mergeCell ref="L168:O168"/>
    <mergeCell ref="L169:O169"/>
    <mergeCell ref="L170:O170"/>
    <mergeCell ref="L171:O171"/>
    <mergeCell ref="K173:S173"/>
    <mergeCell ref="K174:S174"/>
    <mergeCell ref="L162:O162"/>
    <mergeCell ref="L163:O163"/>
    <mergeCell ref="L164:O164"/>
    <mergeCell ref="K165:O165"/>
    <mergeCell ref="L166:O166"/>
    <mergeCell ref="K167:L167"/>
    <mergeCell ref="M167:O167"/>
    <mergeCell ref="K154:M154"/>
    <mergeCell ref="N154:P154"/>
    <mergeCell ref="Q154:S154"/>
    <mergeCell ref="O160:P160"/>
    <mergeCell ref="Q160:R160"/>
    <mergeCell ref="L161:O161"/>
    <mergeCell ref="K149:P149"/>
    <mergeCell ref="Q149:R149"/>
    <mergeCell ref="K150:P150"/>
    <mergeCell ref="K151:P151"/>
    <mergeCell ref="K152:P152"/>
    <mergeCell ref="K153:P153"/>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O131:P131"/>
    <mergeCell ref="Q131:R131"/>
    <mergeCell ref="L132:O132"/>
    <mergeCell ref="L133:O133"/>
    <mergeCell ref="L134:O134"/>
    <mergeCell ref="L135:O135"/>
    <mergeCell ref="K122:P122"/>
    <mergeCell ref="K123:P123"/>
    <mergeCell ref="K124:P124"/>
    <mergeCell ref="K125:M125"/>
    <mergeCell ref="N125:P125"/>
    <mergeCell ref="Q125:S125"/>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V97:Z97"/>
    <mergeCell ref="AF97:AJ97"/>
    <mergeCell ref="AP97:AT97"/>
    <mergeCell ref="AZ97:BD97"/>
    <mergeCell ref="BJ97:BN97"/>
    <mergeCell ref="K96:M96"/>
    <mergeCell ref="N96:P96"/>
    <mergeCell ref="Q96:S96"/>
    <mergeCell ref="W96:Z96"/>
    <mergeCell ref="AG96:AJ96"/>
    <mergeCell ref="AQ96:AT96"/>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U83:AC83"/>
    <mergeCell ref="AE83:AM83"/>
    <mergeCell ref="AO83:AW83"/>
    <mergeCell ref="AY83:BG83"/>
    <mergeCell ref="BI83:BQ83"/>
    <mergeCell ref="K85:S85"/>
    <mergeCell ref="BY81:BZ81"/>
    <mergeCell ref="CI81:CJ81"/>
    <mergeCell ref="CS81:CT81"/>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K71:S71"/>
    <mergeCell ref="K74:S74"/>
    <mergeCell ref="K75:S75"/>
    <mergeCell ref="K76:S76"/>
    <mergeCell ref="Q77:R77"/>
    <mergeCell ref="A78:I78"/>
    <mergeCell ref="Q78:R78"/>
    <mergeCell ref="K69:R69"/>
    <mergeCell ref="W69:Z69"/>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W59:DE59"/>
    <mergeCell ref="DG59:DO59"/>
    <mergeCell ref="U60:AC60"/>
    <mergeCell ref="AE60:AM60"/>
    <mergeCell ref="AO60:AW60"/>
    <mergeCell ref="AY60:BG60"/>
    <mergeCell ref="BI60:BQ60"/>
    <mergeCell ref="BS60:CA60"/>
    <mergeCell ref="CC60:CK60"/>
    <mergeCell ref="CM60:CU60"/>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L49:R50"/>
    <mergeCell ref="BJ49:BP50"/>
    <mergeCell ref="DH49:DN50"/>
    <mergeCell ref="U53:AC53"/>
    <mergeCell ref="AE53:AM53"/>
    <mergeCell ref="AO53:AW53"/>
    <mergeCell ref="AY53:BG53"/>
    <mergeCell ref="BI53:BQ53"/>
    <mergeCell ref="BS53:CA53"/>
    <mergeCell ref="CC53:CK53"/>
    <mergeCell ref="DG39:DO40"/>
    <mergeCell ref="AO41:AW42"/>
    <mergeCell ref="CM41:CU42"/>
    <mergeCell ref="L47:R48"/>
    <mergeCell ref="BJ47:BP48"/>
    <mergeCell ref="DH47:DN48"/>
    <mergeCell ref="AY39:BG40"/>
    <mergeCell ref="BI39:BQ40"/>
    <mergeCell ref="BS39:CA40"/>
    <mergeCell ref="CC39:CK40"/>
    <mergeCell ref="CM39:CU40"/>
    <mergeCell ref="CW39:DE40"/>
    <mergeCell ref="A25:C26"/>
    <mergeCell ref="U25:V25"/>
    <mergeCell ref="U33:W33"/>
    <mergeCell ref="BS33:BU33"/>
    <mergeCell ref="A39:I40"/>
    <mergeCell ref="K39:S40"/>
    <mergeCell ref="U39:AC40"/>
    <mergeCell ref="AE39:AM40"/>
    <mergeCell ref="AO39:AW40"/>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E15:F15"/>
    <mergeCell ref="G15:H15"/>
    <mergeCell ref="I15:J15"/>
    <mergeCell ref="K15:L15"/>
    <mergeCell ref="AY15:BK16"/>
    <mergeCell ref="BM15:BY16"/>
    <mergeCell ref="E16:F16"/>
    <mergeCell ref="G16:H16"/>
    <mergeCell ref="I16:J16"/>
    <mergeCell ref="K16:L16"/>
    <mergeCell ref="E13:F13"/>
    <mergeCell ref="G13:H13"/>
    <mergeCell ref="I13:J13"/>
    <mergeCell ref="K13:L13"/>
    <mergeCell ref="BA13:BI14"/>
    <mergeCell ref="BO13:BW14"/>
    <mergeCell ref="E14:F14"/>
    <mergeCell ref="G14:H14"/>
    <mergeCell ref="I14:J14"/>
    <mergeCell ref="K14:L14"/>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9:F9"/>
    <mergeCell ref="G9:H9"/>
    <mergeCell ref="I9:J9"/>
    <mergeCell ref="K9:L9"/>
    <mergeCell ref="AY9:BK10"/>
    <mergeCell ref="BM9:BY10"/>
    <mergeCell ref="G7:H7"/>
    <mergeCell ref="I7:J7"/>
    <mergeCell ref="K7:L7"/>
    <mergeCell ref="E8:F8"/>
    <mergeCell ref="G8:H8"/>
    <mergeCell ref="I8:J8"/>
    <mergeCell ref="K8:L8"/>
    <mergeCell ref="A5:C7"/>
    <mergeCell ref="E5:F5"/>
    <mergeCell ref="G5:H5"/>
    <mergeCell ref="I5:J5"/>
    <mergeCell ref="K5:L5"/>
    <mergeCell ref="E6:F6"/>
    <mergeCell ref="G6:H6"/>
    <mergeCell ref="I6:J6"/>
    <mergeCell ref="K6:L6"/>
    <mergeCell ref="E7:F7"/>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40" t="s">
        <v>218</v>
      </c>
      <c r="AI1" s="341"/>
      <c r="AJ1" s="341"/>
      <c r="AK1" s="342"/>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43"/>
      <c r="AI2" s="344"/>
      <c r="AJ2" s="344"/>
      <c r="AK2" s="345"/>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43"/>
      <c r="AI3" s="344"/>
      <c r="AJ3" s="344"/>
      <c r="AK3" s="345"/>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43"/>
      <c r="AI4" s="344"/>
      <c r="AJ4" s="344"/>
      <c r="AK4" s="345"/>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43"/>
      <c r="AI5" s="344"/>
      <c r="AJ5" s="344"/>
      <c r="AK5" s="345"/>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43"/>
      <c r="AI6" s="344"/>
      <c r="AJ6" s="344"/>
      <c r="AK6" s="345"/>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69"/>
      <c r="E7" s="269"/>
      <c r="F7" s="269"/>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43"/>
      <c r="AI7" s="344"/>
      <c r="AJ7" s="344"/>
      <c r="AK7" s="345"/>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46" t="s">
        <v>227</v>
      </c>
      <c r="E13" s="346"/>
      <c r="F13" s="346"/>
      <c r="G13" s="346"/>
      <c r="H13" s="346"/>
      <c r="I13" s="346"/>
      <c r="J13" s="346"/>
      <c r="K13" s="346"/>
      <c r="L13" s="346"/>
      <c r="M13" s="20"/>
      <c r="N13" s="346" t="s">
        <v>228</v>
      </c>
      <c r="O13" s="346"/>
      <c r="P13" s="346"/>
      <c r="Q13" s="346"/>
      <c r="R13" s="346"/>
      <c r="S13" s="346"/>
      <c r="T13" s="346"/>
      <c r="U13" s="346"/>
      <c r="V13" s="346"/>
      <c r="W13" s="20"/>
      <c r="X13" s="270" t="s">
        <v>229</v>
      </c>
      <c r="Y13" s="270"/>
      <c r="Z13" s="270"/>
      <c r="AA13" s="270"/>
      <c r="AB13" s="270"/>
      <c r="AC13" s="270"/>
      <c r="AD13" s="270"/>
      <c r="AE13" s="270"/>
      <c r="AF13" s="270"/>
      <c r="AG13" s="20"/>
      <c r="AH13" s="34"/>
      <c r="AI13" s="35"/>
      <c r="AJ13" s="35"/>
      <c r="AK13" s="36"/>
      <c r="AL13" s="20"/>
      <c r="AM13" s="270" t="s">
        <v>230</v>
      </c>
      <c r="AN13" s="270"/>
      <c r="AO13" s="270"/>
      <c r="AP13" s="270"/>
      <c r="AQ13" s="270"/>
      <c r="AR13" s="270"/>
      <c r="AS13" s="270"/>
      <c r="AT13" s="270"/>
      <c r="AU13" s="270"/>
      <c r="AV13" s="20"/>
      <c r="AW13" s="270" t="s">
        <v>231</v>
      </c>
      <c r="AX13" s="270"/>
      <c r="AY13" s="270"/>
      <c r="AZ13" s="270"/>
      <c r="BA13" s="270"/>
      <c r="BB13" s="270"/>
      <c r="BC13" s="270"/>
      <c r="BD13" s="270"/>
      <c r="BE13" s="270"/>
      <c r="BF13" s="20"/>
      <c r="BG13" s="270" t="s">
        <v>232</v>
      </c>
      <c r="BH13" s="270"/>
      <c r="BI13" s="270"/>
      <c r="BJ13" s="270"/>
      <c r="BK13" s="270"/>
      <c r="BL13" s="270"/>
      <c r="BM13" s="270"/>
      <c r="BN13" s="270"/>
      <c r="BO13" s="270"/>
      <c r="BP13" s="20"/>
    </row>
    <row r="14" spans="1:137" ht="15.75" customHeight="1" x14ac:dyDescent="0.3">
      <c r="A14" s="314">
        <f>'F.3.1-4 Tube Chassis'!$M$1</f>
        <v>2020</v>
      </c>
      <c r="B14" s="314"/>
      <c r="C14" s="314"/>
      <c r="D14" s="346"/>
      <c r="E14" s="346"/>
      <c r="F14" s="346"/>
      <c r="G14" s="346"/>
      <c r="H14" s="346"/>
      <c r="I14" s="346"/>
      <c r="J14" s="346"/>
      <c r="K14" s="346"/>
      <c r="L14" s="346"/>
      <c r="M14" s="20"/>
      <c r="N14" s="346"/>
      <c r="O14" s="346"/>
      <c r="P14" s="346"/>
      <c r="Q14" s="346"/>
      <c r="R14" s="346"/>
      <c r="S14" s="346"/>
      <c r="T14" s="346"/>
      <c r="U14" s="346"/>
      <c r="V14" s="346"/>
      <c r="W14" s="20"/>
      <c r="X14" s="270"/>
      <c r="Y14" s="270"/>
      <c r="Z14" s="270"/>
      <c r="AA14" s="270"/>
      <c r="AB14" s="270"/>
      <c r="AC14" s="270"/>
      <c r="AD14" s="270"/>
      <c r="AE14" s="270"/>
      <c r="AF14" s="270"/>
      <c r="AG14" s="20"/>
      <c r="AH14" s="34"/>
      <c r="AI14" s="35"/>
      <c r="AJ14" s="35"/>
      <c r="AK14" s="36"/>
      <c r="AL14" s="20"/>
      <c r="AM14" s="270"/>
      <c r="AN14" s="270"/>
      <c r="AO14" s="270"/>
      <c r="AP14" s="270"/>
      <c r="AQ14" s="270"/>
      <c r="AR14" s="270"/>
      <c r="AS14" s="270"/>
      <c r="AT14" s="270"/>
      <c r="AU14" s="270"/>
      <c r="AV14" s="20"/>
      <c r="AW14" s="270"/>
      <c r="AX14" s="270"/>
      <c r="AY14" s="270"/>
      <c r="AZ14" s="270"/>
      <c r="BA14" s="270"/>
      <c r="BB14" s="270"/>
      <c r="BC14" s="270"/>
      <c r="BD14" s="270"/>
      <c r="BE14" s="270"/>
      <c r="BF14" s="20"/>
      <c r="BG14" s="270"/>
      <c r="BH14" s="270"/>
      <c r="BI14" s="270"/>
      <c r="BJ14" s="270"/>
      <c r="BK14" s="270"/>
      <c r="BL14" s="270"/>
      <c r="BM14" s="270"/>
      <c r="BN14" s="270"/>
      <c r="BO14" s="270"/>
      <c r="BP14" s="20"/>
    </row>
    <row r="15" spans="1:137" ht="15.75" customHeight="1" x14ac:dyDescent="0.3">
      <c r="A15" s="315">
        <f>'F.3.1-4 Tube Chassis'!$C$1</f>
        <v>0</v>
      </c>
      <c r="B15" s="315"/>
      <c r="C15" s="315"/>
      <c r="D15" s="346"/>
      <c r="E15" s="346"/>
      <c r="F15" s="346"/>
      <c r="G15" s="346"/>
      <c r="H15" s="346"/>
      <c r="I15" s="346"/>
      <c r="J15" s="346"/>
      <c r="K15" s="346"/>
      <c r="L15" s="346"/>
      <c r="M15" s="20"/>
      <c r="N15" s="346"/>
      <c r="O15" s="346"/>
      <c r="P15" s="346"/>
      <c r="Q15" s="346"/>
      <c r="R15" s="346"/>
      <c r="S15" s="346"/>
      <c r="T15" s="346"/>
      <c r="U15" s="346"/>
      <c r="V15" s="346"/>
      <c r="W15" s="20"/>
      <c r="X15" s="270"/>
      <c r="Y15" s="270"/>
      <c r="Z15" s="270"/>
      <c r="AA15" s="270"/>
      <c r="AB15" s="270"/>
      <c r="AC15" s="270"/>
      <c r="AD15" s="270"/>
      <c r="AE15" s="270"/>
      <c r="AF15" s="270"/>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3">
        <f>'F.3.1-4 Tube Chassis'!$C$2</f>
        <v>0</v>
      </c>
      <c r="B16" s="313"/>
      <c r="C16" s="313"/>
      <c r="D16" s="346"/>
      <c r="E16" s="346"/>
      <c r="F16" s="346"/>
      <c r="G16" s="346"/>
      <c r="H16" s="346"/>
      <c r="I16" s="346"/>
      <c r="J16" s="346"/>
      <c r="K16" s="346"/>
      <c r="L16" s="346"/>
      <c r="M16" s="20"/>
      <c r="N16" s="346"/>
      <c r="O16" s="346"/>
      <c r="P16" s="346"/>
      <c r="Q16" s="346"/>
      <c r="R16" s="346"/>
      <c r="S16" s="346"/>
      <c r="T16" s="346"/>
      <c r="U16" s="346"/>
      <c r="V16" s="346"/>
      <c r="W16" s="20"/>
      <c r="X16" s="270"/>
      <c r="Y16" s="270"/>
      <c r="Z16" s="270"/>
      <c r="AA16" s="270"/>
      <c r="AB16" s="270"/>
      <c r="AC16" s="270"/>
      <c r="AD16" s="270"/>
      <c r="AE16" s="270"/>
      <c r="AF16" s="270"/>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46"/>
      <c r="E17" s="346"/>
      <c r="F17" s="346"/>
      <c r="G17" s="346"/>
      <c r="H17" s="346"/>
      <c r="I17" s="346"/>
      <c r="J17" s="346"/>
      <c r="K17" s="346"/>
      <c r="L17" s="346"/>
      <c r="M17" s="20"/>
      <c r="N17" s="346"/>
      <c r="O17" s="346"/>
      <c r="P17" s="346"/>
      <c r="Q17" s="346"/>
      <c r="R17" s="346"/>
      <c r="S17" s="346"/>
      <c r="T17" s="346"/>
      <c r="U17" s="346"/>
      <c r="V17" s="346"/>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46"/>
      <c r="E18" s="346"/>
      <c r="F18" s="346"/>
      <c r="G18" s="346"/>
      <c r="H18" s="346"/>
      <c r="I18" s="346"/>
      <c r="J18" s="346"/>
      <c r="K18" s="346"/>
      <c r="L18" s="346"/>
      <c r="M18" s="20"/>
      <c r="N18" s="346"/>
      <c r="O18" s="346"/>
      <c r="P18" s="346"/>
      <c r="Q18" s="346"/>
      <c r="R18" s="346"/>
      <c r="S18" s="346"/>
      <c r="T18" s="346"/>
      <c r="U18" s="346"/>
      <c r="V18" s="346"/>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46"/>
      <c r="E19" s="346"/>
      <c r="F19" s="346"/>
      <c r="G19" s="346"/>
      <c r="H19" s="346"/>
      <c r="I19" s="346"/>
      <c r="J19" s="346"/>
      <c r="K19" s="346"/>
      <c r="L19" s="346"/>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46"/>
      <c r="E20" s="346"/>
      <c r="F20" s="346"/>
      <c r="G20" s="346"/>
      <c r="H20" s="346"/>
      <c r="I20" s="346"/>
      <c r="J20" s="346"/>
      <c r="K20" s="346"/>
      <c r="L20" s="346"/>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35" t="str">
        <f>'F.3.1-4 Tube Chassis'!$D$25</f>
        <v>mm</v>
      </c>
      <c r="B21" s="235"/>
      <c r="C21" s="235"/>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6"/>
      <c r="AY21" s="316"/>
      <c r="AZ21" s="316"/>
      <c r="BA21" s="316"/>
      <c r="BB21" s="316"/>
      <c r="BC21" s="316"/>
      <c r="BD21" s="316"/>
      <c r="BE21" s="27"/>
      <c r="BF21" s="20"/>
      <c r="BG21" s="27"/>
      <c r="BH21" s="316"/>
      <c r="BI21" s="316"/>
      <c r="BJ21" s="316"/>
      <c r="BK21" s="316"/>
      <c r="BL21" s="316"/>
      <c r="BM21" s="316"/>
      <c r="BN21" s="316"/>
      <c r="BO21" s="27"/>
      <c r="BP21" s="20"/>
    </row>
    <row r="22" spans="1:75" ht="15.75" customHeight="1" x14ac:dyDescent="0.3">
      <c r="A22" s="235"/>
      <c r="B22" s="235"/>
      <c r="C22" s="235"/>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6"/>
      <c r="AY22" s="316"/>
      <c r="AZ22" s="316"/>
      <c r="BA22" s="316"/>
      <c r="BB22" s="316"/>
      <c r="BC22" s="316"/>
      <c r="BD22" s="316"/>
      <c r="BE22" s="27"/>
      <c r="BF22" s="23"/>
      <c r="BG22" s="27"/>
      <c r="BH22" s="316"/>
      <c r="BI22" s="316"/>
      <c r="BJ22" s="316"/>
      <c r="BK22" s="316"/>
      <c r="BL22" s="316"/>
      <c r="BM22" s="316"/>
      <c r="BN22" s="316"/>
      <c r="BO22" s="27"/>
      <c r="BP22" s="23"/>
    </row>
    <row r="23" spans="1:75" ht="15.75" customHeight="1" x14ac:dyDescent="0.3">
      <c r="A23" s="297" t="str">
        <f>IF(COUNTIF(D30:BH31,"BLANK"),"BLANK",
IF(COUNTIF(D30:BH31,"REJECT"),"REJECT",
IF(COUNTIF(D30:BH31,"CHECK"),"CHECK","EQ")))</f>
        <v>BLANK</v>
      </c>
      <c r="B23" s="297"/>
      <c r="C23" s="297"/>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6"/>
      <c r="AY23" s="316"/>
      <c r="AZ23" s="316"/>
      <c r="BA23" s="316"/>
      <c r="BB23" s="316"/>
      <c r="BC23" s="316"/>
      <c r="BD23" s="316"/>
      <c r="BE23" s="27"/>
      <c r="BF23" s="23"/>
      <c r="BG23" s="27"/>
      <c r="BH23" s="316"/>
      <c r="BI23" s="316"/>
      <c r="BJ23" s="316"/>
      <c r="BK23" s="316"/>
      <c r="BL23" s="316"/>
      <c r="BM23" s="316"/>
      <c r="BN23" s="316"/>
      <c r="BO23" s="27"/>
      <c r="BP23" s="23"/>
      <c r="BW23" s="41"/>
    </row>
    <row r="24" spans="1:75" ht="15.75" customHeight="1" x14ac:dyDescent="0.3">
      <c r="A24" s="297"/>
      <c r="B24" s="297"/>
      <c r="C24" s="297"/>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6"/>
      <c r="AY24" s="316"/>
      <c r="AZ24" s="316"/>
      <c r="BA24" s="316"/>
      <c r="BB24" s="316"/>
      <c r="BC24" s="316"/>
      <c r="BD24" s="316"/>
      <c r="BE24" s="27"/>
      <c r="BF24" s="42"/>
      <c r="BG24" s="27"/>
      <c r="BH24" s="316"/>
      <c r="BI24" s="316"/>
      <c r="BJ24" s="316"/>
      <c r="BK24" s="316"/>
      <c r="BL24" s="316"/>
      <c r="BM24" s="316"/>
      <c r="BN24" s="316"/>
      <c r="BO24" s="27"/>
      <c r="BP24" s="42"/>
      <c r="BW24" s="41"/>
    </row>
    <row r="25" spans="1:75" ht="15.75" customHeight="1" x14ac:dyDescent="0.3">
      <c r="A25" s="297"/>
      <c r="B25" s="297"/>
      <c r="C25" s="297"/>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97"/>
      <c r="B26" s="297"/>
      <c r="C26" s="297"/>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97"/>
      <c r="B27" s="297"/>
      <c r="C27" s="297"/>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97"/>
      <c r="B28" s="297"/>
      <c r="C28" s="297"/>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97"/>
      <c r="B29" s="297"/>
      <c r="C29" s="297"/>
      <c r="D29" s="272" t="s">
        <v>233</v>
      </c>
      <c r="E29" s="272"/>
      <c r="F29" s="272"/>
      <c r="G29" s="272"/>
      <c r="H29" s="272"/>
      <c r="I29" s="272"/>
      <c r="J29" s="272"/>
      <c r="K29" s="272"/>
      <c r="L29" s="272"/>
      <c r="M29" s="23"/>
      <c r="N29" s="272" t="s">
        <v>233</v>
      </c>
      <c r="O29" s="272"/>
      <c r="P29" s="272"/>
      <c r="Q29" s="272"/>
      <c r="R29" s="272"/>
      <c r="S29" s="272"/>
      <c r="T29" s="272"/>
      <c r="U29" s="272"/>
      <c r="V29" s="272"/>
      <c r="W29" s="23"/>
      <c r="X29" s="272" t="s">
        <v>233</v>
      </c>
      <c r="Y29" s="272"/>
      <c r="Z29" s="272"/>
      <c r="AA29" s="272"/>
      <c r="AB29" s="272"/>
      <c r="AC29" s="272"/>
      <c r="AD29" s="272"/>
      <c r="AE29" s="272"/>
      <c r="AF29" s="272"/>
      <c r="AG29" s="23"/>
      <c r="AL29" s="23"/>
      <c r="AM29" s="272" t="s">
        <v>233</v>
      </c>
      <c r="AN29" s="272"/>
      <c r="AO29" s="272"/>
      <c r="AP29" s="272"/>
      <c r="AQ29" s="272"/>
      <c r="AR29" s="272"/>
      <c r="AS29" s="272"/>
      <c r="AT29" s="272"/>
      <c r="AU29" s="272"/>
      <c r="AV29" s="23"/>
      <c r="AW29" s="272" t="s">
        <v>233</v>
      </c>
      <c r="AX29" s="272"/>
      <c r="AY29" s="272"/>
      <c r="AZ29" s="272"/>
      <c r="BA29" s="272"/>
      <c r="BB29" s="272"/>
      <c r="BC29" s="272"/>
      <c r="BD29" s="272"/>
      <c r="BE29" s="272"/>
      <c r="BF29" s="23"/>
      <c r="BG29" s="272" t="s">
        <v>233</v>
      </c>
      <c r="BH29" s="272"/>
      <c r="BI29" s="272"/>
      <c r="BJ29" s="272"/>
      <c r="BK29" s="272"/>
      <c r="BL29" s="272"/>
      <c r="BM29" s="272"/>
      <c r="BN29" s="272"/>
      <c r="BO29" s="272"/>
      <c r="BP29" s="23"/>
      <c r="BT29" s="41"/>
      <c r="BU29" s="41"/>
      <c r="BV29" s="41"/>
      <c r="BW29" s="41"/>
    </row>
    <row r="30" spans="1:75" ht="15" customHeight="1" x14ac:dyDescent="0.3">
      <c r="A30" s="297"/>
      <c r="B30" s="297"/>
      <c r="C30" s="297"/>
      <c r="D30" s="235" t="str">
        <f>IF(COUNTIF(D38:L44,"BLANK"),"BLANK",IF(COUNTIF(D38:L44,"REJECT"),"REJECT",IF(COUNTIF(D38:L44,"CHECK"),"CHECK","EQ")))</f>
        <v>BLANK</v>
      </c>
      <c r="E30" s="235"/>
      <c r="F30" s="235" t="s">
        <v>162</v>
      </c>
      <c r="G30" s="235"/>
      <c r="H30" s="235"/>
      <c r="I30" s="235"/>
      <c r="J30" s="235"/>
      <c r="K30" s="235"/>
      <c r="L30" s="235"/>
      <c r="N30" s="235" t="str">
        <f>IF(COUNTIF(N33:V36,"BLANK"),"BLANK",IF(COUNTIF(N33:V36,"REJECT"),"REJECT",IF(COUNTIF(N33:V36,"CHECK"),"CHECK","EQ")))</f>
        <v>EQ</v>
      </c>
      <c r="O30" s="235"/>
      <c r="P30" s="235" t="s">
        <v>234</v>
      </c>
      <c r="Q30" s="235"/>
      <c r="R30" s="235"/>
      <c r="S30" s="235"/>
      <c r="T30" s="235"/>
      <c r="U30" s="235"/>
      <c r="V30" s="235"/>
      <c r="X30" s="235" t="str">
        <f>IF(COUNTIF(X37:AF42,"BLANK"),"BLANK",IF(COUNTIF(X37:AF42,"REJECT"),"REJECT",IF(COUNTIF(X37:AF42,"CHECK"),"CHECK","EQ")))</f>
        <v>EQ</v>
      </c>
      <c r="Y30" s="235"/>
      <c r="Z30" s="235" t="s">
        <v>235</v>
      </c>
      <c r="AA30" s="235"/>
      <c r="AB30" s="235"/>
      <c r="AC30" s="235"/>
      <c r="AD30" s="235"/>
      <c r="AE30" s="235"/>
      <c r="AF30" s="235"/>
      <c r="AM30" s="235" t="str">
        <f>IF(COUNTIF(AM38:AU39,"BLANK"),"BLANK",IF(COUNTIF(AM38:AU39,"REJECT"),"REJECT",IF(COUNTIF(AM38:AU39,"CHECK"),"CHECK","EQ")))</f>
        <v>EQ</v>
      </c>
      <c r="AN30" s="235"/>
      <c r="AO30" s="235" t="s">
        <v>236</v>
      </c>
      <c r="AP30" s="235"/>
      <c r="AQ30" s="235"/>
      <c r="AR30" s="235"/>
      <c r="AS30" s="235"/>
      <c r="AT30" s="235"/>
      <c r="AU30" s="235"/>
      <c r="AW30" s="235" t="str">
        <f>IF(COUNTIF(AW37:BE41,"BLANK"),"BLANK",IF(COUNTIF(AW37:BE41,"REJECT"),"REJECT",IF(COUNTIF(AW37:BE41,"CHECK"),"CHECK","EQ")))</f>
        <v>BLANK</v>
      </c>
      <c r="AX30" s="235"/>
      <c r="AY30" s="235" t="s">
        <v>237</v>
      </c>
      <c r="AZ30" s="235"/>
      <c r="BA30" s="235"/>
      <c r="BB30" s="235"/>
      <c r="BC30" s="235"/>
      <c r="BD30" s="235"/>
      <c r="BE30" s="235"/>
      <c r="BF30" s="44"/>
      <c r="BG30" s="235" t="str">
        <f>IF(COUNTIF(BG44:BO55,"BLANK"),"BLANK",IF(COUNTIF(BG44:BO55,"REJECT"),"REJECT",IF(COUNTIF(BG44:BO55,"CHECK"),"CHECK","EQ")))</f>
        <v>BLANK</v>
      </c>
      <c r="BH30" s="235"/>
      <c r="BI30" s="235" t="s">
        <v>238</v>
      </c>
      <c r="BJ30" s="235"/>
      <c r="BK30" s="235"/>
      <c r="BL30" s="235"/>
      <c r="BM30" s="235"/>
      <c r="BN30" s="235"/>
      <c r="BO30" s="235"/>
      <c r="BP30" s="44"/>
      <c r="BT30" s="41"/>
      <c r="BU30" s="41"/>
      <c r="BV30" s="41"/>
      <c r="BW30" s="41"/>
    </row>
    <row r="31" spans="1:75" ht="15" customHeight="1" x14ac:dyDescent="0.3">
      <c r="D31" s="235"/>
      <c r="E31" s="235"/>
      <c r="F31" s="235"/>
      <c r="G31" s="235"/>
      <c r="H31" s="235"/>
      <c r="I31" s="235"/>
      <c r="J31" s="235"/>
      <c r="K31" s="235"/>
      <c r="L31" s="235"/>
      <c r="N31" s="235"/>
      <c r="O31" s="235"/>
      <c r="P31" s="235"/>
      <c r="Q31" s="235"/>
      <c r="R31" s="235"/>
      <c r="S31" s="235"/>
      <c r="T31" s="235"/>
      <c r="U31" s="235"/>
      <c r="V31" s="235"/>
      <c r="X31" s="235"/>
      <c r="Y31" s="235"/>
      <c r="Z31" s="235"/>
      <c r="AA31" s="235"/>
      <c r="AB31" s="235"/>
      <c r="AC31" s="235"/>
      <c r="AD31" s="235"/>
      <c r="AE31" s="235"/>
      <c r="AF31" s="235"/>
      <c r="AM31" s="235"/>
      <c r="AN31" s="235"/>
      <c r="AO31" s="235"/>
      <c r="AP31" s="235"/>
      <c r="AQ31" s="235"/>
      <c r="AR31" s="235"/>
      <c r="AS31" s="235"/>
      <c r="AT31" s="235"/>
      <c r="AU31" s="235"/>
      <c r="AW31" s="235"/>
      <c r="AX31" s="235"/>
      <c r="AY31" s="235"/>
      <c r="AZ31" s="235"/>
      <c r="BA31" s="235"/>
      <c r="BB31" s="235"/>
      <c r="BC31" s="235"/>
      <c r="BD31" s="235"/>
      <c r="BE31" s="235"/>
      <c r="BF31" s="44"/>
      <c r="BG31" s="235"/>
      <c r="BH31" s="235"/>
      <c r="BI31" s="235"/>
      <c r="BJ31" s="235"/>
      <c r="BK31" s="235"/>
      <c r="BL31" s="235"/>
      <c r="BM31" s="235"/>
      <c r="BN31" s="235"/>
      <c r="BO31" s="235"/>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62" t="str">
        <f>IF(COUNTIF(V34:V36,"BLANK"),"BLANK",IF(OR(SUMPRODUCT(--ISERROR(V34:V36))&gt;0,COUNTIF(V34:V36,"REJECT")),"REJECT",IF(COUNTIF(V34:V36,"CHECK"),"CHECK","EQ")))</f>
        <v>EQ</v>
      </c>
      <c r="O33" s="262"/>
      <c r="P33" s="262"/>
      <c r="Q33" s="262"/>
      <c r="R33" s="262"/>
      <c r="S33" s="262"/>
      <c r="T33" s="262"/>
      <c r="U33" s="262"/>
      <c r="V33" s="26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39" t="s">
        <v>162</v>
      </c>
      <c r="E35" s="239"/>
      <c r="F35" s="239" t="s">
        <v>248</v>
      </c>
      <c r="G35" s="239"/>
      <c r="H35" s="239"/>
      <c r="I35" s="239" t="s">
        <v>249</v>
      </c>
      <c r="J35" s="239"/>
      <c r="K35" s="239"/>
      <c r="L35" s="239"/>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62" t="str">
        <f>'F.3.1-4 Tube Chassis'!G101</f>
        <v>Standard</v>
      </c>
      <c r="E36" s="262"/>
      <c r="F36" s="262" t="str">
        <f>IF('F.3.1-4 Tube Chassis'!A106="Diagonal or test required.",'F.3.1-4 Tube Chassis'!G109,"Diagonal not mandatory.")</f>
        <v>Tube</v>
      </c>
      <c r="G36" s="262"/>
      <c r="H36" s="262"/>
      <c r="I36" s="262" t="str">
        <f>IF(OR(D36="Custom",F36="IA/AI Test"),"Testing Required.","Wing and Attachment Calculations.")</f>
        <v>Wing and Attachment Calculations.</v>
      </c>
      <c r="J36" s="262"/>
      <c r="K36" s="262"/>
      <c r="L36" s="262"/>
      <c r="N36" s="47" t="s">
        <v>254</v>
      </c>
      <c r="O36" s="49"/>
      <c r="P36" s="49"/>
      <c r="Q36" s="49"/>
      <c r="R36" s="49"/>
      <c r="S36" s="49" t="s">
        <v>255</v>
      </c>
      <c r="T36" s="50"/>
      <c r="U36" s="19" t="str">
        <f>IF($A$21="mm","mm","in")</f>
        <v>mm</v>
      </c>
      <c r="V36" s="25" t="str">
        <f>IF($I$36="Wing and Attachment Calculations.","N/A",IF(T36="","BLANK",IF(OR(AND($A$21="mm",T36&gt;25.4),AND($A$21="Inch",T36&gt;1)),"REJECT","EQ")))</f>
        <v>N/A</v>
      </c>
      <c r="X36" s="263"/>
      <c r="Y36" s="263"/>
      <c r="Z36" s="263"/>
      <c r="AA36" s="263"/>
      <c r="AB36" s="263"/>
      <c r="AC36" s="263"/>
      <c r="AD36" s="263"/>
      <c r="AE36" s="263"/>
      <c r="AF36" s="263"/>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62" t="str">
        <f>IF(COUNTIF(AF38:AF42,"BLANK"),"BLANK",IF(OR(SUMPRODUCT(--ISERROR(AF38:AF42))&gt;0,COUNTIF(AF38:AF42,"REJECT")),"REJECT",IF(COUNTIF(AF38:AF42,"CHECK"),"CHECK","EQ")))</f>
        <v>EQ</v>
      </c>
      <c r="Y37" s="262"/>
      <c r="Z37" s="262"/>
      <c r="AA37" s="262"/>
      <c r="AB37" s="262"/>
      <c r="AC37" s="262"/>
      <c r="AD37" s="262"/>
      <c r="AE37" s="262"/>
      <c r="AF37" s="262"/>
      <c r="AN37" s="41"/>
      <c r="AO37" s="41"/>
      <c r="AP37" s="41"/>
      <c r="AQ37" s="41"/>
      <c r="AR37" s="41"/>
      <c r="AS37" s="41"/>
      <c r="AT37" s="41"/>
      <c r="AU37" s="41"/>
      <c r="AV37" s="52"/>
      <c r="AW37" s="262" t="str">
        <f>IF(COUNTIF(BE38:BE43,"BLANK"),"BLANK",IF(OR(SUMPRODUCT(--ISERROR(BE38:BE43))&gt;0,COUNTIF(BE38:BE43,"REJECT")),"REJECT",IF(COUNTIF(BE38:BE43,"CHECK"),"CHECK","EQ")))</f>
        <v>BLANK</v>
      </c>
      <c r="AX37" s="262"/>
      <c r="AY37" s="262"/>
      <c r="AZ37" s="262"/>
      <c r="BA37" s="262"/>
      <c r="BB37" s="262"/>
      <c r="BC37" s="262"/>
      <c r="BD37" s="262"/>
      <c r="BE37" s="26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62" t="str">
        <f>IF(COUNTIF(L39:L44,"BLANK"),"BLANK",IF(OR(SUMPRODUCT(--ISERROR(L39:L44))&gt;0,COUNTIF(L39:L44,"REJECT")),"REJECT",IF(COUNTIF(L39:L44,"CHECK"),"CHECK","EQ")))</f>
        <v>BLANK</v>
      </c>
      <c r="E38" s="262"/>
      <c r="F38" s="262"/>
      <c r="G38" s="262"/>
      <c r="H38" s="262"/>
      <c r="I38" s="262"/>
      <c r="J38" s="262"/>
      <c r="K38" s="262"/>
      <c r="L38" s="262"/>
      <c r="N38" s="19"/>
      <c r="O38" s="49"/>
      <c r="P38" s="49"/>
      <c r="Q38" s="49"/>
      <c r="R38" s="49"/>
      <c r="S38" s="25"/>
      <c r="T38" s="25"/>
      <c r="V38" s="25"/>
      <c r="X38" s="245" t="s">
        <v>259</v>
      </c>
      <c r="Y38" s="323"/>
      <c r="Z38" s="329" t="s">
        <v>260</v>
      </c>
      <c r="AA38" s="329"/>
      <c r="AB38" s="329"/>
      <c r="AC38" s="329"/>
      <c r="AD38" s="329"/>
      <c r="AE38" s="329"/>
      <c r="AF38" s="55" t="str">
        <f>IF($I$36="Wing and Attachment Calculations.","N/A",IF(OR(LEFT(Z38,8)="Example:",Z38=""),"BLANK","EQ"))</f>
        <v>N/A</v>
      </c>
      <c r="AM38" s="262" t="str">
        <f>IF(COUNTIF(AU39,"BLANK"),"BLANK",IF(OR(SUMPRODUCT(--ISERROR(AU39))&gt;0,COUNTIF(AU39,"REJECT")),"REJECT",IF(COUNTIF(AU39,"CHECK"),"CHECK","EQ")))</f>
        <v>EQ</v>
      </c>
      <c r="AN38" s="262"/>
      <c r="AO38" s="262"/>
      <c r="AP38" s="262"/>
      <c r="AQ38" s="262"/>
      <c r="AR38" s="262"/>
      <c r="AS38" s="262"/>
      <c r="AT38" s="262"/>
      <c r="AU38" s="262"/>
      <c r="AV38" s="52"/>
      <c r="AW38" s="25"/>
      <c r="AX38" s="259" t="s">
        <v>261</v>
      </c>
      <c r="AY38" s="259"/>
      <c r="AZ38" s="330"/>
      <c r="BA38" s="331"/>
      <c r="BB38" s="332"/>
      <c r="BC38" s="332"/>
      <c r="BD38" s="333"/>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4"/>
      <c r="I39" s="335"/>
      <c r="J39" s="335"/>
      <c r="K39" s="336"/>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54"/>
      <c r="I40" s="322"/>
      <c r="J40" s="322"/>
      <c r="K40" s="25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37"/>
      <c r="I43" s="338"/>
      <c r="J43" s="338"/>
      <c r="K43" s="339"/>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4"/>
      <c r="I44" s="335"/>
      <c r="J44" s="335"/>
      <c r="K44" s="336"/>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39" t="str">
        <f>IF(OR(BC42&lt;AD40,BE43="REJECT",BE43="CHECK"),"CHECK Calculation error in forces and acceleration.","EQ")</f>
        <v>EQ</v>
      </c>
      <c r="AX44" s="239"/>
      <c r="AY44" s="239"/>
      <c r="AZ44" s="239"/>
      <c r="BA44" s="239"/>
      <c r="BB44" s="239"/>
      <c r="BC44" s="239"/>
      <c r="BD44" s="239"/>
      <c r="BE44" s="239"/>
      <c r="BG44" s="262" t="str">
        <f>IF(COUNTIF(BO45:BO55,"BLANK"),"BLANK",IF(OR(SUMPRODUCT(--ISERROR(BO45:BO55))&gt;0,COUNTIF(BO45:BO55,"REJECT")),"REJECT",IF(COUNTIF(BO45:BO55,"CHECK"),"CHECK","EQ")))</f>
        <v>BLANK</v>
      </c>
      <c r="BH44" s="262"/>
      <c r="BI44" s="262"/>
      <c r="BJ44" s="262"/>
      <c r="BK44" s="262"/>
      <c r="BL44" s="262"/>
      <c r="BM44" s="262"/>
      <c r="BN44" s="262"/>
      <c r="BO44" s="26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39" t="str">
        <f>IF(BC42&lt;AD40,"CHECK Peak Force &lt;&lt; Peak Deceleration","EQ")</f>
        <v>EQ</v>
      </c>
      <c r="AX45" s="239"/>
      <c r="AY45" s="239"/>
      <c r="AZ45" s="239"/>
      <c r="BA45" s="239"/>
      <c r="BB45" s="239" t="str">
        <f>IF(OR(BE43="REJECT",BE43="CHECK"),"CHECK Average Force &lt;&lt; Energy Required","EQ")</f>
        <v>EQ</v>
      </c>
      <c r="BC45" s="239"/>
      <c r="BD45" s="239"/>
      <c r="BE45" s="239"/>
      <c r="BG45" s="47"/>
      <c r="BH45" s="63"/>
      <c r="BI45" s="60"/>
      <c r="BJ45" s="60"/>
      <c r="BK45" s="60"/>
      <c r="BL45" s="64" t="s">
        <v>282</v>
      </c>
      <c r="BM45" s="313">
        <f>H39</f>
        <v>0</v>
      </c>
      <c r="BN45" s="313"/>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39" t="str">
        <f>IF(OR(BE43="REJECT",BE43="CHECK"),"CHECK: Make sure to use stepwise integration: force*(disp_2-disp_1)+previous","EQ")</f>
        <v>EQ</v>
      </c>
      <c r="AX46" s="239"/>
      <c r="AY46" s="239"/>
      <c r="AZ46" s="239"/>
      <c r="BA46" s="239"/>
      <c r="BB46" s="239"/>
      <c r="BC46" s="239"/>
      <c r="BD46" s="239"/>
      <c r="BE46" s="239"/>
      <c r="BH46" s="48"/>
      <c r="BI46" s="48"/>
      <c r="BL46" s="49" t="s">
        <v>283</v>
      </c>
      <c r="BM46" s="262" t="str">
        <f>'F.3.1-4 Tube Chassis'!G60</f>
        <v>Steel</v>
      </c>
      <c r="BN46" s="26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39" t="str">
        <f>IF(OR(BE43="REJECT",BE43="CHECK"),"CHECK INCORRECT: FInal_force*final_displacement ","EQ")</f>
        <v>EQ</v>
      </c>
      <c r="AX47" s="239"/>
      <c r="AY47" s="239"/>
      <c r="AZ47" s="239"/>
      <c r="BA47" s="239"/>
      <c r="BB47" s="239"/>
      <c r="BC47" s="239"/>
      <c r="BD47" s="239"/>
      <c r="BE47" s="239"/>
      <c r="BG47" s="47" t="s">
        <v>285</v>
      </c>
      <c r="BH47" s="48"/>
      <c r="BI47" s="48"/>
      <c r="BK47" s="25"/>
      <c r="BL47" s="49" t="s">
        <v>286</v>
      </c>
      <c r="BM47" s="236"/>
      <c r="BN47" s="261"/>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27"/>
      <c r="BN48" s="328"/>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62"/>
      <c r="BH81" s="262"/>
      <c r="BI81" s="262"/>
      <c r="BJ81" s="262"/>
      <c r="BK81" s="262"/>
      <c r="BL81" s="262"/>
      <c r="BM81" s="262"/>
      <c r="BN81" s="262"/>
      <c r="BO81" s="26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62"/>
      <c r="BN86" s="26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62"/>
      <c r="BN88" s="26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39"/>
      <c r="BH89" s="239"/>
      <c r="BI89" s="239"/>
      <c r="BJ89" s="239"/>
      <c r="BK89" s="239"/>
      <c r="BL89" s="239"/>
      <c r="BM89" s="239"/>
      <c r="BN89" s="239"/>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56"/>
      <c r="BH90" s="256"/>
      <c r="BI90" s="256"/>
      <c r="BJ90" s="256"/>
      <c r="BK90" s="256"/>
      <c r="BL90" s="256"/>
      <c r="BM90" s="256"/>
      <c r="BN90" s="256"/>
      <c r="BO90" s="256"/>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62"/>
      <c r="BH91" s="262"/>
      <c r="BI91" s="262"/>
      <c r="BJ91" s="262"/>
      <c r="BK91" s="262"/>
      <c r="BL91" s="262"/>
      <c r="BM91" s="262"/>
      <c r="BN91" s="262"/>
      <c r="BO91" s="26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62"/>
      <c r="BN96" s="26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46"/>
      <c r="BJ97" s="246"/>
      <c r="BK97" s="246"/>
      <c r="BL97" s="246"/>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46"/>
      <c r="BI98" s="246"/>
      <c r="BJ98" s="246"/>
      <c r="BK98" s="246"/>
      <c r="BL98" s="246"/>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46"/>
      <c r="BJ99" s="246"/>
      <c r="BK99" s="246"/>
      <c r="BL99" s="246"/>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62"/>
      <c r="BN122" s="26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62"/>
      <c r="BN124" s="26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62"/>
      <c r="BN126" s="26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AH1:AK7"/>
    <mergeCell ref="D7:F7"/>
    <mergeCell ref="D13:L20"/>
    <mergeCell ref="N13:V18"/>
    <mergeCell ref="X13:AF14"/>
    <mergeCell ref="AW13:BE14"/>
    <mergeCell ref="BG13:BO14"/>
    <mergeCell ref="A14:C14"/>
    <mergeCell ref="A15:C15"/>
    <mergeCell ref="X15:AF16"/>
    <mergeCell ref="A16:C16"/>
    <mergeCell ref="AM13:AU14"/>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29:BE29"/>
    <mergeCell ref="AW37:BE37"/>
    <mergeCell ref="AW30:AX31"/>
    <mergeCell ref="AY30:BE31"/>
    <mergeCell ref="BG30:BH31"/>
    <mergeCell ref="BI30:BO31"/>
    <mergeCell ref="D36:E36"/>
    <mergeCell ref="F36:H36"/>
    <mergeCell ref="I36:L36"/>
    <mergeCell ref="X36:AF36"/>
    <mergeCell ref="Z30:AF31"/>
    <mergeCell ref="AM30:AN31"/>
    <mergeCell ref="AO30:AU31"/>
    <mergeCell ref="N33:V33"/>
    <mergeCell ref="D35:E35"/>
    <mergeCell ref="F35:H35"/>
    <mergeCell ref="I35:L35"/>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BM122:BN122"/>
    <mergeCell ref="BM124:BN124"/>
    <mergeCell ref="BM126:BN126"/>
    <mergeCell ref="BG90:BO90"/>
    <mergeCell ref="BG91:BO91"/>
    <mergeCell ref="BM96:BN96"/>
    <mergeCell ref="BI97:BL97"/>
    <mergeCell ref="BH98:BL98"/>
    <mergeCell ref="BI99:BL99"/>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62" t="s">
        <v>204</v>
      </c>
      <c r="E1" s="362"/>
      <c r="F1" s="362"/>
      <c r="G1" s="362"/>
      <c r="H1" s="362"/>
      <c r="I1" s="362"/>
      <c r="J1" s="362"/>
      <c r="K1" s="362"/>
      <c r="L1" s="362"/>
      <c r="M1" s="362"/>
      <c r="N1" s="362" t="s">
        <v>204</v>
      </c>
      <c r="O1" s="362"/>
      <c r="P1" s="362"/>
      <c r="Q1" s="362"/>
      <c r="R1" s="362"/>
      <c r="S1" s="362"/>
      <c r="T1" s="362"/>
      <c r="U1" s="362"/>
      <c r="V1" s="362"/>
      <c r="W1" s="362"/>
    </row>
    <row r="2" spans="1:23" x14ac:dyDescent="0.3">
      <c r="A2" s="356" t="str">
        <f>IF(OR(A4="YES",A4="NO"),"EQ","BLANK")</f>
        <v>BLANK</v>
      </c>
      <c r="B2" s="356"/>
      <c r="C2" s="356"/>
      <c r="D2" s="362"/>
      <c r="E2" s="362"/>
      <c r="F2" s="362"/>
      <c r="G2" s="362"/>
      <c r="H2" s="362"/>
      <c r="I2" s="362"/>
      <c r="J2" s="362"/>
      <c r="K2" s="362"/>
      <c r="L2" s="362"/>
      <c r="M2" s="362"/>
      <c r="N2" s="362"/>
      <c r="O2" s="362"/>
      <c r="P2" s="362"/>
      <c r="Q2" s="362"/>
      <c r="R2" s="362"/>
      <c r="S2" s="362"/>
      <c r="T2" s="362"/>
      <c r="U2" s="362"/>
      <c r="V2" s="362"/>
      <c r="W2" s="362"/>
    </row>
    <row r="3" spans="1:23" ht="15" customHeight="1" thickBot="1" x14ac:dyDescent="0.35">
      <c r="A3" s="357" t="s">
        <v>205</v>
      </c>
      <c r="B3" s="357"/>
      <c r="C3" s="357"/>
      <c r="D3" s="362" t="s">
        <v>204</v>
      </c>
      <c r="E3" s="362"/>
      <c r="F3" s="362"/>
      <c r="G3" s="362"/>
      <c r="H3" s="362"/>
      <c r="I3" s="362"/>
      <c r="J3" s="362"/>
      <c r="K3" s="362"/>
      <c r="L3" s="362"/>
      <c r="M3" s="362"/>
      <c r="N3" s="362" t="s">
        <v>204</v>
      </c>
      <c r="O3" s="362"/>
      <c r="P3" s="362"/>
      <c r="Q3" s="362"/>
      <c r="R3" s="362"/>
      <c r="S3" s="362"/>
      <c r="T3" s="362"/>
      <c r="U3" s="362"/>
      <c r="V3" s="362"/>
      <c r="W3" s="362"/>
    </row>
    <row r="4" spans="1:23" ht="15" thickBot="1" x14ac:dyDescent="0.35">
      <c r="A4" s="358" t="s">
        <v>163</v>
      </c>
      <c r="B4" s="359"/>
      <c r="C4" s="360"/>
      <c r="D4" s="362"/>
      <c r="E4" s="362"/>
      <c r="F4" s="362"/>
      <c r="G4" s="362"/>
      <c r="H4" s="362"/>
      <c r="I4" s="362"/>
      <c r="J4" s="362"/>
      <c r="K4" s="362"/>
      <c r="L4" s="362"/>
      <c r="M4" s="362"/>
      <c r="N4" s="362"/>
      <c r="O4" s="362"/>
      <c r="P4" s="362"/>
      <c r="Q4" s="362"/>
      <c r="R4" s="362"/>
      <c r="S4" s="362"/>
      <c r="T4" s="362"/>
      <c r="U4" s="362"/>
      <c r="V4" s="362"/>
      <c r="W4" s="362"/>
    </row>
    <row r="5" spans="1:23" x14ac:dyDescent="0.3">
      <c r="A5" s="349" t="str">
        <f>IF(A4="YES","PROVIDE DOCUMENTS","")</f>
        <v/>
      </c>
      <c r="B5" s="349"/>
      <c r="C5" s="349"/>
    </row>
    <row r="6" spans="1:23" x14ac:dyDescent="0.3">
      <c r="A6" s="356" t="str">
        <f>IF(OR(A8="YES",A8="NO"),"EQ","BLANK")</f>
        <v>BLANK</v>
      </c>
      <c r="B6" s="356"/>
      <c r="C6" s="356"/>
    </row>
    <row r="7" spans="1:23" ht="15" thickBot="1" x14ac:dyDescent="0.35">
      <c r="A7" s="357" t="s">
        <v>206</v>
      </c>
      <c r="B7" s="357"/>
      <c r="C7" s="357"/>
      <c r="G7" s="361" t="s">
        <v>207</v>
      </c>
      <c r="H7" s="361"/>
      <c r="I7" s="361"/>
      <c r="Q7" s="361" t="s">
        <v>207</v>
      </c>
      <c r="R7" s="361"/>
      <c r="S7" s="361"/>
    </row>
    <row r="8" spans="1:23" ht="15" customHeight="1" thickBot="1" x14ac:dyDescent="0.35">
      <c r="A8" s="358" t="s">
        <v>163</v>
      </c>
      <c r="B8" s="359"/>
      <c r="C8" s="360"/>
      <c r="G8" s="361"/>
      <c r="H8" s="361"/>
      <c r="I8" s="361"/>
      <c r="Q8" s="361"/>
      <c r="R8" s="361"/>
      <c r="S8" s="361"/>
    </row>
    <row r="9" spans="1:23" x14ac:dyDescent="0.3">
      <c r="A9" s="349" t="str">
        <f>IF(A8="YES","PROVIDE DOCUMENTS","")</f>
        <v/>
      </c>
      <c r="B9" s="349"/>
      <c r="C9" s="349"/>
      <c r="G9" s="350" t="s">
        <v>208</v>
      </c>
      <c r="H9" s="350"/>
      <c r="I9" s="350"/>
      <c r="Q9" s="350" t="s">
        <v>208</v>
      </c>
      <c r="R9" s="350"/>
      <c r="S9" s="350"/>
    </row>
    <row r="10" spans="1:23" x14ac:dyDescent="0.3">
      <c r="A10" s="356" t="str">
        <f>IF(OR(A12="YES",A12="NO"),"EQ","BLANK")</f>
        <v>BLANK</v>
      </c>
      <c r="B10" s="356"/>
      <c r="C10" s="356"/>
      <c r="G10" s="350"/>
      <c r="H10" s="350"/>
      <c r="I10" s="350"/>
      <c r="Q10" s="350"/>
      <c r="R10" s="350"/>
      <c r="S10" s="350"/>
    </row>
    <row r="11" spans="1:23" ht="15" thickBot="1" x14ac:dyDescent="0.35">
      <c r="A11" s="357" t="s">
        <v>209</v>
      </c>
      <c r="B11" s="357"/>
      <c r="C11" s="357"/>
      <c r="G11" s="350"/>
      <c r="H11" s="350"/>
      <c r="I11" s="350"/>
      <c r="Q11" s="350"/>
      <c r="R11" s="350"/>
      <c r="S11" s="350"/>
    </row>
    <row r="12" spans="1:23" ht="15" thickBot="1" x14ac:dyDescent="0.35">
      <c r="A12" s="358" t="s">
        <v>163</v>
      </c>
      <c r="B12" s="359"/>
      <c r="C12" s="360"/>
      <c r="G12" s="350"/>
      <c r="H12" s="350"/>
      <c r="I12" s="350"/>
      <c r="Q12" s="350"/>
      <c r="R12" s="350"/>
      <c r="S12" s="350"/>
    </row>
    <row r="13" spans="1:23" x14ac:dyDescent="0.3">
      <c r="A13" s="349" t="str">
        <f>IF(A12="YES","FIBER AND RESIN DOCS","")</f>
        <v/>
      </c>
      <c r="B13" s="349"/>
      <c r="C13" s="349"/>
      <c r="G13" s="350" t="s">
        <v>210</v>
      </c>
      <c r="H13" s="350"/>
      <c r="I13" s="350"/>
      <c r="Q13" s="350" t="s">
        <v>210</v>
      </c>
      <c r="R13" s="350"/>
      <c r="S13" s="350"/>
    </row>
    <row r="14" spans="1:23" x14ac:dyDescent="0.3">
      <c r="A14" s="356" t="str">
        <f>IF(OR(A16="YES",A16="NO"),"EQ","BLANK")</f>
        <v>BLANK</v>
      </c>
      <c r="B14" s="356"/>
      <c r="C14" s="356"/>
      <c r="G14" s="350"/>
      <c r="H14" s="350"/>
      <c r="I14" s="350"/>
      <c r="Q14" s="350"/>
      <c r="R14" s="350"/>
      <c r="S14" s="350"/>
    </row>
    <row r="15" spans="1:23" ht="15" thickBot="1" x14ac:dyDescent="0.35">
      <c r="A15" s="357" t="s">
        <v>211</v>
      </c>
      <c r="B15" s="357"/>
      <c r="C15" s="357"/>
      <c r="G15" s="350"/>
      <c r="H15" s="350"/>
      <c r="I15" s="350"/>
      <c r="Q15" s="350"/>
      <c r="R15" s="350"/>
      <c r="S15" s="350"/>
    </row>
    <row r="16" spans="1:23" ht="15" thickBot="1" x14ac:dyDescent="0.35">
      <c r="A16" s="358" t="s">
        <v>163</v>
      </c>
      <c r="B16" s="359"/>
      <c r="C16" s="360"/>
      <c r="G16" s="350"/>
      <c r="H16" s="350"/>
      <c r="I16" s="350"/>
      <c r="Q16" s="350"/>
      <c r="R16" s="350"/>
      <c r="S16" s="350"/>
    </row>
    <row r="17" spans="1:19" ht="15" customHeight="1" x14ac:dyDescent="0.3">
      <c r="A17" s="349" t="str">
        <f>IF(A16="YES","PROVIDE DOCUMENTS","")</f>
        <v/>
      </c>
      <c r="B17" s="349"/>
      <c r="C17" s="349"/>
      <c r="G17" s="355" t="s">
        <v>212</v>
      </c>
      <c r="H17" s="355"/>
      <c r="I17" s="355"/>
      <c r="Q17" s="355" t="s">
        <v>212</v>
      </c>
      <c r="R17" s="355"/>
      <c r="S17" s="355"/>
    </row>
    <row r="18" spans="1:19" ht="15" customHeight="1" x14ac:dyDescent="0.3">
      <c r="A18" s="356" t="str">
        <f>IF(OR(A20="YES",A20="NO"),"EQ","BLANK")</f>
        <v>BLANK</v>
      </c>
      <c r="B18" s="356"/>
      <c r="C18" s="356"/>
      <c r="G18" s="355"/>
      <c r="H18" s="355"/>
      <c r="I18" s="355"/>
      <c r="Q18" s="355"/>
      <c r="R18" s="355"/>
      <c r="S18" s="355"/>
    </row>
    <row r="19" spans="1:19" ht="15" customHeight="1" thickBot="1" x14ac:dyDescent="0.35">
      <c r="A19" s="357" t="s">
        <v>215</v>
      </c>
      <c r="B19" s="357"/>
      <c r="C19" s="357"/>
      <c r="G19" s="355"/>
      <c r="H19" s="355"/>
      <c r="I19" s="355"/>
      <c r="Q19" s="355"/>
      <c r="R19" s="355"/>
      <c r="S19" s="355"/>
    </row>
    <row r="20" spans="1:19" ht="15" customHeight="1" thickBot="1" x14ac:dyDescent="0.35">
      <c r="A20" s="358" t="s">
        <v>163</v>
      </c>
      <c r="B20" s="359"/>
      <c r="C20" s="360"/>
      <c r="G20" s="355"/>
      <c r="H20" s="355"/>
      <c r="I20" s="355"/>
      <c r="Q20" s="355"/>
      <c r="R20" s="355"/>
      <c r="S20" s="355"/>
    </row>
    <row r="21" spans="1:19" ht="15" customHeight="1" x14ac:dyDescent="0.3">
      <c r="A21" s="349" t="str">
        <f>IF(A20="YES","PROVIDE DOCUMENTS","")</f>
        <v/>
      </c>
      <c r="B21" s="349"/>
      <c r="C21" s="349"/>
      <c r="G21" s="350" t="s">
        <v>213</v>
      </c>
      <c r="H21" s="350"/>
      <c r="I21" s="350"/>
      <c r="Q21" s="350" t="s">
        <v>213</v>
      </c>
      <c r="R21" s="350"/>
      <c r="S21" s="350"/>
    </row>
    <row r="22" spans="1:19" ht="15" customHeight="1" x14ac:dyDescent="0.3">
      <c r="A22" s="14"/>
      <c r="B22" s="14"/>
      <c r="C22" s="14"/>
      <c r="G22" s="350"/>
      <c r="H22" s="350"/>
      <c r="I22" s="350"/>
      <c r="Q22" s="350"/>
      <c r="R22" s="350"/>
      <c r="S22" s="350"/>
    </row>
    <row r="23" spans="1:19" ht="15" customHeight="1" x14ac:dyDescent="0.3">
      <c r="A23" s="14"/>
      <c r="B23" s="18" t="s">
        <v>217</v>
      </c>
      <c r="C23" s="14"/>
      <c r="G23" s="350"/>
      <c r="H23" s="350"/>
      <c r="I23" s="350"/>
      <c r="Q23" s="350"/>
      <c r="R23" s="350"/>
      <c r="S23" s="350"/>
    </row>
    <row r="24" spans="1:19" ht="15" customHeight="1" x14ac:dyDescent="0.3">
      <c r="A24" s="14"/>
      <c r="B24" s="14" t="s">
        <v>216</v>
      </c>
      <c r="C24" s="14"/>
      <c r="G24" s="350"/>
      <c r="H24" s="350"/>
      <c r="I24" s="350"/>
      <c r="Q24" s="350"/>
      <c r="R24" s="350"/>
      <c r="S24" s="350"/>
    </row>
    <row r="25" spans="1:19" ht="15" customHeight="1" x14ac:dyDescent="0.3">
      <c r="A25" s="14"/>
      <c r="B25" s="14"/>
      <c r="C25" s="14"/>
      <c r="G25" s="350"/>
      <c r="H25" s="350"/>
      <c r="I25" s="350"/>
      <c r="Q25" s="350"/>
      <c r="R25" s="350"/>
      <c r="S25" s="350"/>
    </row>
    <row r="26" spans="1:19" ht="15" customHeight="1" x14ac:dyDescent="0.3">
      <c r="A26" s="351" t="str">
        <f>IF(COUNTIF(A1:C18,"BLANK"),"BLANK","EQ")</f>
        <v>BLANK</v>
      </c>
      <c r="B26" s="351"/>
      <c r="C26" s="351"/>
      <c r="G26" s="350"/>
      <c r="H26" s="350"/>
      <c r="I26" s="350"/>
      <c r="Q26" s="350"/>
      <c r="R26" s="350"/>
      <c r="S26" s="350"/>
    </row>
    <row r="27" spans="1:19" ht="15" customHeight="1" x14ac:dyDescent="0.3">
      <c r="A27" s="351"/>
      <c r="B27" s="351"/>
      <c r="C27" s="351"/>
      <c r="G27" s="350"/>
      <c r="H27" s="350"/>
      <c r="I27" s="350"/>
      <c r="Q27" s="350"/>
      <c r="R27" s="350"/>
      <c r="S27" s="350"/>
    </row>
    <row r="28" spans="1:19" ht="15" customHeight="1" x14ac:dyDescent="0.3">
      <c r="A28" s="351"/>
      <c r="B28" s="351"/>
      <c r="C28" s="351"/>
      <c r="G28" s="350"/>
      <c r="H28" s="350"/>
      <c r="I28" s="350"/>
      <c r="Q28" s="350"/>
      <c r="R28" s="350"/>
      <c r="S28" s="350"/>
    </row>
    <row r="29" spans="1:19" x14ac:dyDescent="0.3">
      <c r="A29" s="351"/>
      <c r="B29" s="351"/>
      <c r="C29" s="351"/>
      <c r="G29" s="350"/>
      <c r="H29" s="350"/>
      <c r="I29" s="350"/>
      <c r="Q29" s="350"/>
      <c r="R29" s="350"/>
      <c r="S29" s="350"/>
    </row>
    <row r="30" spans="1:19" x14ac:dyDescent="0.3">
      <c r="A30" s="351"/>
      <c r="B30" s="351"/>
      <c r="C30" s="351"/>
      <c r="G30" s="350"/>
      <c r="H30" s="350"/>
      <c r="I30" s="350"/>
      <c r="Q30" s="350"/>
      <c r="R30" s="350"/>
      <c r="S30" s="350"/>
    </row>
    <row r="31" spans="1:19" x14ac:dyDescent="0.3">
      <c r="A31" s="351"/>
      <c r="B31" s="351"/>
      <c r="C31" s="351"/>
      <c r="G31" s="350"/>
      <c r="H31" s="350"/>
      <c r="I31" s="350"/>
      <c r="Q31" s="350"/>
      <c r="R31" s="350"/>
      <c r="S31" s="350"/>
    </row>
    <row r="32" spans="1:19" x14ac:dyDescent="0.3">
      <c r="A32" s="351"/>
      <c r="B32" s="351"/>
      <c r="C32" s="351"/>
      <c r="G32" s="350"/>
      <c r="H32" s="350"/>
      <c r="I32" s="350"/>
      <c r="Q32" s="350"/>
      <c r="R32" s="350"/>
      <c r="S32" s="350"/>
    </row>
    <row r="33" spans="1:3" x14ac:dyDescent="0.3">
      <c r="A33" s="352"/>
      <c r="B33" s="352"/>
      <c r="C33" s="352"/>
    </row>
    <row r="34" spans="1:3" ht="15" customHeight="1" x14ac:dyDescent="0.3">
      <c r="A34" s="352"/>
      <c r="B34" s="352"/>
      <c r="C34" s="352"/>
    </row>
    <row r="35" spans="1:3" ht="15" customHeight="1" x14ac:dyDescent="0.3">
      <c r="A35" s="15"/>
      <c r="B35" s="15"/>
      <c r="C35" s="15"/>
    </row>
    <row r="36" spans="1:3" ht="15" customHeight="1" x14ac:dyDescent="0.3">
      <c r="A36" s="353">
        <f>'F.3.1-4 Tube Chassis'!$M$1</f>
        <v>2020</v>
      </c>
      <c r="B36" s="353"/>
      <c r="C36" s="353"/>
    </row>
    <row r="37" spans="1:3" ht="15" customHeight="1" x14ac:dyDescent="0.3">
      <c r="A37" s="354">
        <f>'F.3.1-4 Tube Chassis'!$C$1</f>
        <v>0</v>
      </c>
      <c r="B37" s="354"/>
      <c r="C37" s="354"/>
    </row>
    <row r="38" spans="1:3" ht="15" customHeight="1" x14ac:dyDescent="0.3">
      <c r="A38" s="347">
        <f>'F.3.1-4 Tube Chassis'!$C$2</f>
        <v>0</v>
      </c>
      <c r="B38" s="347"/>
      <c r="C38" s="34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48" t="s">
        <v>214</v>
      </c>
      <c r="B43" s="348"/>
      <c r="C43" s="348"/>
    </row>
    <row r="44" spans="1:3" ht="15" customHeight="1" x14ac:dyDescent="0.3">
      <c r="A44" s="348"/>
      <c r="B44" s="348"/>
      <c r="C44" s="348"/>
    </row>
    <row r="45" spans="1:3" ht="15" customHeight="1" x14ac:dyDescent="0.3">
      <c r="A45" s="348"/>
      <c r="B45" s="348"/>
      <c r="C45" s="348"/>
    </row>
    <row r="46" spans="1:3" ht="15" customHeight="1" x14ac:dyDescent="0.3">
      <c r="A46" s="348"/>
      <c r="B46" s="348"/>
      <c r="C46" s="348"/>
    </row>
    <row r="47" spans="1:3" ht="15" customHeight="1" x14ac:dyDescent="0.3">
      <c r="A47" s="348"/>
      <c r="B47" s="348"/>
      <c r="C47" s="348"/>
    </row>
    <row r="48" spans="1:3" ht="15" customHeight="1" x14ac:dyDescent="0.3">
      <c r="A48" s="348"/>
      <c r="B48" s="348"/>
      <c r="C48" s="348"/>
    </row>
    <row r="49" spans="1:3" ht="15" customHeight="1" x14ac:dyDescent="0.3">
      <c r="A49" s="348"/>
      <c r="B49" s="348"/>
      <c r="C49" s="348"/>
    </row>
    <row r="50" spans="1:3" ht="15" customHeight="1" x14ac:dyDescent="0.3">
      <c r="A50" s="348"/>
      <c r="B50" s="348"/>
      <c r="C50" s="348"/>
    </row>
    <row r="51" spans="1:3" ht="15" customHeight="1" x14ac:dyDescent="0.3">
      <c r="A51" s="348"/>
      <c r="B51" s="348"/>
      <c r="C51" s="348"/>
    </row>
    <row r="52" spans="1:3" ht="15" customHeight="1" x14ac:dyDescent="0.3">
      <c r="A52" s="348"/>
      <c r="B52" s="348"/>
      <c r="C52" s="348"/>
    </row>
    <row r="53" spans="1:3" ht="15" customHeight="1" x14ac:dyDescent="0.3">
      <c r="A53" s="348"/>
      <c r="B53" s="348"/>
      <c r="C53" s="348"/>
    </row>
    <row r="54" spans="1:3" ht="15" customHeight="1" x14ac:dyDescent="0.3">
      <c r="A54" s="348"/>
      <c r="B54" s="348"/>
      <c r="C54" s="348"/>
    </row>
    <row r="55" spans="1:3" ht="15" customHeight="1" x14ac:dyDescent="0.3">
      <c r="A55" s="348"/>
      <c r="B55" s="348"/>
      <c r="C55" s="348"/>
    </row>
    <row r="56" spans="1:3" ht="15" customHeight="1" x14ac:dyDescent="0.3">
      <c r="A56" s="348"/>
      <c r="B56" s="348"/>
      <c r="C56" s="348"/>
    </row>
    <row r="57" spans="1:3" ht="15" customHeight="1" x14ac:dyDescent="0.3">
      <c r="A57" s="348"/>
      <c r="B57" s="348"/>
      <c r="C57" s="348"/>
    </row>
    <row r="58" spans="1:3" ht="15" customHeight="1" x14ac:dyDescent="0.3">
      <c r="A58" s="348"/>
      <c r="B58" s="348"/>
      <c r="C58" s="348"/>
    </row>
    <row r="59" spans="1:3" ht="15" customHeight="1" x14ac:dyDescent="0.3">
      <c r="A59" s="348"/>
      <c r="B59" s="348"/>
      <c r="C59" s="348"/>
    </row>
    <row r="60" spans="1:3" ht="15" customHeight="1" x14ac:dyDescent="0.3">
      <c r="A60" s="348"/>
      <c r="B60" s="348"/>
      <c r="C60" s="34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D1:M2"/>
    <mergeCell ref="N1:W2"/>
    <mergeCell ref="A2:C2"/>
    <mergeCell ref="A3:C3"/>
    <mergeCell ref="D3:M4"/>
    <mergeCell ref="N3:W4"/>
    <mergeCell ref="A4:C4"/>
    <mergeCell ref="A5:C5"/>
    <mergeCell ref="A6:C6"/>
    <mergeCell ref="A7:C7"/>
    <mergeCell ref="G7:I8"/>
    <mergeCell ref="Q7:S8"/>
    <mergeCell ref="A8:C8"/>
    <mergeCell ref="A9:C9"/>
    <mergeCell ref="G9:I12"/>
    <mergeCell ref="Q9:S12"/>
    <mergeCell ref="A10:C10"/>
    <mergeCell ref="A11:C11"/>
    <mergeCell ref="A12:C12"/>
    <mergeCell ref="A13:C13"/>
    <mergeCell ref="G13:I16"/>
    <mergeCell ref="Q13:S16"/>
    <mergeCell ref="A14:C14"/>
    <mergeCell ref="A15:C15"/>
    <mergeCell ref="A16:C16"/>
    <mergeCell ref="A17:C17"/>
    <mergeCell ref="G17:I20"/>
    <mergeCell ref="Q17:S20"/>
    <mergeCell ref="A18:C18"/>
    <mergeCell ref="A19:C19"/>
    <mergeCell ref="A20:C20"/>
    <mergeCell ref="A38:C38"/>
    <mergeCell ref="A43:C60"/>
    <mergeCell ref="A21:C21"/>
    <mergeCell ref="G21:I32"/>
    <mergeCell ref="Q21:S32"/>
    <mergeCell ref="A26:C34"/>
    <mergeCell ref="A36:C36"/>
    <mergeCell ref="A37:C37"/>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66"/>
      <c r="B1" s="366"/>
      <c r="C1" s="366"/>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7" t="str">
        <f>IF(OR(A9="YES",A9="NO"),"EQ","BLANK")</f>
        <v>BLANK</v>
      </c>
      <c r="B6" s="367"/>
      <c r="C6" s="367"/>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8" t="s">
        <v>494</v>
      </c>
      <c r="B7" s="368"/>
      <c r="C7" s="368"/>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69"/>
      <c r="B8" s="369"/>
      <c r="C8" s="369"/>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63" t="s">
        <v>163</v>
      </c>
      <c r="B9" s="364"/>
      <c r="C9" s="365"/>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7" t="str">
        <f>IF(OR(A15="YES",A15="NO"),"EQ","BLANK")</f>
        <v>BLANK</v>
      </c>
      <c r="B12" s="367"/>
      <c r="C12" s="367"/>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8" t="s">
        <v>495</v>
      </c>
      <c r="B13" s="368"/>
      <c r="C13" s="368"/>
      <c r="D13" s="270" t="s">
        <v>496</v>
      </c>
      <c r="E13" s="270"/>
      <c r="F13" s="270"/>
      <c r="G13" s="270"/>
      <c r="H13" s="270"/>
      <c r="I13" s="270"/>
      <c r="J13" s="270"/>
      <c r="K13" s="270"/>
      <c r="L13" s="270"/>
      <c r="M13" s="20"/>
      <c r="N13" s="270" t="s">
        <v>496</v>
      </c>
      <c r="O13" s="270"/>
      <c r="P13" s="270"/>
      <c r="Q13" s="270"/>
      <c r="R13" s="270"/>
      <c r="S13" s="270"/>
      <c r="T13" s="270"/>
      <c r="U13" s="270"/>
      <c r="V13" s="270"/>
      <c r="W13" s="20"/>
      <c r="X13" s="270" t="s">
        <v>496</v>
      </c>
      <c r="Y13" s="270"/>
      <c r="Z13" s="270"/>
      <c r="AA13" s="270"/>
      <c r="AB13" s="270"/>
      <c r="AC13" s="270"/>
      <c r="AD13" s="270"/>
      <c r="AE13" s="270"/>
      <c r="AF13" s="270"/>
      <c r="AG13" s="20"/>
      <c r="AH13" s="270" t="s">
        <v>496</v>
      </c>
      <c r="AI13" s="270"/>
      <c r="AJ13" s="270"/>
      <c r="AK13" s="270"/>
      <c r="AL13" s="270"/>
      <c r="AM13" s="270"/>
      <c r="AN13" s="270"/>
      <c r="AO13" s="270"/>
      <c r="AP13" s="270"/>
      <c r="AQ13" s="20"/>
      <c r="AR13" s="270" t="s">
        <v>496</v>
      </c>
      <c r="AS13" s="270"/>
      <c r="AT13" s="270"/>
      <c r="AU13" s="270"/>
      <c r="AV13" s="270"/>
      <c r="AW13" s="270"/>
      <c r="AX13" s="270"/>
      <c r="AY13" s="270"/>
      <c r="AZ13" s="270"/>
      <c r="BA13" s="20"/>
    </row>
    <row r="14" spans="1:53" ht="15" customHeight="1" thickBot="1" x14ac:dyDescent="0.35">
      <c r="A14" s="369"/>
      <c r="B14" s="369"/>
      <c r="C14" s="369"/>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thickBot="1" x14ac:dyDescent="0.35">
      <c r="A15" s="363" t="s">
        <v>163</v>
      </c>
      <c r="B15" s="364"/>
      <c r="C15" s="365"/>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7" t="str">
        <f>IF(COUNTIF(A7:A16,"YES"),"FILL OUT THIS TAB.",IF(COUNTIF(A7:A16,"Select Drop Down"),"","NO ACTION NEEDED."))</f>
        <v/>
      </c>
      <c r="B17" s="367"/>
      <c r="C17" s="367"/>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0" t="str">
        <f>'F.3.1-4 Tube Chassis'!D25</f>
        <v>mm</v>
      </c>
      <c r="B19" s="370"/>
      <c r="C19" s="370"/>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IF(OR(COUNTIF(A6:C12,"BLANK"),COUNTIF(D30:AS31,"BLANK")),"BLANK",IF(COUNTIF(D30:AS31,"REJECT"),"REJECT",IF(COUNTIF(D30:AS31,"CHECK"),"CHECK",IF(AND(A9="No",A15="No"),"N/A","EQ"))))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IF(COUNTIF(D33:L55,"BLANK"),"BLANK",IF(COUNTIF(D33:L55,"REJECT"),"REJECT",IF(COUNTIF(D33:L55,"CHECK"),"CHECK","EQ")))</f>
        <v>EQ</v>
      </c>
      <c r="E30" s="373"/>
      <c r="F30" s="373" t="s">
        <v>497</v>
      </c>
      <c r="G30" s="373"/>
      <c r="H30" s="373"/>
      <c r="I30" s="373"/>
      <c r="J30" s="373"/>
      <c r="K30" s="373"/>
      <c r="L30" s="373"/>
      <c r="N30" s="373" t="str">
        <f>IF(COUNTIF(N33:V55,"BLANK"),"BLANK",IF(COUNTIF(N33:V55,"REJECT"),"REJECT",IF(COUNTIF(N33:V55,"CHECK"),"CHECK","EQ")))</f>
        <v>EQ</v>
      </c>
      <c r="O30" s="373"/>
      <c r="P30" s="373" t="s">
        <v>497</v>
      </c>
      <c r="Q30" s="373"/>
      <c r="R30" s="373"/>
      <c r="S30" s="373"/>
      <c r="T30" s="373"/>
      <c r="U30" s="373"/>
      <c r="V30" s="373"/>
      <c r="X30" s="373" t="str">
        <f>IF(COUNTIF(X33:AF55,"BLANK"),"BLANK",IF(COUNTIF(X33:AF55,"REJECT"),"REJECT",IF(COUNTIF(X33:AF55,"CHECK"),"CHECK","EQ")))</f>
        <v>EQ</v>
      </c>
      <c r="Y30" s="373"/>
      <c r="Z30" s="373" t="s">
        <v>497</v>
      </c>
      <c r="AA30" s="373"/>
      <c r="AB30" s="373"/>
      <c r="AC30" s="373"/>
      <c r="AD30" s="373"/>
      <c r="AE30" s="373"/>
      <c r="AF30" s="373"/>
      <c r="AH30" s="373" t="str">
        <f>IF(COUNTIF(AH33:AP55,"BLANK"),"BLANK",IF(COUNTIF(AH33:AP55,"REJECT"),"REJECT",IF(COUNTIF(AH33:AP55,"CHECK"),"CHECK","EQ")))</f>
        <v>EQ</v>
      </c>
      <c r="AI30" s="373"/>
      <c r="AJ30" s="373" t="s">
        <v>497</v>
      </c>
      <c r="AK30" s="373"/>
      <c r="AL30" s="373"/>
      <c r="AM30" s="373"/>
      <c r="AN30" s="373"/>
      <c r="AO30" s="373"/>
      <c r="AP30" s="373"/>
      <c r="AR30" s="373" t="str">
        <f>IF(COUNTIF(AR33:AZ55,"BLANK"),"BLANK",IF(COUNTIF(AR33:AZ55,"REJECT"),"REJECT",IF(COUNTIF(AR33:AZ55,"CHECK"),"CHECK","EQ")))</f>
        <v>EQ</v>
      </c>
      <c r="AS30" s="373"/>
      <c r="AT30" s="373" t="s">
        <v>497</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374" t="str">
        <f>IF($A$19="mm","Note: Young's Modulus is given in MPa, not Gpa.","")</f>
        <v>Note: Young's Modulus is given in MPa, not Gpa.</v>
      </c>
      <c r="E32" s="374"/>
      <c r="F32" s="374"/>
      <c r="G32" s="374"/>
      <c r="H32" s="374"/>
      <c r="I32" s="374"/>
      <c r="J32" s="374"/>
      <c r="K32" s="374"/>
      <c r="L32" s="374"/>
      <c r="N32" s="374" t="str">
        <f>IF($A$19="mm","Note: Young's Modulus is given in MPa, not Gpa.","")</f>
        <v>Note: Young's Modulus is given in MPa, not Gpa.</v>
      </c>
      <c r="O32" s="374"/>
      <c r="P32" s="374"/>
      <c r="Q32" s="374"/>
      <c r="R32" s="374"/>
      <c r="S32" s="374"/>
      <c r="T32" s="374"/>
      <c r="U32" s="374"/>
      <c r="V32" s="374"/>
      <c r="X32" s="374" t="str">
        <f>IF($A$19="mm","Note: Young's Modulus is given in MPa, not Gpa.","")</f>
        <v>Note: Young's Modulus is given in MPa, not Gpa.</v>
      </c>
      <c r="Y32" s="374"/>
      <c r="Z32" s="374"/>
      <c r="AA32" s="374"/>
      <c r="AB32" s="374"/>
      <c r="AC32" s="374"/>
      <c r="AD32" s="374"/>
      <c r="AE32" s="374"/>
      <c r="AF32" s="374"/>
      <c r="AH32" s="374" t="str">
        <f>IF($A$19="mm","Note: Young's Modulus is given in MPa, not Gpa.","")</f>
        <v>Note: Young's Modulus is given in MPa, not Gpa.</v>
      </c>
      <c r="AI32" s="374"/>
      <c r="AJ32" s="374"/>
      <c r="AK32" s="374"/>
      <c r="AL32" s="374"/>
      <c r="AM32" s="374"/>
      <c r="AN32" s="374"/>
      <c r="AO32" s="374"/>
      <c r="AP32" s="374"/>
      <c r="AR32" s="374" t="str">
        <f>IF($A$19="mm","Note: Young's Modulus is given in MPa, not Gpa.","")</f>
        <v>Note: Young's Modulus is given in MPa, not Gpa.</v>
      </c>
      <c r="AS32" s="374"/>
      <c r="AT32" s="374"/>
      <c r="AU32" s="374"/>
      <c r="AV32" s="374"/>
      <c r="AW32" s="374"/>
      <c r="AX32" s="374"/>
      <c r="AY32" s="374"/>
      <c r="AZ32" s="374"/>
    </row>
    <row r="33" spans="1:52" ht="15" customHeight="1" x14ac:dyDescent="0.3">
      <c r="A33" s="315">
        <f>'F.3.1-4 Tube Chassis'!$C$1</f>
        <v>0</v>
      </c>
      <c r="B33" s="315"/>
      <c r="C33" s="315"/>
      <c r="D33" s="376" t="str">
        <f>IF(COUNTIF(L35:L55,"BLANK"),"BLANK",IF(OR(SUMPRODUCT(--ISERROR(L35:L55))&gt;0,COUNTIF(L35:L55,"REJECT")),"REJECT",IF(COUNTIF(L35:L55,"CHECK"),"CHECK","EQ")))</f>
        <v>EQ</v>
      </c>
      <c r="E33" s="376"/>
      <c r="F33" s="376"/>
      <c r="G33" s="376"/>
      <c r="H33" s="376"/>
      <c r="I33" s="376"/>
      <c r="J33" s="376"/>
      <c r="K33" s="376"/>
      <c r="L33" s="376"/>
      <c r="N33" s="376" t="str">
        <f>IF(COUNTIF(V35:V55,"BLANK"),"BLANK",IF(OR(SUMPRODUCT(--ISERROR(V35:V55))&gt;0,COUNTIF(V35:V55,"REJECT")),"REJECT",IF(COUNTIF(V35:V55,"CHECK"),"CHECK","EQ")))</f>
        <v>EQ</v>
      </c>
      <c r="O33" s="376"/>
      <c r="P33" s="376"/>
      <c r="Q33" s="376"/>
      <c r="R33" s="376"/>
      <c r="S33" s="376"/>
      <c r="T33" s="376"/>
      <c r="U33" s="376"/>
      <c r="V33" s="376"/>
      <c r="X33" s="376" t="str">
        <f>IF(COUNTIF(AF35:AF55,"BLANK"),"BLANK",IF(OR(SUMPRODUCT(--ISERROR(AF35:AF55))&gt;0,COUNTIF(AF35:AF55,"REJECT")),"REJECT",IF(COUNTIF(AF35:AF55,"CHECK"),"CHECK","EQ")))</f>
        <v>EQ</v>
      </c>
      <c r="Y33" s="376"/>
      <c r="Z33" s="376"/>
      <c r="AA33" s="376"/>
      <c r="AB33" s="376"/>
      <c r="AC33" s="376"/>
      <c r="AD33" s="376"/>
      <c r="AE33" s="376"/>
      <c r="AF33" s="376"/>
      <c r="AH33" s="376" t="str">
        <f>IF(COUNTIF(AP35:AP55,"BLANK"),"BLANK",IF(OR(SUMPRODUCT(--ISERROR(AP35:AP55))&gt;0,COUNTIF(AP35:AP55,"REJECT")),"REJECT",IF(COUNTIF(AP35:AP55,"CHECK"),"CHECK","EQ")))</f>
        <v>EQ</v>
      </c>
      <c r="AI33" s="376"/>
      <c r="AJ33" s="376"/>
      <c r="AK33" s="376"/>
      <c r="AL33" s="376"/>
      <c r="AM33" s="376"/>
      <c r="AN33" s="376"/>
      <c r="AO33" s="376"/>
      <c r="AP33" s="376"/>
      <c r="AR33" s="376" t="str">
        <f>IF(COUNTIF(AZ35:AZ55,"BLANK"),"BLANK",IF(OR(SUMPRODUCT(--ISERROR(AZ35:AZ55))&gt;0,COUNTIF(AZ35:AZ55,"REJECT")),"REJECT",IF(COUNTIF(AZ35:AZ55,"CHECK"),"CHECK","EQ")))</f>
        <v>EQ</v>
      </c>
      <c r="AS33" s="376"/>
      <c r="AT33" s="376"/>
      <c r="AU33" s="376"/>
      <c r="AV33" s="376"/>
      <c r="AW33" s="376"/>
      <c r="AX33" s="376"/>
      <c r="AY33" s="376"/>
      <c r="AZ33" s="376"/>
    </row>
    <row r="34" spans="1:52" ht="15" customHeight="1" x14ac:dyDescent="0.3">
      <c r="A34" s="313">
        <f>'F.3.1-4 Tube Chassis'!$C$2</f>
        <v>0</v>
      </c>
      <c r="B34" s="313"/>
      <c r="C34" s="313"/>
      <c r="D34" s="121"/>
      <c r="E34" s="121"/>
      <c r="F34" s="121"/>
      <c r="G34" s="121"/>
      <c r="H34" s="121"/>
      <c r="I34" s="122" t="s">
        <v>304</v>
      </c>
      <c r="J34" s="374" t="s">
        <v>498</v>
      </c>
      <c r="K34" s="375"/>
      <c r="L34" s="121" t="s">
        <v>89</v>
      </c>
      <c r="N34" s="121"/>
      <c r="O34" s="121"/>
      <c r="P34" s="121"/>
      <c r="Q34" s="121"/>
      <c r="R34" s="121"/>
      <c r="S34" s="122" t="s">
        <v>304</v>
      </c>
      <c r="T34" s="374" t="s">
        <v>498</v>
      </c>
      <c r="U34" s="375"/>
      <c r="V34" s="121" t="s">
        <v>89</v>
      </c>
      <c r="X34" s="121"/>
      <c r="Y34" s="121"/>
      <c r="Z34" s="121"/>
      <c r="AA34" s="121"/>
      <c r="AB34" s="121"/>
      <c r="AC34" s="122" t="s">
        <v>304</v>
      </c>
      <c r="AD34" s="374" t="s">
        <v>498</v>
      </c>
      <c r="AE34" s="375"/>
      <c r="AF34" s="121" t="s">
        <v>89</v>
      </c>
      <c r="AH34" s="121"/>
      <c r="AI34" s="121"/>
      <c r="AJ34" s="121"/>
      <c r="AK34" s="121"/>
      <c r="AL34" s="121"/>
      <c r="AM34" s="122" t="s">
        <v>304</v>
      </c>
      <c r="AN34" s="374" t="s">
        <v>498</v>
      </c>
      <c r="AO34" s="375"/>
      <c r="AP34" s="121" t="s">
        <v>89</v>
      </c>
      <c r="AR34" s="121"/>
      <c r="AS34" s="121"/>
      <c r="AT34" s="121"/>
      <c r="AU34" s="121"/>
      <c r="AV34" s="121"/>
      <c r="AW34" s="122" t="s">
        <v>304</v>
      </c>
      <c r="AX34" s="374" t="s">
        <v>498</v>
      </c>
      <c r="AY34" s="375"/>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77" t="s">
        <v>499</v>
      </c>
      <c r="K35" s="378"/>
      <c r="L35" s="121" t="s">
        <v>89</v>
      </c>
      <c r="N35" s="121"/>
      <c r="O35" s="121"/>
      <c r="P35" s="121"/>
      <c r="Q35" s="121"/>
      <c r="R35" s="121"/>
      <c r="S35" s="123" t="s">
        <v>492</v>
      </c>
      <c r="T35" s="377" t="s">
        <v>499</v>
      </c>
      <c r="U35" s="378"/>
      <c r="V35" s="121" t="s">
        <v>89</v>
      </c>
      <c r="X35" s="121"/>
      <c r="Y35" s="121"/>
      <c r="Z35" s="121"/>
      <c r="AA35" s="121"/>
      <c r="AB35" s="121"/>
      <c r="AC35" s="123" t="s">
        <v>492</v>
      </c>
      <c r="AD35" s="377" t="s">
        <v>499</v>
      </c>
      <c r="AE35" s="378"/>
      <c r="AF35" s="121" t="s">
        <v>89</v>
      </c>
      <c r="AH35" s="121"/>
      <c r="AI35" s="121"/>
      <c r="AJ35" s="121"/>
      <c r="AK35" s="121"/>
      <c r="AL35" s="121"/>
      <c r="AM35" s="123" t="s">
        <v>492</v>
      </c>
      <c r="AN35" s="377" t="s">
        <v>499</v>
      </c>
      <c r="AO35" s="378"/>
      <c r="AP35" s="121" t="s">
        <v>89</v>
      </c>
      <c r="AR35" s="121"/>
      <c r="AS35" s="121"/>
      <c r="AT35" s="121"/>
      <c r="AU35" s="121"/>
      <c r="AV35" s="121"/>
      <c r="AW35" s="123" t="s">
        <v>492</v>
      </c>
      <c r="AX35" s="377" t="s">
        <v>499</v>
      </c>
      <c r="AY35" s="378"/>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77" t="s">
        <v>500</v>
      </c>
      <c r="K36" s="378"/>
      <c r="L36" s="121" t="s">
        <v>89</v>
      </c>
      <c r="N36" s="121"/>
      <c r="O36" s="121"/>
      <c r="P36" s="121"/>
      <c r="Q36" s="121"/>
      <c r="R36" s="121"/>
      <c r="S36" s="123" t="s">
        <v>301</v>
      </c>
      <c r="T36" s="377" t="s">
        <v>500</v>
      </c>
      <c r="U36" s="378"/>
      <c r="V36" s="121" t="s">
        <v>89</v>
      </c>
      <c r="X36" s="121"/>
      <c r="Y36" s="121"/>
      <c r="Z36" s="121"/>
      <c r="AA36" s="121"/>
      <c r="AB36" s="121"/>
      <c r="AC36" s="123" t="s">
        <v>301</v>
      </c>
      <c r="AD36" s="377" t="s">
        <v>500</v>
      </c>
      <c r="AE36" s="378"/>
      <c r="AF36" s="121" t="s">
        <v>89</v>
      </c>
      <c r="AH36" s="121"/>
      <c r="AI36" s="121"/>
      <c r="AJ36" s="121"/>
      <c r="AK36" s="121"/>
      <c r="AL36" s="121"/>
      <c r="AM36" s="123" t="s">
        <v>301</v>
      </c>
      <c r="AN36" s="377" t="s">
        <v>500</v>
      </c>
      <c r="AO36" s="378"/>
      <c r="AP36" s="121" t="s">
        <v>89</v>
      </c>
      <c r="AR36" s="121"/>
      <c r="AS36" s="121"/>
      <c r="AT36" s="121"/>
      <c r="AU36" s="121"/>
      <c r="AV36" s="121"/>
      <c r="AW36" s="123" t="s">
        <v>301</v>
      </c>
      <c r="AX36" s="377" t="s">
        <v>500</v>
      </c>
      <c r="AY36" s="378"/>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79" t="s">
        <v>501</v>
      </c>
      <c r="F37" s="379"/>
      <c r="G37" s="379"/>
      <c r="H37" s="379"/>
      <c r="I37" s="124" t="s">
        <v>160</v>
      </c>
      <c r="J37" s="380" t="s">
        <v>160</v>
      </c>
      <c r="K37" s="381"/>
      <c r="L37" s="121" t="str">
        <f>IF(J37="","BLANK","EQ")</f>
        <v>EQ</v>
      </c>
      <c r="N37" s="121"/>
      <c r="O37" s="379" t="s">
        <v>501</v>
      </c>
      <c r="P37" s="379"/>
      <c r="Q37" s="379"/>
      <c r="R37" s="379"/>
      <c r="S37" s="124" t="s">
        <v>160</v>
      </c>
      <c r="T37" s="380" t="s">
        <v>160</v>
      </c>
      <c r="U37" s="381"/>
      <c r="V37" s="121" t="str">
        <f>IF(T37="","BLANK","EQ")</f>
        <v>EQ</v>
      </c>
      <c r="X37" s="121"/>
      <c r="Y37" s="379" t="s">
        <v>501</v>
      </c>
      <c r="Z37" s="379"/>
      <c r="AA37" s="379"/>
      <c r="AB37" s="379"/>
      <c r="AC37" s="124" t="s">
        <v>160</v>
      </c>
      <c r="AD37" s="380" t="s">
        <v>160</v>
      </c>
      <c r="AE37" s="381"/>
      <c r="AF37" s="121" t="str">
        <f>IF(AD37="","BLANK","EQ")</f>
        <v>EQ</v>
      </c>
      <c r="AH37" s="121"/>
      <c r="AI37" s="379" t="s">
        <v>501</v>
      </c>
      <c r="AJ37" s="379"/>
      <c r="AK37" s="379"/>
      <c r="AL37" s="379"/>
      <c r="AM37" s="124" t="s">
        <v>160</v>
      </c>
      <c r="AN37" s="380" t="s">
        <v>160</v>
      </c>
      <c r="AO37" s="381"/>
      <c r="AP37" s="121" t="str">
        <f>IF(AN37="","BLANK","EQ")</f>
        <v>EQ</v>
      </c>
      <c r="AR37" s="121"/>
      <c r="AS37" s="379" t="s">
        <v>501</v>
      </c>
      <c r="AT37" s="379"/>
      <c r="AU37" s="379"/>
      <c r="AV37" s="379"/>
      <c r="AW37" s="124" t="s">
        <v>160</v>
      </c>
      <c r="AX37" s="380" t="s">
        <v>160</v>
      </c>
      <c r="AY37" s="381"/>
      <c r="AZ37" s="121" t="str">
        <f>IF(AX37="","BLANK","EQ")</f>
        <v>EQ</v>
      </c>
    </row>
    <row r="38" spans="1:52" ht="15" customHeight="1" thickBot="1" x14ac:dyDescent="0.35">
      <c r="E38" s="379" t="s">
        <v>502</v>
      </c>
      <c r="F38" s="379"/>
      <c r="G38" s="379"/>
      <c r="H38" s="379"/>
      <c r="I38" s="125" t="s">
        <v>335</v>
      </c>
      <c r="J38" s="126" t="s">
        <v>3</v>
      </c>
      <c r="L38" s="121" t="str">
        <f>IF(OR(I38="",J38=""),"BLANK","EQ")</f>
        <v>EQ</v>
      </c>
      <c r="O38" s="379" t="s">
        <v>502</v>
      </c>
      <c r="P38" s="379"/>
      <c r="Q38" s="379"/>
      <c r="R38" s="379"/>
      <c r="S38" s="125" t="s">
        <v>335</v>
      </c>
      <c r="T38" s="125" t="s">
        <v>3</v>
      </c>
      <c r="V38" s="121" t="str">
        <f>IF(OR(S38="",T38=""),"BLANK","EQ")</f>
        <v>EQ</v>
      </c>
      <c r="Y38" s="379" t="s">
        <v>502</v>
      </c>
      <c r="Z38" s="379"/>
      <c r="AA38" s="379"/>
      <c r="AB38" s="379"/>
      <c r="AC38" s="125" t="s">
        <v>335</v>
      </c>
      <c r="AD38" s="126" t="s">
        <v>3</v>
      </c>
      <c r="AF38" s="121" t="str">
        <f>IF(OR(AC38="",AD38=""),"BLANK","EQ")</f>
        <v>EQ</v>
      </c>
      <c r="AI38" s="379" t="s">
        <v>502</v>
      </c>
      <c r="AJ38" s="379"/>
      <c r="AK38" s="379"/>
      <c r="AL38" s="379"/>
      <c r="AM38" s="125" t="s">
        <v>335</v>
      </c>
      <c r="AN38" s="126" t="s">
        <v>3</v>
      </c>
      <c r="AP38" s="121" t="str">
        <f>IF(OR(AM38="",AN38=""),"BLANK","EQ")</f>
        <v>EQ</v>
      </c>
      <c r="AS38" s="379" t="s">
        <v>502</v>
      </c>
      <c r="AT38" s="379"/>
      <c r="AU38" s="379"/>
      <c r="AV38" s="379"/>
      <c r="AW38" s="125" t="s">
        <v>335</v>
      </c>
      <c r="AX38" s="126" t="s">
        <v>3</v>
      </c>
      <c r="AZ38" s="121" t="str">
        <f>IF(OR(AW38="",AX38=""),"BLANK","EQ")</f>
        <v>EQ</v>
      </c>
    </row>
    <row r="39" spans="1:52" ht="15" customHeight="1" x14ac:dyDescent="0.3">
      <c r="A39" s="382" t="s">
        <v>526</v>
      </c>
      <c r="B39" s="382"/>
      <c r="C39" s="382"/>
      <c r="D39" s="84" t="s">
        <v>489</v>
      </c>
      <c r="E39" s="379" t="s">
        <v>23</v>
      </c>
      <c r="F39" s="379"/>
      <c r="G39" s="379"/>
      <c r="H39" s="379"/>
      <c r="I39" s="121">
        <f>IF($A$19="mm",
IF(I38="Size A",2,1.2),
IF(I38="Size A",0.079,0.047))</f>
        <v>2</v>
      </c>
      <c r="J39" s="127"/>
      <c r="K39" s="128" t="str">
        <f>IF($A$19="mm","mm","in")</f>
        <v>mm</v>
      </c>
      <c r="L39" s="121" t="str">
        <f>IF(AND(NOT($A$17="FILL OUT THIS TAB."),J$39="",J$40=""),"EQ",IF(J39="","BLANK",IF(J39&gt;I39,"EQ","REJECT")))</f>
        <v>EQ</v>
      </c>
      <c r="N39" s="84" t="s">
        <v>489</v>
      </c>
      <c r="O39" s="379" t="s">
        <v>23</v>
      </c>
      <c r="P39" s="379"/>
      <c r="Q39" s="379"/>
      <c r="R39" s="379"/>
      <c r="S39" s="121">
        <f>IF($A$19="mm",
IF(S38="Size A",2,1.2),
IF(S38="Size A",0.079,0.047))</f>
        <v>2</v>
      </c>
      <c r="T39" s="129"/>
      <c r="U39" s="128" t="str">
        <f>IF($A$19="mm","mm","in")</f>
        <v>mm</v>
      </c>
      <c r="V39" s="121" t="str">
        <f>IF(AND(T$39="",T$40=""),"EQ",IF(T39="","BLANK",IF(T39&gt;=S39,"EQ","REJECT")))</f>
        <v>EQ</v>
      </c>
      <c r="X39" s="84" t="s">
        <v>489</v>
      </c>
      <c r="Y39" s="379" t="s">
        <v>23</v>
      </c>
      <c r="Z39" s="379"/>
      <c r="AA39" s="379"/>
      <c r="AB39" s="379"/>
      <c r="AC39" s="121">
        <f>IF($A$19="mm",
IF(AC38="Size A",2,1.2),
IF(AC38="Size A",0.079,0.047))</f>
        <v>2</v>
      </c>
      <c r="AD39" s="130"/>
      <c r="AE39" s="128" t="str">
        <f>IF($A$19="mm","mm","in")</f>
        <v>mm</v>
      </c>
      <c r="AF39" s="121" t="str">
        <f>IF(AND(AD$39="",AD$40=""),"EQ",IF(AD39="","BLANK",IF(AD39&gt;=AC39,"EQ","REJECT")))</f>
        <v>EQ</v>
      </c>
      <c r="AH39" s="84" t="s">
        <v>489</v>
      </c>
      <c r="AI39" s="379" t="s">
        <v>23</v>
      </c>
      <c r="AJ39" s="379"/>
      <c r="AK39" s="379"/>
      <c r="AL39" s="379"/>
      <c r="AM39" s="121">
        <f>IF($A$19="mm",
IF(AM38="Size A",2,1.2),
IF(AM38="Size A",0.079,0.047))</f>
        <v>2</v>
      </c>
      <c r="AN39" s="130"/>
      <c r="AO39" s="128" t="str">
        <f>IF($A$19="mm","mm","in")</f>
        <v>mm</v>
      </c>
      <c r="AP39" s="121" t="str">
        <f>IF(AND(AN$39="",AN$40=""),"EQ",IF(AN39="","BLANK",IF(AN39&gt;=AM39,"EQ","REJECT")))</f>
        <v>EQ</v>
      </c>
      <c r="AR39" s="84" t="s">
        <v>489</v>
      </c>
      <c r="AS39" s="379" t="s">
        <v>23</v>
      </c>
      <c r="AT39" s="379"/>
      <c r="AU39" s="379"/>
      <c r="AV39" s="379"/>
      <c r="AW39" s="121">
        <f>IF($A$19="mm",
IF(AW38="Size A",2,1.2),
IF(AW38="Size A",0.079,0.047))</f>
        <v>2</v>
      </c>
      <c r="AX39" s="130"/>
      <c r="AY39" s="128" t="str">
        <f>IF($A$19="mm","mm","in")</f>
        <v>mm</v>
      </c>
      <c r="AZ39" s="121" t="str">
        <f>IF(AND(AX$39="",AX$40=""),"EQ",IF(AX39="","BLANK",IF(AX39&gt;=AW39,"EQ","REJECT")))</f>
        <v>EQ</v>
      </c>
    </row>
    <row r="40" spans="1:52" ht="15" customHeight="1" x14ac:dyDescent="0.3">
      <c r="A40" s="382"/>
      <c r="B40" s="382"/>
      <c r="C40" s="382"/>
      <c r="D40" s="61"/>
      <c r="E40" s="379" t="str">
        <f>IF(J38="Round","Outer Diameter:","Square side:")</f>
        <v>Outer Diameter:</v>
      </c>
      <c r="F40" s="379"/>
      <c r="G40" s="379"/>
      <c r="H40" s="379"/>
      <c r="I40" s="121">
        <f>IF($A$19="mm",25,0.984)</f>
        <v>25</v>
      </c>
      <c r="J40" s="130"/>
      <c r="K40" s="128" t="str">
        <f>IF($A$19="mm","mm","in")</f>
        <v>mm</v>
      </c>
      <c r="L40" s="121" t="str">
        <f>IF(AND(NOT($A$17="FILL OUT THIS TAB."),J$39="",J$40=""),"EQ",IF(J40="","BLANK",IF(J40&gt;I40,"EQ","REJECT")))</f>
        <v>EQ</v>
      </c>
      <c r="N40" s="61"/>
      <c r="O40" s="379" t="str">
        <f>IF(T38="Round","Outer Diameter:","Square side:")</f>
        <v>Outer Diameter:</v>
      </c>
      <c r="P40" s="379"/>
      <c r="Q40" s="379"/>
      <c r="R40" s="379"/>
      <c r="S40" s="121">
        <f>IF($A$19="mm",25,0.984)</f>
        <v>25</v>
      </c>
      <c r="T40" s="130"/>
      <c r="U40" s="128" t="str">
        <f>IF($A$19="mm","mm","in")</f>
        <v>mm</v>
      </c>
      <c r="V40" s="121" t="str">
        <f>IF(AND(T$39="",T$40=""),"EQ",IF(T40="","BLANK",IF(T40&gt;=S40,"EQ","REJECT")))</f>
        <v>EQ</v>
      </c>
      <c r="X40" s="61"/>
      <c r="Y40" s="379" t="str">
        <f>IF(AD38="Round","Outer Diameter:","Square side:")</f>
        <v>Outer Diameter:</v>
      </c>
      <c r="Z40" s="379"/>
      <c r="AA40" s="379"/>
      <c r="AB40" s="379"/>
      <c r="AC40" s="121">
        <f>IF($A$19="mm",25,0.984)</f>
        <v>25</v>
      </c>
      <c r="AD40" s="130"/>
      <c r="AE40" s="128" t="str">
        <f>IF($A$19="mm","mm","in")</f>
        <v>mm</v>
      </c>
      <c r="AF40" s="121" t="str">
        <f>IF(AND(AD$39="",AD$40=""),"EQ",IF(AD40="","BLANK",IF(AD40&gt;=AC40,"EQ","REJECT")))</f>
        <v>EQ</v>
      </c>
      <c r="AH40" s="61"/>
      <c r="AI40" s="379" t="str">
        <f>IF(AN38="Round","Outer Diameter:","Square side:")</f>
        <v>Outer Diameter:</v>
      </c>
      <c r="AJ40" s="379"/>
      <c r="AK40" s="379"/>
      <c r="AL40" s="379"/>
      <c r="AM40" s="121">
        <f>IF($A$19="mm",25,0.984)</f>
        <v>25</v>
      </c>
      <c r="AN40" s="130"/>
      <c r="AO40" s="128" t="str">
        <f>IF($A$19="mm","mm","in")</f>
        <v>mm</v>
      </c>
      <c r="AP40" s="121" t="str">
        <f>IF(AND(AN$39="",AN$40=""),"EQ",IF(AN40="","BLANK",IF(AN40&gt;=AM40,"EQ","REJECT")))</f>
        <v>EQ</v>
      </c>
      <c r="AR40" s="61"/>
      <c r="AS40" s="379" t="str">
        <f>IF(AX38="Round","Outer Diameter:","Square side:")</f>
        <v>Outer Diameter:</v>
      </c>
      <c r="AT40" s="379"/>
      <c r="AU40" s="379"/>
      <c r="AV40" s="379"/>
      <c r="AW40" s="121">
        <f>IF($A$19="mm",25,0.984)</f>
        <v>25</v>
      </c>
      <c r="AX40" s="130"/>
      <c r="AY40" s="128" t="str">
        <f>IF($A$19="mm","mm","in")</f>
        <v>mm</v>
      </c>
      <c r="AZ40" s="121" t="str">
        <f>IF(AND(AX$39="",AX$40=""),"EQ",IF(AX40="","BLANK",IF(AX40&gt;=AW40,"EQ","REJECT")))</f>
        <v>EQ</v>
      </c>
    </row>
    <row r="41" spans="1:52" ht="15" customHeight="1" x14ac:dyDescent="0.3">
      <c r="A41" s="382"/>
      <c r="B41" s="382"/>
      <c r="C41" s="382"/>
      <c r="D41" s="61"/>
      <c r="E41" s="379" t="s">
        <v>503</v>
      </c>
      <c r="F41" s="379"/>
      <c r="G41" s="379"/>
      <c r="H41" s="379"/>
      <c r="I41" s="131">
        <f>IF(I38="Size A",173,
IF(I38="Size B",114,
IF(I38="Size C",91,126)))
*IF($A$19="mm",1,1/(25.4^2))</f>
        <v>173</v>
      </c>
      <c r="J41" s="132" t="s">
        <v>504</v>
      </c>
      <c r="K41" s="128" t="s">
        <v>307</v>
      </c>
      <c r="L41" s="121" t="s">
        <v>89</v>
      </c>
      <c r="N41" s="61"/>
      <c r="O41" s="379" t="s">
        <v>503</v>
      </c>
      <c r="P41" s="379"/>
      <c r="Q41" s="379"/>
      <c r="R41" s="379"/>
      <c r="S41" s="131">
        <f>IF(S38="Size A",173,
IF(S38="Size B",114,
IF(S38="Size C",91,126)))*IF($A$19="mm",1,1/(25.4^2))</f>
        <v>173</v>
      </c>
      <c r="T41" s="132" t="s">
        <v>504</v>
      </c>
      <c r="U41" s="128" t="str">
        <f>IF($A$19="mm","mm^2","in^2")</f>
        <v>mm^2</v>
      </c>
      <c r="V41" s="121" t="s">
        <v>89</v>
      </c>
      <c r="X41" s="61"/>
      <c r="Y41" s="379" t="s">
        <v>503</v>
      </c>
      <c r="Z41" s="379"/>
      <c r="AA41" s="379"/>
      <c r="AB41" s="379"/>
      <c r="AC41" s="131">
        <f>IF(AC38="Size A",173,
IF(AC38="Size B",114,
IF(AC38="Size C",91,126)))*IF($A$19="mm",1,1/(25.4^2))</f>
        <v>173</v>
      </c>
      <c r="AD41" s="132" t="s">
        <v>504</v>
      </c>
      <c r="AE41" s="128" t="str">
        <f>IF($A$19="mm","mm^2","in^2")</f>
        <v>mm^2</v>
      </c>
      <c r="AF41" s="121" t="s">
        <v>89</v>
      </c>
      <c r="AH41" s="61"/>
      <c r="AI41" s="379" t="s">
        <v>503</v>
      </c>
      <c r="AJ41" s="379"/>
      <c r="AK41" s="379"/>
      <c r="AL41" s="379"/>
      <c r="AM41" s="131">
        <f>IF(AM38="Size A",173,
IF(AM38="Size B",114,
IF(AM38="Size C",91,126)))*IF($A$19="mm",1,1/(25.4^2))</f>
        <v>173</v>
      </c>
      <c r="AN41" s="132" t="s">
        <v>504</v>
      </c>
      <c r="AO41" s="128" t="str">
        <f>IF($A$19="mm","mm^2","in^2")</f>
        <v>mm^2</v>
      </c>
      <c r="AP41" s="121" t="s">
        <v>89</v>
      </c>
      <c r="AR41" s="61"/>
      <c r="AS41" s="379" t="s">
        <v>503</v>
      </c>
      <c r="AT41" s="379"/>
      <c r="AU41" s="379"/>
      <c r="AV41" s="379"/>
      <c r="AW41" s="131">
        <f>IF(AW38="Size A",173,
IF(AW38="Size B",114,
IF(AW38="Size C",91,126)))*IF($A$19="mm",1,1/(25.4^2))</f>
        <v>173</v>
      </c>
      <c r="AX41" s="132" t="s">
        <v>504</v>
      </c>
      <c r="AY41" s="128" t="str">
        <f>IF($A$19="mm","mm^2","in^2")</f>
        <v>mm^2</v>
      </c>
      <c r="AZ41" s="121" t="s">
        <v>89</v>
      </c>
    </row>
    <row r="42" spans="1:52" ht="15" customHeight="1" x14ac:dyDescent="0.3">
      <c r="A42" s="382"/>
      <c r="B42" s="382"/>
      <c r="C42" s="382"/>
      <c r="D42" s="133"/>
      <c r="E42" s="379" t="s">
        <v>505</v>
      </c>
      <c r="F42" s="379"/>
      <c r="G42" s="379"/>
      <c r="H42" s="379"/>
      <c r="I42" s="131">
        <f>IF(I38="Size A",11320,
IF(I38="Size B",8509,
IF(I38="Size C",6695,18015)))
*IF($A$19="mm",1,1/(25.4^4))</f>
        <v>11320</v>
      </c>
      <c r="J42" s="132" t="s">
        <v>504</v>
      </c>
      <c r="K42" s="128" t="s">
        <v>308</v>
      </c>
      <c r="L42" s="121" t="s">
        <v>89</v>
      </c>
      <c r="N42" s="133"/>
      <c r="O42" s="379" t="s">
        <v>505</v>
      </c>
      <c r="P42" s="379"/>
      <c r="Q42" s="379"/>
      <c r="R42" s="379"/>
      <c r="S42" s="131">
        <f>IF(S38="Size A",11320,
IF(S38="Size B",8509,
IF(S38="Size C",6695,18015)))*IF($A$19="mm",1,1/(25.4^4))</f>
        <v>11320</v>
      </c>
      <c r="T42" s="132" t="s">
        <v>504</v>
      </c>
      <c r="U42" s="128" t="str">
        <f>IF($A$19="mm","mm^4","in^4")</f>
        <v>mm^4</v>
      </c>
      <c r="V42" s="121" t="s">
        <v>89</v>
      </c>
      <c r="X42" s="133"/>
      <c r="Y42" s="379" t="s">
        <v>505</v>
      </c>
      <c r="Z42" s="379"/>
      <c r="AA42" s="379"/>
      <c r="AB42" s="379"/>
      <c r="AC42" s="131">
        <f>IF(AC38="Size A",11320,
IF(AC38="Size B",8509,
IF(AC38="Size C",6695,18015)))*IF($A$19="mm",1,1/(25.4^4))</f>
        <v>11320</v>
      </c>
      <c r="AD42" s="132" t="s">
        <v>504</v>
      </c>
      <c r="AE42" s="128" t="str">
        <f>IF($A$19="mm","mm^4","in^4")</f>
        <v>mm^4</v>
      </c>
      <c r="AF42" s="121" t="s">
        <v>89</v>
      </c>
      <c r="AH42" s="133"/>
      <c r="AI42" s="379" t="s">
        <v>505</v>
      </c>
      <c r="AJ42" s="379"/>
      <c r="AK42" s="379"/>
      <c r="AL42" s="379"/>
      <c r="AM42" s="131">
        <f>IF(AM38="Size A",11320,
IF(AM38="Size B",8509,
IF(AM38="Size C",6695,18015)))*IF($A$19="mm",1,1/(25.4^4))</f>
        <v>11320</v>
      </c>
      <c r="AN42" s="132" t="s">
        <v>504</v>
      </c>
      <c r="AO42" s="128" t="str">
        <f>IF($A$19="mm","mm^4","in^4")</f>
        <v>mm^4</v>
      </c>
      <c r="AP42" s="121" t="s">
        <v>89</v>
      </c>
      <c r="AR42" s="133"/>
      <c r="AS42" s="379" t="s">
        <v>505</v>
      </c>
      <c r="AT42" s="379"/>
      <c r="AU42" s="379"/>
      <c r="AV42" s="379"/>
      <c r="AW42" s="131">
        <f>IF(AW38="Size A",11320,
IF(AW38="Size B",8509,
IF(AW38="Size C",6695,18015)))*IF($A$19="mm",1,1/(25.4^4))</f>
        <v>11320</v>
      </c>
      <c r="AX42" s="132" t="s">
        <v>504</v>
      </c>
      <c r="AY42" s="128" t="str">
        <f>IF($A$19="mm","mm^4","in^4")</f>
        <v>mm^4</v>
      </c>
      <c r="AZ42" s="121" t="s">
        <v>89</v>
      </c>
    </row>
    <row r="43" spans="1:52" ht="15" customHeight="1" x14ac:dyDescent="0.3">
      <c r="A43" s="382"/>
      <c r="B43" s="382"/>
      <c r="C43" s="382"/>
      <c r="D43" s="133"/>
      <c r="E43" s="379" t="s">
        <v>506</v>
      </c>
      <c r="F43" s="379"/>
      <c r="G43" s="379"/>
      <c r="H43" s="379"/>
      <c r="I43" s="379"/>
      <c r="J43" s="134"/>
      <c r="K43" s="128" t="str">
        <f>IF($A$19="mm","mm^2","in^2")</f>
        <v>mm^2</v>
      </c>
      <c r="L43" s="121" t="str">
        <f>IF(AND(NOT($A$17="FILL OUT THIS TAB."),J$39="",J$40="",J$43="",J$44="",J$45="",J$46=""),"EQ",IF(J43="","BLANK","EQ"))</f>
        <v>EQ</v>
      </c>
      <c r="N43" s="133"/>
      <c r="O43" s="379" t="s">
        <v>506</v>
      </c>
      <c r="P43" s="379"/>
      <c r="Q43" s="379"/>
      <c r="R43" s="379"/>
      <c r="S43" s="379"/>
      <c r="T43" s="134"/>
      <c r="U43" s="128" t="str">
        <f>IF($A$19="mm","mm^2","in^2")</f>
        <v>mm^2</v>
      </c>
      <c r="V43" s="121" t="str">
        <f>IF(AND(T$39="",T$40="",T$43="",T$44="",T$45="",T$46=""),"EQ",IF(T43="","BLANK","EQ"))</f>
        <v>EQ</v>
      </c>
      <c r="X43" s="133"/>
      <c r="Y43" s="379" t="s">
        <v>506</v>
      </c>
      <c r="Z43" s="379"/>
      <c r="AA43" s="379"/>
      <c r="AB43" s="379"/>
      <c r="AC43" s="379"/>
      <c r="AD43" s="134"/>
      <c r="AE43" s="128" t="str">
        <f>IF($A$19="mm","mm^2","in^2")</f>
        <v>mm^2</v>
      </c>
      <c r="AF43" s="121" t="str">
        <f>IF(AND(AD$39="",AD$40="",AD$43="",AD$44="",AD$45="",AD$46=""),"EQ",IF(AD43="","BLANK","EQ"))</f>
        <v>EQ</v>
      </c>
      <c r="AH43" s="133"/>
      <c r="AI43" s="379" t="s">
        <v>506</v>
      </c>
      <c r="AJ43" s="379"/>
      <c r="AK43" s="379"/>
      <c r="AL43" s="379"/>
      <c r="AM43" s="379"/>
      <c r="AN43" s="134"/>
      <c r="AO43" s="128" t="str">
        <f>IF($A$19="mm","mm^2","in^2")</f>
        <v>mm^2</v>
      </c>
      <c r="AP43" s="121" t="str">
        <f>IF(AND(AN$39="",AN$40="",AN$43="",AN$44="",AN$45="",AN$46=""),"EQ",IF(AN43="","BLANK","EQ"))</f>
        <v>EQ</v>
      </c>
      <c r="AR43" s="133"/>
      <c r="AS43" s="379" t="s">
        <v>506</v>
      </c>
      <c r="AT43" s="379"/>
      <c r="AU43" s="379"/>
      <c r="AV43" s="379"/>
      <c r="AW43" s="379"/>
      <c r="AX43" s="134"/>
      <c r="AY43" s="128" t="str">
        <f>IF($A$19="mm","mm^2","in^2")</f>
        <v>mm^2</v>
      </c>
      <c r="AZ43" s="121" t="str">
        <f>IF(AND(AX$39="",AX$40="",AX$43="",AX$44="",AX$45="",AX$46=""),"EQ",IF(AX43="","BLANK","EQ"))</f>
        <v>EQ</v>
      </c>
    </row>
    <row r="44" spans="1:52" ht="15" customHeight="1" x14ac:dyDescent="0.3">
      <c r="A44" s="382"/>
      <c r="B44" s="382"/>
      <c r="C44" s="382"/>
      <c r="D44" s="133"/>
      <c r="E44" s="379" t="s">
        <v>507</v>
      </c>
      <c r="F44" s="379"/>
      <c r="G44" s="379"/>
      <c r="H44" s="379"/>
      <c r="I44" s="379"/>
      <c r="J44" s="134"/>
      <c r="K44" s="128" t="str">
        <f>IF($A$19="mm","mm^4","in^4")</f>
        <v>mm^4</v>
      </c>
      <c r="L44" s="121" t="str">
        <f>IF(AND(NOT($A$17="FILL OUT THIS TAB."),J$39="",J$40="",J$43="",J$44="",J$45="",J$46=""),"EQ",IF(J44="","BLANK","EQ"))</f>
        <v>EQ</v>
      </c>
      <c r="N44" s="133"/>
      <c r="O44" s="379" t="s">
        <v>507</v>
      </c>
      <c r="P44" s="379"/>
      <c r="Q44" s="379"/>
      <c r="R44" s="379"/>
      <c r="S44" s="379"/>
      <c r="T44" s="134"/>
      <c r="U44" s="128" t="str">
        <f>IF($A$19="mm","mm^4","in^4")</f>
        <v>mm^4</v>
      </c>
      <c r="V44" s="121" t="str">
        <f>IF(AND(T$39="",T$40="",T$43="",T$44="",T$45="",T$46=""),"EQ",IF(T44="","BLANK","EQ"))</f>
        <v>EQ</v>
      </c>
      <c r="X44" s="133"/>
      <c r="Y44" s="379" t="s">
        <v>507</v>
      </c>
      <c r="Z44" s="379"/>
      <c r="AA44" s="379"/>
      <c r="AB44" s="379"/>
      <c r="AC44" s="379"/>
      <c r="AD44" s="134"/>
      <c r="AE44" s="128" t="str">
        <f>IF($A$19="mm","mm^4","in^4")</f>
        <v>mm^4</v>
      </c>
      <c r="AF44" s="121" t="str">
        <f>IF(AND(AD$39="",AD$40="",AD$43="",AD$44="",AD$45="",AD$46=""),"EQ",IF(AD44="","BLANK","EQ"))</f>
        <v>EQ</v>
      </c>
      <c r="AH44" s="133"/>
      <c r="AI44" s="379" t="s">
        <v>507</v>
      </c>
      <c r="AJ44" s="379"/>
      <c r="AK44" s="379"/>
      <c r="AL44" s="379"/>
      <c r="AM44" s="379"/>
      <c r="AN44" s="134"/>
      <c r="AO44" s="128" t="str">
        <f>IF($A$19="mm","mm^4","in^4")</f>
        <v>mm^4</v>
      </c>
      <c r="AP44" s="121" t="str">
        <f>IF(AND(AN$39="",AN$40="",AN$43="",AN$44="",AN$45="",AN$46=""),"EQ",IF(AN44="","BLANK","EQ"))</f>
        <v>EQ</v>
      </c>
      <c r="AR44" s="133"/>
      <c r="AS44" s="379" t="s">
        <v>507</v>
      </c>
      <c r="AT44" s="379"/>
      <c r="AU44" s="379"/>
      <c r="AV44" s="379"/>
      <c r="AW44" s="379"/>
      <c r="AX44" s="134"/>
      <c r="AY44" s="128" t="str">
        <f>IF($A$19="mm","mm^4","in^4")</f>
        <v>mm^4</v>
      </c>
      <c r="AZ44" s="121" t="str">
        <f>IF(AND(AX$39="",AX$40="",AX$43="",AX$44="",AX$45="",AX$46=""),"EQ",IF(AX44="","BLANK","EQ"))</f>
        <v>EQ</v>
      </c>
    </row>
    <row r="45" spans="1:52" ht="15" customHeight="1" x14ac:dyDescent="0.3">
      <c r="A45" s="382"/>
      <c r="B45" s="382"/>
      <c r="C45" s="382"/>
      <c r="D45" s="133"/>
      <c r="E45" s="379" t="s">
        <v>508</v>
      </c>
      <c r="F45" s="379"/>
      <c r="G45" s="379"/>
      <c r="H45" s="379"/>
      <c r="I45" s="379"/>
      <c r="J45" s="134"/>
      <c r="K45" s="128" t="str">
        <f>IF($A$19="mm","mm^2","in^2")</f>
        <v>mm^2</v>
      </c>
      <c r="L45" s="121" t="str">
        <f>IF(AND(NOT($A$17="FILL OUT THIS TAB."),J$39="",J$40="",J$43="",J$44="",J$45="",J$46=""),"EQ",IF(J45="","BLANK","EQ"))</f>
        <v>EQ</v>
      </c>
      <c r="N45" s="133"/>
      <c r="O45" s="379" t="s">
        <v>508</v>
      </c>
      <c r="P45" s="379"/>
      <c r="Q45" s="379"/>
      <c r="R45" s="379"/>
      <c r="S45" s="379"/>
      <c r="T45" s="134"/>
      <c r="U45" s="128" t="str">
        <f>IF($A$19="mm","mm^2","in^2")</f>
        <v>mm^2</v>
      </c>
      <c r="V45" s="121" t="str">
        <f>IF(AND(T$39="",T$40="",T$43="",T$44="",T$45="",T$46=""),"EQ",IF(T45="","BLANK",IF(T45&lt;S41,"EQ","REJECT")))</f>
        <v>EQ</v>
      </c>
      <c r="X45" s="133"/>
      <c r="Y45" s="379" t="s">
        <v>508</v>
      </c>
      <c r="Z45" s="379"/>
      <c r="AA45" s="379"/>
      <c r="AB45" s="379"/>
      <c r="AC45" s="379"/>
      <c r="AD45" s="134"/>
      <c r="AE45" s="128" t="str">
        <f>IF($A$19="mm","mm^2","in^2")</f>
        <v>mm^2</v>
      </c>
      <c r="AF45" s="121" t="str">
        <f>IF(AND(AD$39="",AD$40="",AD$43="",AD$44="",AD$45="",AD$46=""),"EQ",IF(AD45="","BLANK",IF(AD45&lt;AC41,"EQ","REJECT")))</f>
        <v>EQ</v>
      </c>
      <c r="AH45" s="133"/>
      <c r="AI45" s="379" t="s">
        <v>508</v>
      </c>
      <c r="AJ45" s="379"/>
      <c r="AK45" s="379"/>
      <c r="AL45" s="379"/>
      <c r="AM45" s="379"/>
      <c r="AN45" s="134"/>
      <c r="AO45" s="128" t="str">
        <f>IF($A$19="mm","mm^2","in^2")</f>
        <v>mm^2</v>
      </c>
      <c r="AP45" s="121" t="str">
        <f>IF(AND(AN$39="",AN$40="",AN$43="",AN$44="",AN$45="",AN$46=""),"EQ",IF(AN45="","BLANK",IF(AN45&lt;AM41,"EQ","REJECT")))</f>
        <v>EQ</v>
      </c>
      <c r="AR45" s="133"/>
      <c r="AS45" s="379" t="s">
        <v>508</v>
      </c>
      <c r="AT45" s="379"/>
      <c r="AU45" s="379"/>
      <c r="AV45" s="379"/>
      <c r="AW45" s="379"/>
      <c r="AX45" s="134"/>
      <c r="AY45" s="128" t="str">
        <f>IF($A$19="mm","mm^2","in^2")</f>
        <v>mm^2</v>
      </c>
      <c r="AZ45" s="121" t="str">
        <f>IF(AND(AX$39="",AX$40="",AX$43="",AX$44="",AX$45="",AX$46=""),"EQ",IF(AX45="","BLANK",IF(AX45&lt;AW41,"EQ","REJECT")))</f>
        <v>EQ</v>
      </c>
    </row>
    <row r="46" spans="1:52" ht="15" customHeight="1" x14ac:dyDescent="0.3">
      <c r="A46" s="382"/>
      <c r="B46" s="382"/>
      <c r="C46" s="382"/>
      <c r="D46" s="133"/>
      <c r="E46" s="379" t="s">
        <v>509</v>
      </c>
      <c r="F46" s="379"/>
      <c r="G46" s="379"/>
      <c r="H46" s="379"/>
      <c r="I46" s="379"/>
      <c r="J46" s="130"/>
      <c r="K46" s="128" t="str">
        <f>IF($A$19="mm","mm^4","in^4")</f>
        <v>mm^4</v>
      </c>
      <c r="L46" s="121" t="str">
        <f>IF(AND(NOT($A$17="FILL OUT THIS TAB."),J$39="",J$40="",J$43="",J$44="",J$45="",J$46=""),"EQ",IF(J46="","BLANK","EQ"))</f>
        <v>EQ</v>
      </c>
      <c r="N46" s="133"/>
      <c r="O46" s="379" t="s">
        <v>509</v>
      </c>
      <c r="P46" s="379"/>
      <c r="Q46" s="379"/>
      <c r="R46" s="379"/>
      <c r="S46" s="379"/>
      <c r="T46" s="130"/>
      <c r="U46" s="128" t="str">
        <f>IF($A$19="mm","mm^4","in^4")</f>
        <v>mm^4</v>
      </c>
      <c r="V46" s="121" t="str">
        <f>IF(AND(T$39="",T$40="",T$43="",T$44="",T$45="",T$46=""),"EQ",IF(T46="","BLANK",IF(T46&lt;S42,"EQ","REJECT")))</f>
        <v>EQ</v>
      </c>
      <c r="X46" s="133"/>
      <c r="Y46" s="379" t="s">
        <v>509</v>
      </c>
      <c r="Z46" s="379"/>
      <c r="AA46" s="379"/>
      <c r="AB46" s="379"/>
      <c r="AC46" s="379"/>
      <c r="AD46" s="130"/>
      <c r="AE46" s="128" t="str">
        <f>IF($A$19="mm","mm^4","in^4")</f>
        <v>mm^4</v>
      </c>
      <c r="AF46" s="121" t="str">
        <f>IF(AND(AD$39="",AD$40="",AD$43="",AD$44="",AD$45="",AD$46=""),"EQ",IF(AD46="","BLANK",IF(AD46&lt;AC42,"EQ","REJECT")))</f>
        <v>EQ</v>
      </c>
      <c r="AH46" s="133"/>
      <c r="AI46" s="379" t="s">
        <v>509</v>
      </c>
      <c r="AJ46" s="379"/>
      <c r="AK46" s="379"/>
      <c r="AL46" s="379"/>
      <c r="AM46" s="379"/>
      <c r="AN46" s="130"/>
      <c r="AO46" s="128" t="str">
        <f>IF($A$19="mm","mm^4","in^4")</f>
        <v>mm^4</v>
      </c>
      <c r="AP46" s="121" t="str">
        <f>IF(AND(AN$39="",AN$40="",AN$43="",AN$44="",AN$45="",AN$46=""),"EQ",IF(AN46="","BLANK",IF(AN46&lt;AM42,"EQ","REJECT")))</f>
        <v>EQ</v>
      </c>
      <c r="AR46" s="133"/>
      <c r="AS46" s="379" t="s">
        <v>509</v>
      </c>
      <c r="AT46" s="379"/>
      <c r="AU46" s="379"/>
      <c r="AV46" s="379"/>
      <c r="AW46" s="379"/>
      <c r="AX46" s="130"/>
      <c r="AY46" s="128" t="str">
        <f>IF($A$19="mm","mm^4","in^4")</f>
        <v>mm^4</v>
      </c>
      <c r="AZ46" s="121" t="str">
        <f>IF(AND(AX$39="",AX$40="",AX$43="",AX$44="",AX$45="",AX$46=""),"EQ",IF(AX46="","BLANK",IF(AX46&lt;AW42,"EQ","REJECT")))</f>
        <v>EQ</v>
      </c>
    </row>
    <row r="47" spans="1:52" ht="15.75" customHeight="1" x14ac:dyDescent="0.3">
      <c r="A47" s="382"/>
      <c r="B47" s="382"/>
      <c r="C47" s="382"/>
      <c r="D47" s="122" t="str">
        <f>IF(J37="Steel","F.3.4.3","F.3.5.3")</f>
        <v>F.3.4.3</v>
      </c>
      <c r="E47" s="379" t="s">
        <v>510</v>
      </c>
      <c r="F47" s="379"/>
      <c r="G47" s="379"/>
      <c r="H47" s="379"/>
      <c r="I47" s="131">
        <f>IF($A$19="mm",200*10^9,29000*10^3)</f>
        <v>200000000000</v>
      </c>
      <c r="J47" s="131">
        <f>IF(J37="Welded Aluminum",$A$3,IF($A$19="mm",200*10^9,29000*10^3))</f>
        <v>200000000000</v>
      </c>
      <c r="K47" s="128" t="str">
        <f>IF($A$19="mm","Pa","psi")</f>
        <v>Pa</v>
      </c>
      <c r="L47" s="121" t="str">
        <f>IF(J47=0,"BLANK","EQ")</f>
        <v>EQ</v>
      </c>
      <c r="N47" s="122" t="str">
        <f>IF(T37="Steel","F.3.4.3","F.3.5.3")</f>
        <v>F.3.4.3</v>
      </c>
      <c r="O47" s="379" t="s">
        <v>510</v>
      </c>
      <c r="P47" s="379"/>
      <c r="Q47" s="379"/>
      <c r="R47" s="379"/>
      <c r="S47" s="131">
        <f>IF($A$19="mm",200*10^9,29000*10^3)</f>
        <v>200000000000</v>
      </c>
      <c r="T47" s="131">
        <f>IF(T37="Welded Aluminum",$A$3,IF($A$19="mm",200*10^9,29000*10^3))</f>
        <v>200000000000</v>
      </c>
      <c r="U47" s="128" t="str">
        <f>IF($A$19="mm","Pa","psi")</f>
        <v>Pa</v>
      </c>
      <c r="V47" s="121" t="str">
        <f>IF(T47=0,"BLANK","EQ")</f>
        <v>EQ</v>
      </c>
      <c r="X47" s="122" t="str">
        <f>IF(AD37="Steel","F.3.4.3","F.3.5.3")</f>
        <v>F.3.4.3</v>
      </c>
      <c r="Y47" s="379" t="s">
        <v>510</v>
      </c>
      <c r="Z47" s="379"/>
      <c r="AA47" s="379"/>
      <c r="AB47" s="379"/>
      <c r="AC47" s="131">
        <f>IF($A$19="mm",200*10^9,29000*10^3)</f>
        <v>200000000000</v>
      </c>
      <c r="AD47" s="131">
        <f>IF(AD37="Welded Aluminum",$A$3,IF($A$19="mm",200*10^9,29000*10^3))</f>
        <v>200000000000</v>
      </c>
      <c r="AE47" s="128" t="str">
        <f>IF($A$19="mm","Pa","psi")</f>
        <v>Pa</v>
      </c>
      <c r="AF47" s="121" t="str">
        <f>IF(AD47=0,"BLANK","EQ")</f>
        <v>EQ</v>
      </c>
      <c r="AH47" s="122" t="str">
        <f>IF(AN37="Steel","F.3.4.3","F.3.5.3")</f>
        <v>F.3.4.3</v>
      </c>
      <c r="AI47" s="379" t="s">
        <v>510</v>
      </c>
      <c r="AJ47" s="379"/>
      <c r="AK47" s="379"/>
      <c r="AL47" s="379"/>
      <c r="AM47" s="131">
        <f>IF($A$19="mm",200*10^9,29000*10^3)</f>
        <v>200000000000</v>
      </c>
      <c r="AN47" s="131">
        <f>IF(AN37="Welded Aluminum",$A$3,IF($A$19="mm",200*10^9,29000*10^3))</f>
        <v>200000000000</v>
      </c>
      <c r="AO47" s="128" t="str">
        <f>IF($A$19="mm","Pa","psi")</f>
        <v>Pa</v>
      </c>
      <c r="AP47" s="121" t="str">
        <f>IF(AN47=0,"BLANK","EQ")</f>
        <v>EQ</v>
      </c>
      <c r="AR47" s="122" t="str">
        <f>IF(AX37="Steel","F.3.4.3","F.3.5.3")</f>
        <v>F.3.4.3</v>
      </c>
      <c r="AS47" s="379" t="s">
        <v>510</v>
      </c>
      <c r="AT47" s="379"/>
      <c r="AU47" s="379"/>
      <c r="AV47" s="379"/>
      <c r="AW47" s="131">
        <f>IF($A$19="mm",200*10^9,29000*10^3)</f>
        <v>200000000000</v>
      </c>
      <c r="AX47" s="131">
        <f>IF(AX37="Welded Aluminum",$A$3,IF($A$19="mm",200*10^9,29000*10^3))</f>
        <v>200000000000</v>
      </c>
      <c r="AY47" s="128" t="str">
        <f>IF($A$19="mm","Pa","psi")</f>
        <v>Pa</v>
      </c>
      <c r="AZ47" s="121" t="str">
        <f>IF(AX47=0,"BLANK","EQ")</f>
        <v>EQ</v>
      </c>
    </row>
    <row r="48" spans="1:52" x14ac:dyDescent="0.3">
      <c r="A48" s="382"/>
      <c r="B48" s="382"/>
      <c r="C48" s="382"/>
      <c r="D48" s="133"/>
      <c r="E48" s="379" t="s">
        <v>511</v>
      </c>
      <c r="F48" s="379"/>
      <c r="G48" s="379"/>
      <c r="H48" s="379"/>
      <c r="I48" s="131">
        <f>IF($A$19="mm",305*10^6,44.2*10^3)</f>
        <v>305000000</v>
      </c>
      <c r="J48" s="131">
        <f>IF(J37="Welded Aluminum",$B$3,IF($A$19="mm",180*10^6,26*10^3))</f>
        <v>180000000</v>
      </c>
      <c r="K48" s="128" t="str">
        <f>IF($A$19="mm","Pa","psi")</f>
        <v>Pa</v>
      </c>
      <c r="L48" s="121" t="str">
        <f>IF(J48=0,"BLANK","EQ")</f>
        <v>EQ</v>
      </c>
      <c r="N48" s="133"/>
      <c r="O48" s="379" t="s">
        <v>511</v>
      </c>
      <c r="P48" s="379"/>
      <c r="Q48" s="379"/>
      <c r="R48" s="379"/>
      <c r="S48" s="131">
        <f>IF($A$19="mm",305*10^6,44.2*10^3)</f>
        <v>305000000</v>
      </c>
      <c r="T48" s="131">
        <f>IF(T37="Welded Aluminum",$B$3,IF($A$19="mm",180*10^6,26*10^3))</f>
        <v>180000000</v>
      </c>
      <c r="U48" s="128" t="str">
        <f>IF($A$19="mm","Pa","psi")</f>
        <v>Pa</v>
      </c>
      <c r="V48" s="121" t="str">
        <f>IF(T48=0,"BLANK","EQ")</f>
        <v>EQ</v>
      </c>
      <c r="X48" s="133"/>
      <c r="Y48" s="379" t="s">
        <v>511</v>
      </c>
      <c r="Z48" s="379"/>
      <c r="AA48" s="379"/>
      <c r="AB48" s="379"/>
      <c r="AC48" s="131">
        <f>IF($A$19="mm",305*10^6,44.2*10^3)</f>
        <v>305000000</v>
      </c>
      <c r="AD48" s="131">
        <f>IF(AD37="Welded Aluminum",$B$3,IF($A$19="mm",180*10^6,26*10^3))</f>
        <v>180000000</v>
      </c>
      <c r="AE48" s="128" t="str">
        <f>IF($A$19="mm","Pa","psi")</f>
        <v>Pa</v>
      </c>
      <c r="AF48" s="121" t="str">
        <f>IF(AD48=0,"BLANK","EQ")</f>
        <v>EQ</v>
      </c>
      <c r="AH48" s="133"/>
      <c r="AI48" s="379" t="s">
        <v>511</v>
      </c>
      <c r="AJ48" s="379"/>
      <c r="AK48" s="379"/>
      <c r="AL48" s="379"/>
      <c r="AM48" s="131">
        <f>IF($A$19="mm",305*10^6,44.2*10^3)</f>
        <v>305000000</v>
      </c>
      <c r="AN48" s="131">
        <f>IF(AN37="Welded Aluminum",$B$3,IF($A$19="mm",180*10^6,26*10^3))</f>
        <v>180000000</v>
      </c>
      <c r="AO48" s="128" t="str">
        <f>IF($A$19="mm","Pa","psi")</f>
        <v>Pa</v>
      </c>
      <c r="AP48" s="121" t="str">
        <f>IF(AN48=0,"BLANK","EQ")</f>
        <v>EQ</v>
      </c>
      <c r="AR48" s="133"/>
      <c r="AS48" s="379" t="s">
        <v>511</v>
      </c>
      <c r="AT48" s="379"/>
      <c r="AU48" s="379"/>
      <c r="AV48" s="379"/>
      <c r="AW48" s="131">
        <f>IF($A$19="mm",305*10^6,44.2*10^3)</f>
        <v>305000000</v>
      </c>
      <c r="AX48" s="131">
        <f>IF(AX37="Welded Aluminum",$B$3,IF($A$19="mm",180*10^6,26*10^3))</f>
        <v>180000000</v>
      </c>
      <c r="AY48" s="128" t="str">
        <f>IF($A$19="mm","Pa","psi")</f>
        <v>Pa</v>
      </c>
      <c r="AZ48" s="121" t="str">
        <f>IF(AX48=0,"BLANK","EQ")</f>
        <v>EQ</v>
      </c>
    </row>
    <row r="49" spans="1:52" ht="15" customHeight="1" x14ac:dyDescent="0.3">
      <c r="A49" s="382"/>
      <c r="B49" s="382"/>
      <c r="C49" s="382"/>
      <c r="D49" s="133"/>
      <c r="E49" s="383" t="s">
        <v>512</v>
      </c>
      <c r="F49" s="383"/>
      <c r="G49" s="383"/>
      <c r="H49" s="383"/>
      <c r="I49" s="131">
        <f>IF($A$19="mm",365*10^6,52.9*10^3)</f>
        <v>365000000</v>
      </c>
      <c r="J49" s="131">
        <f>IF(J37="Welded Aluminum",$C$3,IF($A$19="mm",300*10^6,43.5*10^3))</f>
        <v>300000000</v>
      </c>
      <c r="K49" s="128" t="str">
        <f>IF($A$19="mm","Pa","psi")</f>
        <v>Pa</v>
      </c>
      <c r="L49" s="121" t="str">
        <f>IF(J49=0,"BLANK","EQ")</f>
        <v>EQ</v>
      </c>
      <c r="N49" s="133"/>
      <c r="O49" s="383" t="s">
        <v>512</v>
      </c>
      <c r="P49" s="383"/>
      <c r="Q49" s="383"/>
      <c r="R49" s="383"/>
      <c r="S49" s="131">
        <f>IF($A$19="mm",365*10^6,52.9*10^3)</f>
        <v>365000000</v>
      </c>
      <c r="T49" s="131">
        <f>IF(T37="Welded Aluminum",$C$3,IF($A$19="mm",300*10^6,43.5*10^3))</f>
        <v>300000000</v>
      </c>
      <c r="U49" s="128" t="str">
        <f>IF($A$19="mm","Pa","psi")</f>
        <v>Pa</v>
      </c>
      <c r="V49" s="121" t="str">
        <f>IF(T49=0,"BLANK","EQ")</f>
        <v>EQ</v>
      </c>
      <c r="X49" s="133"/>
      <c r="Y49" s="383" t="s">
        <v>512</v>
      </c>
      <c r="Z49" s="383"/>
      <c r="AA49" s="383"/>
      <c r="AB49" s="383"/>
      <c r="AC49" s="131">
        <f>IF($A$19="mm",365*10^6,52.9*10^3)</f>
        <v>365000000</v>
      </c>
      <c r="AD49" s="131">
        <f>IF(AD37="Welded Aluminum",$C$3,IF($A$19="mm",300*10^6,43.5*10^3))</f>
        <v>300000000</v>
      </c>
      <c r="AE49" s="128" t="str">
        <f>IF($A$19="mm","Pa","psi")</f>
        <v>Pa</v>
      </c>
      <c r="AF49" s="121" t="str">
        <f>IF(AD49=0,"BLANK","EQ")</f>
        <v>EQ</v>
      </c>
      <c r="AH49" s="133"/>
      <c r="AI49" s="383" t="s">
        <v>512</v>
      </c>
      <c r="AJ49" s="383"/>
      <c r="AK49" s="383"/>
      <c r="AL49" s="383"/>
      <c r="AM49" s="131">
        <f>IF($A$19="mm",365*10^6,52.9*10^3)</f>
        <v>365000000</v>
      </c>
      <c r="AN49" s="131">
        <f>IF(AN37="Welded Aluminum",$C$3,IF($A$19="mm",300*10^6,43.5*10^3))</f>
        <v>300000000</v>
      </c>
      <c r="AO49" s="128" t="str">
        <f>IF($A$19="mm","Pa","psi")</f>
        <v>Pa</v>
      </c>
      <c r="AP49" s="121" t="str">
        <f>IF(AN49=0,"BLANK","EQ")</f>
        <v>EQ</v>
      </c>
      <c r="AR49" s="133"/>
      <c r="AS49" s="383" t="s">
        <v>512</v>
      </c>
      <c r="AT49" s="383"/>
      <c r="AU49" s="383"/>
      <c r="AV49" s="383"/>
      <c r="AW49" s="131">
        <f>IF($A$19="mm",365*10^6,52.9*10^3)</f>
        <v>365000000</v>
      </c>
      <c r="AX49" s="131">
        <f>IF(AX37="Welded Aluminum",$C$3,IF($A$19="mm",300*10^6,43.5*10^3))</f>
        <v>300000000</v>
      </c>
      <c r="AY49" s="128" t="str">
        <f>IF($A$19="mm","Pa","psi")</f>
        <v>Pa</v>
      </c>
      <c r="AZ49" s="121" t="str">
        <f>IF(AX49=0,"BLANK","EQ")</f>
        <v>EQ</v>
      </c>
    </row>
    <row r="50" spans="1:52" x14ac:dyDescent="0.3">
      <c r="A50" s="382"/>
      <c r="B50" s="382"/>
      <c r="C50" s="382"/>
      <c r="D50" s="384" t="s">
        <v>513</v>
      </c>
      <c r="E50" s="384"/>
      <c r="F50" s="383" t="s">
        <v>514</v>
      </c>
      <c r="G50" s="383"/>
      <c r="H50" s="383"/>
      <c r="I50" s="135" t="str">
        <f>IF(OR(J$39="",J$40=""),"",I47*I42)</f>
        <v/>
      </c>
      <c r="J50" s="135" t="str">
        <f>IF(OR(J$44="",J$46=""),"",
IF(J37="Welded Aluminum",J47,I47)*J44+J47*J46)</f>
        <v/>
      </c>
      <c r="K50" s="136" t="str">
        <f>IF(OR(I50="",J50=""),"",J50/I50)</f>
        <v/>
      </c>
      <c r="L50" s="37" t="str">
        <f>IF(K50="","EQ",IF(K50&gt;=1,"EQ",IF(K50&gt;0.95,"CHECK","REJECT")))</f>
        <v>EQ</v>
      </c>
      <c r="N50" s="384" t="s">
        <v>513</v>
      </c>
      <c r="O50" s="384"/>
      <c r="P50" s="383" t="s">
        <v>514</v>
      </c>
      <c r="Q50" s="383"/>
      <c r="R50" s="383"/>
      <c r="S50" s="135" t="str">
        <f>IF(OR(T$39="",T$40=""),"",S47*S42)</f>
        <v/>
      </c>
      <c r="T50" s="135" t="str">
        <f>IF(OR(T$44="",T$46=""),"",
IF(T37="Welded Aluminum",T47,S47)*T44+T47*T46)</f>
        <v/>
      </c>
      <c r="U50" s="136" t="str">
        <f>IF(OR(S50="",T50=""),"",T50/S50)</f>
        <v/>
      </c>
      <c r="V50" s="37" t="str">
        <f>IF(U50="","EQ",IF(U50&gt;=1,"EQ",IF(U50&gt;0.95,"CHECK","REJECT")))</f>
        <v>EQ</v>
      </c>
      <c r="X50" s="384" t="s">
        <v>513</v>
      </c>
      <c r="Y50" s="384"/>
      <c r="Z50" s="383" t="s">
        <v>514</v>
      </c>
      <c r="AA50" s="383"/>
      <c r="AB50" s="383"/>
      <c r="AC50" s="135" t="str">
        <f>IF(OR(AD$39="",AD$40=""),"",AC47*AC42)</f>
        <v/>
      </c>
      <c r="AD50" s="135" t="str">
        <f>IF(OR(AD$44="",AD$46=""),"",
IF(AD37="Welded Aluminum",AD47,AC47)*AD44+AD47*AD46)</f>
        <v/>
      </c>
      <c r="AE50" s="136" t="str">
        <f>IF(OR(AC50="",AD50=""),"",AD50/AC50)</f>
        <v/>
      </c>
      <c r="AF50" s="37" t="str">
        <f>IF(AE50="","EQ",IF(AE50&gt;=1,"EQ",IF(AE50&gt;0.95,"CHECK","REJECT")))</f>
        <v>EQ</v>
      </c>
      <c r="AH50" s="384" t="s">
        <v>513</v>
      </c>
      <c r="AI50" s="384"/>
      <c r="AJ50" s="383" t="s">
        <v>514</v>
      </c>
      <c r="AK50" s="383"/>
      <c r="AL50" s="383"/>
      <c r="AM50" s="135" t="str">
        <f>IF(OR(AN$39="",AN$40=""),"",AM47*AM42)</f>
        <v/>
      </c>
      <c r="AN50" s="135" t="str">
        <f>IF(OR(AN$44="",AN$46=""),"",
IF(AN37="Welded Aluminum",AN47,AM47)*AN44+AN47*AN46)</f>
        <v/>
      </c>
      <c r="AO50" s="136" t="str">
        <f>IF(OR(AM50="",AN50=""),"",AN50/AM50)</f>
        <v/>
      </c>
      <c r="AP50" s="37" t="str">
        <f>IF(AO50="","EQ",IF(AO50&gt;=1,"EQ",IF(AO50&gt;0.95,"CHECK","REJECT")))</f>
        <v>EQ</v>
      </c>
      <c r="AR50" s="384" t="s">
        <v>513</v>
      </c>
      <c r="AS50" s="384"/>
      <c r="AT50" s="383" t="s">
        <v>514</v>
      </c>
      <c r="AU50" s="383"/>
      <c r="AV50" s="383"/>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82"/>
      <c r="B51" s="382"/>
      <c r="C51" s="382"/>
      <c r="D51" s="84" t="s">
        <v>515</v>
      </c>
      <c r="E51" s="383" t="s">
        <v>516</v>
      </c>
      <c r="F51" s="383"/>
      <c r="G51" s="383"/>
      <c r="H51" s="383"/>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83" t="s">
        <v>516</v>
      </c>
      <c r="P51" s="383"/>
      <c r="Q51" s="383"/>
      <c r="R51" s="383"/>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83" t="s">
        <v>516</v>
      </c>
      <c r="Z51" s="383"/>
      <c r="AA51" s="383"/>
      <c r="AB51" s="383"/>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83" t="s">
        <v>516</v>
      </c>
      <c r="AJ51" s="383"/>
      <c r="AK51" s="383"/>
      <c r="AL51" s="383"/>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83" t="s">
        <v>516</v>
      </c>
      <c r="AT51" s="383"/>
      <c r="AU51" s="383"/>
      <c r="AV51" s="383"/>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82"/>
      <c r="B52" s="382"/>
      <c r="C52" s="382"/>
      <c r="D52" s="84" t="s">
        <v>517</v>
      </c>
      <c r="E52" s="383" t="s">
        <v>518</v>
      </c>
      <c r="F52" s="383"/>
      <c r="G52" s="383"/>
      <c r="H52" s="383"/>
      <c r="I52" s="135" t="str">
        <f>IF(OR(J$39="",J$40=""),"",I49*I41)</f>
        <v/>
      </c>
      <c r="J52" s="135" t="str">
        <f>IF(OR(J$43="",J$45=""),"",
IF(J37="Welded Aluminum",J49,I49)*J43+J49*J45)</f>
        <v/>
      </c>
      <c r="K52" s="136" t="str">
        <f t="shared" si="0"/>
        <v/>
      </c>
      <c r="L52" s="37" t="str">
        <f t="shared" si="1"/>
        <v>EQ</v>
      </c>
      <c r="N52" s="84" t="s">
        <v>517</v>
      </c>
      <c r="O52" s="383" t="s">
        <v>518</v>
      </c>
      <c r="P52" s="383"/>
      <c r="Q52" s="383"/>
      <c r="R52" s="383"/>
      <c r="S52" s="135" t="str">
        <f>IF(OR(T$39="",T$40=""),"",S49*S41)</f>
        <v/>
      </c>
      <c r="T52" s="135" t="str">
        <f>IF(OR(T$43="",T$45=""),"",
IF(T37="Welded Aluminum",T49,S49)*T43+T49*T45)</f>
        <v/>
      </c>
      <c r="U52" s="136" t="str">
        <f t="shared" si="2"/>
        <v/>
      </c>
      <c r="V52" s="37" t="str">
        <f t="shared" si="3"/>
        <v>EQ</v>
      </c>
      <c r="X52" s="84" t="s">
        <v>517</v>
      </c>
      <c r="Y52" s="383" t="s">
        <v>518</v>
      </c>
      <c r="Z52" s="383"/>
      <c r="AA52" s="383"/>
      <c r="AB52" s="383"/>
      <c r="AC52" s="135" t="str">
        <f>IF(OR(AD$39="",AD$40=""),"",AC49*AC41)</f>
        <v/>
      </c>
      <c r="AD52" s="135" t="str">
        <f>IF(OR(AD$43="",AD$45=""),"",
IF(AD37="Welded Aluminum",AD49,AC49)*AD43+AD49*AD45)</f>
        <v/>
      </c>
      <c r="AE52" s="136" t="str">
        <f t="shared" si="4"/>
        <v/>
      </c>
      <c r="AF52" s="37" t="str">
        <f t="shared" si="5"/>
        <v>EQ</v>
      </c>
      <c r="AH52" s="84" t="s">
        <v>517</v>
      </c>
      <c r="AI52" s="383" t="s">
        <v>518</v>
      </c>
      <c r="AJ52" s="383"/>
      <c r="AK52" s="383"/>
      <c r="AL52" s="383"/>
      <c r="AM52" s="135" t="str">
        <f>IF(OR(AN$39="",AN$40=""),"",AM49*AM41)</f>
        <v/>
      </c>
      <c r="AN52" s="135" t="str">
        <f>IF(OR(AN$43="",AN$45=""),"",
IF(AN37="Welded Aluminum",AN49,AM49)*AN43+AN49*AN45)</f>
        <v/>
      </c>
      <c r="AO52" s="136" t="str">
        <f t="shared" si="6"/>
        <v/>
      </c>
      <c r="AP52" s="37" t="str">
        <f t="shared" si="7"/>
        <v>EQ</v>
      </c>
      <c r="AR52" s="84" t="s">
        <v>517</v>
      </c>
      <c r="AS52" s="383" t="s">
        <v>518</v>
      </c>
      <c r="AT52" s="383"/>
      <c r="AU52" s="383"/>
      <c r="AV52" s="383"/>
      <c r="AW52" s="135" t="str">
        <f>IF(OR(AX$39="",AX$40=""),"",AW49*AW41)</f>
        <v/>
      </c>
      <c r="AX52" s="135" t="str">
        <f>IF(OR(AX$43="",AX$45=""),"",
IF(AX37="Welded Aluminum",AX49,AW49)*AX43+AX49*AX45)</f>
        <v/>
      </c>
      <c r="AY52" s="136" t="str">
        <f t="shared" si="8"/>
        <v/>
      </c>
      <c r="AZ52" s="37" t="str">
        <f t="shared" si="9"/>
        <v>EQ</v>
      </c>
    </row>
    <row r="53" spans="1:52" x14ac:dyDescent="0.3">
      <c r="A53" s="382"/>
      <c r="B53" s="382"/>
      <c r="C53" s="382"/>
      <c r="D53" s="84" t="s">
        <v>519</v>
      </c>
      <c r="E53" s="383" t="s">
        <v>520</v>
      </c>
      <c r="F53" s="383"/>
      <c r="G53" s="383"/>
      <c r="H53" s="383"/>
      <c r="I53" s="135" t="str">
        <f>IF(OR(J$39="",J$40=""),"",4*I49*I42/(I40/2))</f>
        <v/>
      </c>
      <c r="J53" s="135" t="str">
        <f>IF(OR(J44="",J46=""),"",
4*(IF(J37="Welded Aluminum",J49,I49)*J44+J49*J46)/(I40/2))</f>
        <v/>
      </c>
      <c r="K53" s="136" t="str">
        <f>IF(OR(I53="",J53=""),"",J53/I53)</f>
        <v/>
      </c>
      <c r="L53" s="37" t="str">
        <f t="shared" si="1"/>
        <v>EQ</v>
      </c>
      <c r="N53" s="84" t="s">
        <v>519</v>
      </c>
      <c r="O53" s="383" t="s">
        <v>521</v>
      </c>
      <c r="P53" s="383"/>
      <c r="Q53" s="383"/>
      <c r="R53" s="383"/>
      <c r="S53" s="135" t="str">
        <f>IF(OR(T$39="",T$40=""),"",4*S49*S42/(S40/2))</f>
        <v/>
      </c>
      <c r="T53" s="135" t="str">
        <f>IF(OR(T44="",T46=""),"",
4*(IF(T37="Welded Aluminum",T49,S49)*T44+T49*T46)/(S40/2))</f>
        <v/>
      </c>
      <c r="U53" s="136" t="str">
        <f>IF(OR(S53="",T53=""),"",T53/S53)</f>
        <v/>
      </c>
      <c r="V53" s="37" t="str">
        <f t="shared" si="3"/>
        <v>EQ</v>
      </c>
      <c r="X53" s="84" t="s">
        <v>519</v>
      </c>
      <c r="Y53" s="383" t="s">
        <v>521</v>
      </c>
      <c r="Z53" s="383"/>
      <c r="AA53" s="383"/>
      <c r="AB53" s="383"/>
      <c r="AC53" s="135" t="str">
        <f>IF(OR(AD$39="",AD$40=""),"",4*AC49*AC42/(AC40/2))</f>
        <v/>
      </c>
      <c r="AD53" s="135" t="str">
        <f>IF(OR(AD44="",AD46=""),"",
4*(IF(AD37="Welded Aluminum",AD49,AC49)*AD44+AD49*AD46)/(AC40/2))</f>
        <v/>
      </c>
      <c r="AE53" s="136" t="str">
        <f>IF(OR(AC53="",AD53=""),"",AD53/AC53)</f>
        <v/>
      </c>
      <c r="AF53" s="37" t="str">
        <f t="shared" si="5"/>
        <v>EQ</v>
      </c>
      <c r="AH53" s="84" t="s">
        <v>519</v>
      </c>
      <c r="AI53" s="383" t="s">
        <v>521</v>
      </c>
      <c r="AJ53" s="383"/>
      <c r="AK53" s="383"/>
      <c r="AL53" s="383"/>
      <c r="AM53" s="135" t="str">
        <f>IF(OR(AN$39="",AN$40=""),"",4*AM49*AM42/(AM40/2))</f>
        <v/>
      </c>
      <c r="AN53" s="135" t="str">
        <f>IF(OR(AN44="",AN46=""),"",
4*(IF(AN37="Welded Aluminum",AN49,AM49)*AN44+AN49*AN46)/(AM40/2))</f>
        <v/>
      </c>
      <c r="AO53" s="136" t="str">
        <f>IF(OR(AM53="",AN53=""),"",AN53/AM53)</f>
        <v/>
      </c>
      <c r="AP53" s="37" t="str">
        <f t="shared" si="7"/>
        <v>EQ</v>
      </c>
      <c r="AR53" s="84" t="s">
        <v>519</v>
      </c>
      <c r="AS53" s="383" t="s">
        <v>521</v>
      </c>
      <c r="AT53" s="383"/>
      <c r="AU53" s="383"/>
      <c r="AV53" s="383"/>
      <c r="AW53" s="135" t="str">
        <f>IF(OR(AX$39="",AX$40=""),"",4*AW49*AW42/(AW40/2))</f>
        <v/>
      </c>
      <c r="AX53" s="135" t="str">
        <f>IF(OR(AX44="",AX46=""),"",
4*(IF(AX37="Welded Aluminum",AX49,AW49)*AX44+AX49*AX46)/(AW40/2))</f>
        <v/>
      </c>
      <c r="AY53" s="136" t="str">
        <f>IF(OR(AW53="",AX53=""),"",AX53/AW53)</f>
        <v/>
      </c>
      <c r="AZ53" s="37" t="str">
        <f t="shared" si="9"/>
        <v>EQ</v>
      </c>
    </row>
    <row r="54" spans="1:52" x14ac:dyDescent="0.3">
      <c r="A54" s="382"/>
      <c r="B54" s="382"/>
      <c r="C54" s="382"/>
      <c r="D54" s="122" t="s">
        <v>522</v>
      </c>
      <c r="E54" s="379" t="s">
        <v>523</v>
      </c>
      <c r="F54" s="379"/>
      <c r="G54" s="379"/>
      <c r="H54" s="379"/>
      <c r="I54" s="135" t="str">
        <f>IF(OR(J$39="",J$40=""),"",I53/(48*I47*I42))</f>
        <v/>
      </c>
      <c r="J54" s="135" t="str">
        <f>IF(J53="","",
J53/(48*(IF(J37="Welded Aluminum",J47,I47)*J44+J47*J46)))</f>
        <v/>
      </c>
      <c r="K54" s="136" t="str">
        <f>IF(OR(I54="",J54=""),"",J54/I54)</f>
        <v/>
      </c>
      <c r="L54" s="37" t="str">
        <f>IF(K54="","EQ",IF(K54&lt;=1,"EQ",IF(K54&lt;1.05,"CHECK","REJECT")))</f>
        <v>EQ</v>
      </c>
      <c r="N54" s="122" t="s">
        <v>522</v>
      </c>
      <c r="O54" s="379" t="s">
        <v>523</v>
      </c>
      <c r="P54" s="379"/>
      <c r="Q54" s="379"/>
      <c r="R54" s="379"/>
      <c r="S54" s="135" t="str">
        <f>IF(OR(T$39="",T$40=""),"",S53/(48*S47*S42))</f>
        <v/>
      </c>
      <c r="T54" s="135" t="str">
        <f>IF(T53="","",
T53/(48*(IF(T37="Welded Aluminum",T47,S47)*T44+T47*T46)))</f>
        <v/>
      </c>
      <c r="U54" s="136" t="str">
        <f>IF(OR(S54="",T54=""),"",T54/S54)</f>
        <v/>
      </c>
      <c r="V54" s="37" t="str">
        <f>IF(U54="","EQ",IF(U54&lt;=1,"EQ",IF(U54&lt;1.05,"CHECK","REJECT")))</f>
        <v>EQ</v>
      </c>
      <c r="X54" s="122" t="s">
        <v>522</v>
      </c>
      <c r="Y54" s="379" t="s">
        <v>523</v>
      </c>
      <c r="Z54" s="379"/>
      <c r="AA54" s="379"/>
      <c r="AB54" s="379"/>
      <c r="AC54" s="135" t="str">
        <f>IF(OR(AD$39="",AD$40=""),"",AC53/(48*AC47*AC42))</f>
        <v/>
      </c>
      <c r="AD54" s="135" t="str">
        <f>IF(AD53="","",
AD53/(48*(IF(AD37="Welded Aluminum",AD47,AC47)*AD44+AD47*AD46)))</f>
        <v/>
      </c>
      <c r="AE54" s="136" t="str">
        <f>IF(OR(AC54="",AD54=""),"",AD54/AC54)</f>
        <v/>
      </c>
      <c r="AF54" s="37" t="str">
        <f>IF(AE54="","EQ",IF(AE54&lt;=1,"EQ",IF(AE54&lt;1.05,"CHECK","REJECT")))</f>
        <v>EQ</v>
      </c>
      <c r="AH54" s="122" t="s">
        <v>522</v>
      </c>
      <c r="AI54" s="379" t="s">
        <v>523</v>
      </c>
      <c r="AJ54" s="379"/>
      <c r="AK54" s="379"/>
      <c r="AL54" s="379"/>
      <c r="AM54" s="135" t="str">
        <f>IF(OR(AN$39="",AN$40=""),"",AM53/(48*AM47*AM42))</f>
        <v/>
      </c>
      <c r="AN54" s="135" t="str">
        <f>IF(AN53="","",
AN53/(48*(IF(AN37="Welded Aluminum",AN47,AM47)*AN44+AN47*AN46)))</f>
        <v/>
      </c>
      <c r="AO54" s="136" t="str">
        <f>IF(OR(AM54="",AN54=""),"",AN54/AM54)</f>
        <v/>
      </c>
      <c r="AP54" s="37" t="str">
        <f>IF(AO54="","EQ",IF(AO54&lt;=1,"EQ",IF(AO54&lt;1.05,"CHECK","REJECT")))</f>
        <v>EQ</v>
      </c>
      <c r="AR54" s="122" t="s">
        <v>522</v>
      </c>
      <c r="AS54" s="379" t="s">
        <v>523</v>
      </c>
      <c r="AT54" s="379"/>
      <c r="AU54" s="379"/>
      <c r="AV54" s="379"/>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82"/>
      <c r="B55" s="382"/>
      <c r="C55" s="382"/>
      <c r="D55" s="122" t="s">
        <v>222</v>
      </c>
      <c r="E55" s="379" t="s">
        <v>524</v>
      </c>
      <c r="F55" s="379"/>
      <c r="G55" s="379"/>
      <c r="H55" s="379"/>
      <c r="I55" s="135" t="str">
        <f>IF(OR(J$39="",J$40=""),"",0.5*I53^2/(48*(I47*I42)))</f>
        <v/>
      </c>
      <c r="J55" s="135" t="str">
        <f>IF(J53="","",
0.5*J53^2/(48*(IF(J37="Welded Aluminum",J47,I47)*J44+J47*J46)))</f>
        <v/>
      </c>
      <c r="K55" s="136" t="str">
        <f t="shared" si="0"/>
        <v/>
      </c>
      <c r="L55" s="37" t="str">
        <f t="shared" si="1"/>
        <v>EQ</v>
      </c>
      <c r="N55" s="122" t="s">
        <v>222</v>
      </c>
      <c r="O55" s="379" t="s">
        <v>525</v>
      </c>
      <c r="P55" s="379"/>
      <c r="Q55" s="379"/>
      <c r="R55" s="379"/>
      <c r="S55" s="135" t="str">
        <f>IF(OR(T$39="",T$40=""),"",0.5*S53^2/(48*(S47*S42)))</f>
        <v/>
      </c>
      <c r="T55" s="135" t="str">
        <f>IF(T53="","",
0.5*T53^2/(48*(IF(T37="Welded Aluminum",T47,S47)*T44+T47*T46)))</f>
        <v/>
      </c>
      <c r="U55" s="136" t="str">
        <f t="shared" ref="U55" si="10">IF(OR(S55="",T55=""),"",T55/S55)</f>
        <v/>
      </c>
      <c r="V55" s="37" t="str">
        <f t="shared" si="3"/>
        <v>EQ</v>
      </c>
      <c r="X55" s="122" t="s">
        <v>222</v>
      </c>
      <c r="Y55" s="379" t="s">
        <v>525</v>
      </c>
      <c r="Z55" s="379"/>
      <c r="AA55" s="379"/>
      <c r="AB55" s="379"/>
      <c r="AC55" s="135" t="str">
        <f>IF(OR(AD$39="",AD$40=""),"",0.5*AC53^2/(48*(AC47*AC42)))</f>
        <v/>
      </c>
      <c r="AD55" s="135" t="str">
        <f>IF(AD53="","",
0.5*AD53^2/(48*(IF(AD37="Welded Aluminum",AD47,AC47)*AD44+AD47*AD46)))</f>
        <v/>
      </c>
      <c r="AE55" s="136" t="str">
        <f t="shared" ref="AE55" si="11">IF(OR(AC55="",AD55=""),"",AD55/AC55)</f>
        <v/>
      </c>
      <c r="AF55" s="37" t="str">
        <f t="shared" si="5"/>
        <v>EQ</v>
      </c>
      <c r="AH55" s="122" t="s">
        <v>222</v>
      </c>
      <c r="AI55" s="379" t="s">
        <v>525</v>
      </c>
      <c r="AJ55" s="379"/>
      <c r="AK55" s="379"/>
      <c r="AL55" s="379"/>
      <c r="AM55" s="135" t="str">
        <f>IF(OR(AN$39="",AN$40=""),"",0.5*AM53^2/(48*(AM47*AM42)))</f>
        <v/>
      </c>
      <c r="AN55" s="135" t="str">
        <f>IF(AN53="","",
0.5*AN53^2/(48*(IF(AN37="Welded Aluminum",AN47,AM47)*AN44+AN47*AN46)))</f>
        <v/>
      </c>
      <c r="AO55" s="136" t="str">
        <f t="shared" ref="AO55" si="12">IF(OR(AM55="",AN55=""),"",AN55/AM55)</f>
        <v/>
      </c>
      <c r="AP55" s="37" t="str">
        <f t="shared" si="7"/>
        <v>EQ</v>
      </c>
      <c r="AR55" s="122" t="s">
        <v>222</v>
      </c>
      <c r="AS55" s="379" t="s">
        <v>525</v>
      </c>
      <c r="AT55" s="379"/>
      <c r="AU55" s="379"/>
      <c r="AV55" s="379"/>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82"/>
      <c r="B56" s="382"/>
      <c r="C56" s="382"/>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82"/>
      <c r="B57" s="382"/>
      <c r="C57" s="382"/>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E54:H54"/>
    <mergeCell ref="O54:R54"/>
    <mergeCell ref="Y54:AB54"/>
    <mergeCell ref="AI54:AL54"/>
    <mergeCell ref="AS54:AV54"/>
    <mergeCell ref="E55:H55"/>
    <mergeCell ref="O55:R55"/>
    <mergeCell ref="Y55:AB55"/>
    <mergeCell ref="AI55:AL55"/>
    <mergeCell ref="AS55:AV55"/>
    <mergeCell ref="E52:H52"/>
    <mergeCell ref="O52:R52"/>
    <mergeCell ref="Y52:AB52"/>
    <mergeCell ref="AI52:AL52"/>
    <mergeCell ref="AS52:AV52"/>
    <mergeCell ref="E53:H53"/>
    <mergeCell ref="O53:R53"/>
    <mergeCell ref="Y53:AB53"/>
    <mergeCell ref="AI53:AL53"/>
    <mergeCell ref="AS53:AV53"/>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48:H48"/>
    <mergeCell ref="O48:R48"/>
    <mergeCell ref="Y48:AB48"/>
    <mergeCell ref="AI48:AL48"/>
    <mergeCell ref="AS48:AV48"/>
    <mergeCell ref="E49:H49"/>
    <mergeCell ref="O49:R49"/>
    <mergeCell ref="Y49:AB49"/>
    <mergeCell ref="AI49:AL49"/>
    <mergeCell ref="AS49:AV49"/>
    <mergeCell ref="E46:I46"/>
    <mergeCell ref="O46:S46"/>
    <mergeCell ref="Y46:AC46"/>
    <mergeCell ref="AI46:AM46"/>
    <mergeCell ref="AS46:AW46"/>
    <mergeCell ref="E47:H47"/>
    <mergeCell ref="O47:R47"/>
    <mergeCell ref="Y47:AB47"/>
    <mergeCell ref="AI47:AL47"/>
    <mergeCell ref="AS47:AV47"/>
    <mergeCell ref="AI43:AM43"/>
    <mergeCell ref="AS43:AW43"/>
    <mergeCell ref="E44:I44"/>
    <mergeCell ref="O44:S44"/>
    <mergeCell ref="Y44:AC44"/>
    <mergeCell ref="AI44:AM44"/>
    <mergeCell ref="AS44:AW44"/>
    <mergeCell ref="E45:I45"/>
    <mergeCell ref="O45:S45"/>
    <mergeCell ref="Y45:AC45"/>
    <mergeCell ref="AI45:AM45"/>
    <mergeCell ref="AS45:AW45"/>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J35:K35"/>
    <mergeCell ref="T35:U35"/>
    <mergeCell ref="AD35:AE35"/>
    <mergeCell ref="AN35:AO35"/>
    <mergeCell ref="AX35:AY35"/>
    <mergeCell ref="J36:K36"/>
    <mergeCell ref="T36:U36"/>
    <mergeCell ref="AD36:AE36"/>
    <mergeCell ref="AN36:AO36"/>
    <mergeCell ref="AX36:AY36"/>
    <mergeCell ref="A34:C34"/>
    <mergeCell ref="J34:K34"/>
    <mergeCell ref="T34:U34"/>
    <mergeCell ref="AD34:AE34"/>
    <mergeCell ref="AN34:AO34"/>
    <mergeCell ref="AX34:AY34"/>
    <mergeCell ref="A33:C33"/>
    <mergeCell ref="D33:L33"/>
    <mergeCell ref="N33:V33"/>
    <mergeCell ref="X33:AF33"/>
    <mergeCell ref="AH33:AP33"/>
    <mergeCell ref="AR33:AZ33"/>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17:C17"/>
    <mergeCell ref="A19:C20"/>
    <mergeCell ref="A22:C30"/>
    <mergeCell ref="D29:L29"/>
    <mergeCell ref="N29:V29"/>
    <mergeCell ref="X29:AF29"/>
    <mergeCell ref="D13:L14"/>
    <mergeCell ref="N13:V14"/>
    <mergeCell ref="X13:AF14"/>
    <mergeCell ref="AH13:AP14"/>
    <mergeCell ref="AR13:AZ14"/>
    <mergeCell ref="A15:C15"/>
    <mergeCell ref="A1:C1"/>
    <mergeCell ref="A6:C6"/>
    <mergeCell ref="A7:C8"/>
    <mergeCell ref="A9:C9"/>
    <mergeCell ref="A12:C12"/>
    <mergeCell ref="A13:C14"/>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67" t="str">
        <f>IF(OR(A4="YES",A4="NO"),"EQ","BLANK")</f>
        <v>BLANK</v>
      </c>
      <c r="B2" s="367"/>
      <c r="C2" s="367"/>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15" t="s">
        <v>111</v>
      </c>
      <c r="B3" s="315"/>
      <c r="C3" s="315"/>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63" t="s">
        <v>163</v>
      </c>
      <c r="B4" s="364"/>
      <c r="C4" s="365"/>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5" t="str">
        <f>IF(A4="YES", "FILL OUT THIS TAB.", IF(A4="Select Drop Down","","NO ACTION NEEDED."))</f>
        <v/>
      </c>
      <c r="B5" s="385"/>
      <c r="C5" s="385"/>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82" t="s">
        <v>113</v>
      </c>
      <c r="B6" s="382"/>
      <c r="C6" s="382"/>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2"/>
      <c r="B7" s="382"/>
      <c r="C7" s="382"/>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82"/>
      <c r="B8" s="382"/>
      <c r="C8" s="382"/>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82"/>
      <c r="B9" s="382"/>
      <c r="C9" s="382"/>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82"/>
      <c r="B10" s="382"/>
      <c r="C10" s="382"/>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82"/>
      <c r="B11" s="382"/>
      <c r="C11" s="382"/>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82"/>
      <c r="B12" s="382"/>
      <c r="C12" s="382"/>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2"/>
      <c r="B13" s="382"/>
      <c r="C13" s="382"/>
      <c r="D13" s="270" t="s">
        <v>81</v>
      </c>
      <c r="E13" s="270"/>
      <c r="F13" s="270"/>
      <c r="G13" s="270"/>
      <c r="H13" s="270"/>
      <c r="I13" s="270"/>
      <c r="J13" s="270"/>
      <c r="K13" s="270"/>
      <c r="L13" s="270"/>
      <c r="M13" s="20"/>
      <c r="N13" s="270" t="s">
        <v>81</v>
      </c>
      <c r="O13" s="270"/>
      <c r="P13" s="270"/>
      <c r="Q13" s="270"/>
      <c r="R13" s="270"/>
      <c r="S13" s="270"/>
      <c r="T13" s="270"/>
      <c r="U13" s="270"/>
      <c r="V13" s="270"/>
      <c r="W13" s="20"/>
      <c r="X13" s="270" t="s">
        <v>81</v>
      </c>
      <c r="Y13" s="270"/>
      <c r="Z13" s="270"/>
      <c r="AA13" s="270"/>
      <c r="AB13" s="270"/>
      <c r="AC13" s="270"/>
      <c r="AD13" s="270"/>
      <c r="AE13" s="270"/>
      <c r="AF13" s="270"/>
      <c r="AG13" s="20"/>
      <c r="AH13" s="270" t="s">
        <v>81</v>
      </c>
      <c r="AI13" s="270"/>
      <c r="AJ13" s="270"/>
      <c r="AK13" s="270"/>
      <c r="AL13" s="270"/>
      <c r="AM13" s="270"/>
      <c r="AN13" s="270"/>
      <c r="AO13" s="270"/>
      <c r="AP13" s="270"/>
      <c r="AQ13" s="20"/>
      <c r="AR13" s="270" t="s">
        <v>81</v>
      </c>
      <c r="AS13" s="270"/>
      <c r="AT13" s="270"/>
      <c r="AU13" s="270"/>
      <c r="AV13" s="270"/>
      <c r="AW13" s="270"/>
      <c r="AX13" s="270"/>
      <c r="AY13" s="270"/>
      <c r="AZ13" s="270"/>
      <c r="BA13" s="20"/>
    </row>
    <row r="14" spans="1:53" ht="15" customHeight="1" x14ac:dyDescent="0.3">
      <c r="A14" s="382"/>
      <c r="B14" s="382"/>
      <c r="C14" s="382"/>
      <c r="D14" s="270"/>
      <c r="E14" s="270"/>
      <c r="F14" s="270"/>
      <c r="G14" s="270"/>
      <c r="H14" s="270"/>
      <c r="I14" s="270"/>
      <c r="J14" s="270"/>
      <c r="K14" s="270"/>
      <c r="L14" s="270"/>
      <c r="M14" s="20"/>
      <c r="N14" s="270"/>
      <c r="O14" s="270"/>
      <c r="P14" s="270"/>
      <c r="Q14" s="270"/>
      <c r="R14" s="270"/>
      <c r="S14" s="270"/>
      <c r="T14" s="270"/>
      <c r="U14" s="270"/>
      <c r="V14" s="270"/>
      <c r="W14" s="20"/>
      <c r="X14" s="270"/>
      <c r="Y14" s="270"/>
      <c r="Z14" s="270"/>
      <c r="AA14" s="270"/>
      <c r="AB14" s="270"/>
      <c r="AC14" s="270"/>
      <c r="AD14" s="270"/>
      <c r="AE14" s="270"/>
      <c r="AF14" s="270"/>
      <c r="AG14" s="20"/>
      <c r="AH14" s="270"/>
      <c r="AI14" s="270"/>
      <c r="AJ14" s="270"/>
      <c r="AK14" s="270"/>
      <c r="AL14" s="270"/>
      <c r="AM14" s="270"/>
      <c r="AN14" s="270"/>
      <c r="AO14" s="270"/>
      <c r="AP14" s="270"/>
      <c r="AQ14" s="20"/>
      <c r="AR14" s="270"/>
      <c r="AS14" s="270"/>
      <c r="AT14" s="270"/>
      <c r="AU14" s="270"/>
      <c r="AV14" s="270"/>
      <c r="AW14" s="270"/>
      <c r="AX14" s="270"/>
      <c r="AY14" s="270"/>
      <c r="AZ14" s="270"/>
      <c r="BA14" s="20"/>
    </row>
    <row r="15" spans="1:53" ht="15" customHeight="1" x14ac:dyDescent="0.3">
      <c r="A15" s="382"/>
      <c r="B15" s="382"/>
      <c r="C15" s="382"/>
      <c r="D15" s="26"/>
      <c r="E15" s="26"/>
      <c r="F15" s="26"/>
      <c r="G15" s="26"/>
      <c r="H15" s="26"/>
      <c r="I15" s="26"/>
      <c r="J15" s="26"/>
      <c r="K15" s="26"/>
      <c r="L15" s="26"/>
      <c r="M15" s="20"/>
      <c r="N15" s="109"/>
      <c r="O15" s="110"/>
      <c r="P15" s="111"/>
      <c r="Q15" s="111"/>
      <c r="R15" s="111"/>
      <c r="S15" s="111"/>
      <c r="T15" s="111"/>
      <c r="U15" s="111"/>
      <c r="V15" s="111"/>
      <c r="W15" s="20"/>
      <c r="X15" s="270"/>
      <c r="Y15" s="270"/>
      <c r="Z15" s="270"/>
      <c r="AA15" s="270"/>
      <c r="AB15" s="270"/>
      <c r="AC15" s="270"/>
      <c r="AD15" s="270"/>
      <c r="AE15" s="270"/>
      <c r="AF15" s="270"/>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82"/>
      <c r="B16" s="382"/>
      <c r="C16" s="382"/>
      <c r="D16" s="26"/>
      <c r="E16" s="26"/>
      <c r="F16" s="26"/>
      <c r="G16" s="26"/>
      <c r="H16" s="26"/>
      <c r="I16" s="26"/>
      <c r="J16" s="26"/>
      <c r="K16" s="26"/>
      <c r="L16" s="26"/>
      <c r="M16" s="20"/>
      <c r="N16" s="109"/>
      <c r="O16" s="110"/>
      <c r="P16" s="111"/>
      <c r="Q16" s="111"/>
      <c r="R16" s="111"/>
      <c r="S16" s="111"/>
      <c r="T16" s="111"/>
      <c r="U16" s="111"/>
      <c r="V16" s="111"/>
      <c r="W16" s="20"/>
      <c r="X16" s="270"/>
      <c r="Y16" s="270"/>
      <c r="Z16" s="270"/>
      <c r="AA16" s="270"/>
      <c r="AB16" s="270"/>
      <c r="AC16" s="270"/>
      <c r="AD16" s="270"/>
      <c r="AE16" s="270"/>
      <c r="AF16" s="270"/>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82"/>
      <c r="B17" s="382"/>
      <c r="C17" s="382"/>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82"/>
      <c r="B18" s="382"/>
      <c r="C18" s="382"/>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82"/>
      <c r="B19" s="382"/>
      <c r="C19" s="382"/>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0" t="str">
        <f>'F.3.1-4 Tube Chassis'!$D$25</f>
        <v>mm</v>
      </c>
      <c r="B20" s="370"/>
      <c r="C20" s="370"/>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0"/>
      <c r="B21" s="370"/>
      <c r="C21" s="370"/>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1" t="str">
        <f>IF(OR(A2="BLANK",COUNTIF(D30:AS31,"BLANK")),"BLANK",IF(COUNTIF(D30:AS31,"REJECT"),"REJECT",IF(COUNTIF(D30:AS31,"CHECK"),"CHECK",IF(A4="No","N/A","EQ"))))</f>
        <v>BLANK</v>
      </c>
      <c r="B22" s="371"/>
      <c r="C22" s="371"/>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1"/>
      <c r="B23" s="371"/>
      <c r="C23" s="371"/>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1"/>
      <c r="B24" s="371"/>
      <c r="C24" s="371"/>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1"/>
      <c r="B25" s="371"/>
      <c r="C25" s="371"/>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1"/>
      <c r="B26" s="371"/>
      <c r="C26" s="371"/>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1"/>
      <c r="B27" s="371"/>
      <c r="C27" s="371"/>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1"/>
      <c r="B28" s="371"/>
      <c r="C28" s="371"/>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1"/>
      <c r="B29" s="371"/>
      <c r="C29" s="371"/>
      <c r="D29" s="372" t="s">
        <v>165</v>
      </c>
      <c r="E29" s="372"/>
      <c r="F29" s="372"/>
      <c r="G29" s="372"/>
      <c r="H29" s="372"/>
      <c r="I29" s="372"/>
      <c r="J29" s="372"/>
      <c r="K29" s="372"/>
      <c r="L29" s="372"/>
      <c r="M29" s="107"/>
      <c r="N29" s="372" t="s">
        <v>165</v>
      </c>
      <c r="O29" s="372"/>
      <c r="P29" s="372"/>
      <c r="Q29" s="372"/>
      <c r="R29" s="372"/>
      <c r="S29" s="372"/>
      <c r="T29" s="372"/>
      <c r="U29" s="372"/>
      <c r="V29" s="372"/>
      <c r="W29" s="107"/>
      <c r="X29" s="372" t="s">
        <v>165</v>
      </c>
      <c r="Y29" s="372"/>
      <c r="Z29" s="372"/>
      <c r="AA29" s="372"/>
      <c r="AB29" s="372"/>
      <c r="AC29" s="372"/>
      <c r="AD29" s="372"/>
      <c r="AE29" s="372"/>
      <c r="AF29" s="372"/>
      <c r="AG29" s="107"/>
      <c r="AH29" s="372" t="s">
        <v>165</v>
      </c>
      <c r="AI29" s="372"/>
      <c r="AJ29" s="372"/>
      <c r="AK29" s="372"/>
      <c r="AL29" s="372"/>
      <c r="AM29" s="372"/>
      <c r="AN29" s="372"/>
      <c r="AO29" s="372"/>
      <c r="AP29" s="372"/>
      <c r="AQ29" s="107"/>
      <c r="AR29" s="372" t="s">
        <v>165</v>
      </c>
      <c r="AS29" s="372"/>
      <c r="AT29" s="372"/>
      <c r="AU29" s="372"/>
      <c r="AV29" s="372"/>
      <c r="AW29" s="372"/>
      <c r="AX29" s="372"/>
      <c r="AY29" s="372"/>
      <c r="AZ29" s="372"/>
      <c r="BA29" s="107"/>
    </row>
    <row r="30" spans="1:53" ht="15" customHeight="1" x14ac:dyDescent="0.3">
      <c r="A30" s="371"/>
      <c r="B30" s="371"/>
      <c r="C30" s="371"/>
      <c r="D30" s="373" t="str">
        <f>IF(COUNTIF(D33:M52,"BLANK"),"BLANK",IF(COUNTIF(D33:M52,"REJECT"),"REJECT",IF(COUNTIF(D33:M52,"CHECK"),"CHECK","EQ")))</f>
        <v>EQ</v>
      </c>
      <c r="E30" s="373"/>
      <c r="F30" s="373" t="s">
        <v>82</v>
      </c>
      <c r="G30" s="373"/>
      <c r="H30" s="373"/>
      <c r="I30" s="373"/>
      <c r="J30" s="373"/>
      <c r="K30" s="373"/>
      <c r="L30" s="373"/>
      <c r="N30" s="373" t="str">
        <f>IF(COUNTIF(N33:W52,"BLANK"),"BLANK",IF(COUNTIF(N33:W52,"REJECT"),"REJECT",IF(COUNTIF(N33:W52,"CHECK"),"CHECK","EQ")))</f>
        <v>EQ</v>
      </c>
      <c r="O30" s="373"/>
      <c r="P30" s="373" t="s">
        <v>82</v>
      </c>
      <c r="Q30" s="373"/>
      <c r="R30" s="373"/>
      <c r="S30" s="373"/>
      <c r="T30" s="373"/>
      <c r="U30" s="373"/>
      <c r="V30" s="373"/>
      <c r="X30" s="373" t="str">
        <f>IF(COUNTIF(X33:AG52,"BLANK"),"BLANK",IF(COUNTIF(X33:AG52,"REJECT"),"REJECT",IF(COUNTIF(X33:AG52,"CHECK"),"CHECK","EQ")))</f>
        <v>EQ</v>
      </c>
      <c r="Y30" s="373"/>
      <c r="Z30" s="373" t="s">
        <v>82</v>
      </c>
      <c r="AA30" s="373"/>
      <c r="AB30" s="373"/>
      <c r="AC30" s="373"/>
      <c r="AD30" s="373"/>
      <c r="AE30" s="373"/>
      <c r="AF30" s="373"/>
      <c r="AH30" s="373" t="str">
        <f>IF(COUNTIF(AH33:AQ52,"BLANK"),"BLANK",IF(COUNTIF(AH33:AQ52,"REJECT"),"REJECT",IF(COUNTIF(AH33:AQ52,"CHECK"),"CHECK","EQ")))</f>
        <v>EQ</v>
      </c>
      <c r="AI30" s="373"/>
      <c r="AJ30" s="373" t="s">
        <v>82</v>
      </c>
      <c r="AK30" s="373"/>
      <c r="AL30" s="373"/>
      <c r="AM30" s="373"/>
      <c r="AN30" s="373"/>
      <c r="AO30" s="373"/>
      <c r="AP30" s="373"/>
      <c r="AR30" s="373" t="str">
        <f>IF(COUNTIF(AR33:BA52,"BLANK"),"BLANK",IF(COUNTIF(AR33:BA52,"REJECT"),"REJECT",IF(COUNTIF(AR33:BA52,"CHECK"),"CHECK","EQ")))</f>
        <v>EQ</v>
      </c>
      <c r="AS30" s="373"/>
      <c r="AT30" s="373" t="s">
        <v>82</v>
      </c>
      <c r="AU30" s="373"/>
      <c r="AV30" s="373"/>
      <c r="AW30" s="373"/>
      <c r="AX30" s="373"/>
      <c r="AY30" s="373"/>
      <c r="AZ30" s="373"/>
    </row>
    <row r="31" spans="1:53" ht="15" customHeight="1" x14ac:dyDescent="0.3">
      <c r="D31" s="373"/>
      <c r="E31" s="373"/>
      <c r="F31" s="373"/>
      <c r="G31" s="373"/>
      <c r="H31" s="373"/>
      <c r="I31" s="373"/>
      <c r="J31" s="373"/>
      <c r="K31" s="373"/>
      <c r="L31" s="373"/>
      <c r="N31" s="373"/>
      <c r="O31" s="373"/>
      <c r="P31" s="373"/>
      <c r="Q31" s="373"/>
      <c r="R31" s="373"/>
      <c r="S31" s="373"/>
      <c r="T31" s="373"/>
      <c r="U31" s="373"/>
      <c r="V31" s="373"/>
      <c r="X31" s="373"/>
      <c r="Y31" s="373"/>
      <c r="Z31" s="373"/>
      <c r="AA31" s="373"/>
      <c r="AB31" s="373"/>
      <c r="AC31" s="373"/>
      <c r="AD31" s="373"/>
      <c r="AE31" s="373"/>
      <c r="AF31" s="373"/>
      <c r="AH31" s="373"/>
      <c r="AI31" s="373"/>
      <c r="AJ31" s="373"/>
      <c r="AK31" s="373"/>
      <c r="AL31" s="373"/>
      <c r="AM31" s="373"/>
      <c r="AN31" s="373"/>
      <c r="AO31" s="373"/>
      <c r="AP31" s="373"/>
      <c r="AR31" s="373"/>
      <c r="AS31" s="373"/>
      <c r="AT31" s="373"/>
      <c r="AU31" s="373"/>
      <c r="AV31" s="373"/>
      <c r="AW31" s="373"/>
      <c r="AX31" s="373"/>
      <c r="AY31" s="373"/>
      <c r="AZ31" s="373"/>
    </row>
    <row r="32" spans="1:53" ht="15" customHeight="1" x14ac:dyDescent="0.3">
      <c r="A32" s="314">
        <f>'F.3.1-4 Tube Chassis'!$M$1</f>
        <v>2020</v>
      </c>
      <c r="B32" s="314"/>
      <c r="C32" s="314"/>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15">
        <f>'F.3.1-4 Tube Chassis'!$C$1</f>
        <v>0</v>
      </c>
      <c r="B33" s="315"/>
      <c r="C33" s="315"/>
      <c r="D33" s="376" t="str">
        <f>IF(COUNTIF(L34,"BLANK"),"BLANK",IF(COUNTIF(L34,"REJECT"),"REJECT",IF(COUNTIF(L34,"CHECK"),"CHECK","EQ")))</f>
        <v>EQ</v>
      </c>
      <c r="E33" s="376"/>
      <c r="F33" s="376"/>
      <c r="G33" s="376"/>
      <c r="H33" s="376"/>
      <c r="I33" s="376"/>
      <c r="J33" s="376"/>
      <c r="K33" s="376"/>
      <c r="L33" s="376"/>
      <c r="N33" s="376" t="str">
        <f>IF(COUNTIF(V34,"BLANK"),"BLANK",IF(COUNTIF(V34,"REJECT"),"REJECT",IF(COUNTIF(V34,"CHECK"),"CHECK","EQ")))</f>
        <v>EQ</v>
      </c>
      <c r="O33" s="376"/>
      <c r="P33" s="376"/>
      <c r="Q33" s="376"/>
      <c r="R33" s="376"/>
      <c r="S33" s="376"/>
      <c r="T33" s="376"/>
      <c r="U33" s="376"/>
      <c r="V33" s="376"/>
      <c r="X33" s="376" t="str">
        <f>IF(COUNTIF(AF34,"BLANK"),"BLANK",IF(COUNTIF(AF34,"REJECT"),"REJECT",IF(COUNTIF(AF34,"CHECK"),"CHECK","EQ")))</f>
        <v>EQ</v>
      </c>
      <c r="Y33" s="376"/>
      <c r="Z33" s="376"/>
      <c r="AA33" s="376"/>
      <c r="AB33" s="376"/>
      <c r="AC33" s="376"/>
      <c r="AD33" s="376"/>
      <c r="AE33" s="376"/>
      <c r="AF33" s="376"/>
      <c r="AH33" s="376" t="str">
        <f>IF(COUNTIF(AP34,"BLANK"),"BLANK",IF(COUNTIF(AP34,"REJECT"),"REJECT",IF(COUNTIF(AP34,"CHECK"),"CHECK","EQ")))</f>
        <v>EQ</v>
      </c>
      <c r="AI33" s="376"/>
      <c r="AJ33" s="376"/>
      <c r="AK33" s="376"/>
      <c r="AL33" s="376"/>
      <c r="AM33" s="376"/>
      <c r="AN33" s="376"/>
      <c r="AO33" s="376"/>
      <c r="AP33" s="376"/>
      <c r="AR33" s="376" t="str">
        <f>IF(COUNTIF(AZ34,"BLANK"),"BLANK",IF(COUNTIF(AZ34,"REJECT"),"REJECT",IF(COUNTIF(AZ34,"CHECK"),"CHECK","EQ")))</f>
        <v>EQ</v>
      </c>
      <c r="AS33" s="376"/>
      <c r="AT33" s="376"/>
      <c r="AU33" s="376"/>
      <c r="AV33" s="376"/>
      <c r="AW33" s="376"/>
      <c r="AX33" s="376"/>
      <c r="AY33" s="376"/>
      <c r="AZ33" s="376"/>
    </row>
    <row r="34" spans="1:53" ht="15" customHeight="1" thickBot="1" x14ac:dyDescent="0.35">
      <c r="A34" s="313">
        <f>'F.3.1-4 Tube Chassis'!$C$2</f>
        <v>0</v>
      </c>
      <c r="B34" s="313"/>
      <c r="C34" s="313"/>
      <c r="D34" s="122" t="s">
        <v>196</v>
      </c>
      <c r="E34" s="379" t="s">
        <v>84</v>
      </c>
      <c r="F34" s="379"/>
      <c r="G34" s="379"/>
      <c r="H34" s="379"/>
      <c r="I34" s="379"/>
      <c r="J34" s="386" t="s">
        <v>64</v>
      </c>
      <c r="K34" s="387"/>
      <c r="L34" s="121" t="str">
        <f>IF(AND(NOT(A5="FILL OUT THIS TAB."),J34="Select drop down:",J39=""),"EQ",IF(J34="Select drop down:","BLANK","EQ"))</f>
        <v>EQ</v>
      </c>
      <c r="N34" s="122" t="s">
        <v>196</v>
      </c>
      <c r="O34" s="379" t="s">
        <v>84</v>
      </c>
      <c r="P34" s="379"/>
      <c r="Q34" s="379"/>
      <c r="R34" s="379"/>
      <c r="S34" s="379"/>
      <c r="T34" s="386" t="s">
        <v>64</v>
      </c>
      <c r="U34" s="387"/>
      <c r="V34" s="121" t="str">
        <f>IF(AND(T34="Select drop down:",T49=""),"EQ",IF(T34="Select drop down:","BLANK","EQ"))</f>
        <v>EQ</v>
      </c>
      <c r="X34" s="122" t="s">
        <v>196</v>
      </c>
      <c r="Y34" s="379" t="s">
        <v>84</v>
      </c>
      <c r="Z34" s="379"/>
      <c r="AA34" s="379"/>
      <c r="AB34" s="379"/>
      <c r="AC34" s="379"/>
      <c r="AD34" s="386" t="s">
        <v>64</v>
      </c>
      <c r="AE34" s="387"/>
      <c r="AF34" s="121" t="str">
        <f>IF(AND(AD34="Select drop down:",AD49=""),"EQ",IF(AD34="Select drop down:","BLANK","EQ"))</f>
        <v>EQ</v>
      </c>
      <c r="AH34" s="122" t="s">
        <v>196</v>
      </c>
      <c r="AI34" s="379" t="s">
        <v>84</v>
      </c>
      <c r="AJ34" s="379"/>
      <c r="AK34" s="379"/>
      <c r="AL34" s="379"/>
      <c r="AM34" s="379"/>
      <c r="AN34" s="386" t="s">
        <v>64</v>
      </c>
      <c r="AO34" s="387"/>
      <c r="AP34" s="121" t="str">
        <f>IF(AND(AN34="Select drop down:",AN49=""),"EQ",IF(AN34="Select drop down:","BLANK","EQ"))</f>
        <v>EQ</v>
      </c>
      <c r="AR34" s="122" t="s">
        <v>196</v>
      </c>
      <c r="AS34" s="379" t="s">
        <v>84</v>
      </c>
      <c r="AT34" s="379"/>
      <c r="AU34" s="379"/>
      <c r="AV34" s="379"/>
      <c r="AW34" s="379"/>
      <c r="AX34" s="386" t="s">
        <v>64</v>
      </c>
      <c r="AY34" s="387"/>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8" t="s">
        <v>197</v>
      </c>
      <c r="E36" s="388"/>
      <c r="F36" s="388"/>
      <c r="G36" s="388"/>
      <c r="H36" s="388"/>
      <c r="I36" s="388"/>
      <c r="J36" s="388"/>
      <c r="K36" s="388"/>
      <c r="L36" s="388"/>
      <c r="N36" s="388" t="s">
        <v>197</v>
      </c>
      <c r="O36" s="388"/>
      <c r="P36" s="388"/>
      <c r="Q36" s="388"/>
      <c r="R36" s="388"/>
      <c r="S36" s="388"/>
      <c r="T36" s="388"/>
      <c r="U36" s="388"/>
      <c r="V36" s="388"/>
      <c r="X36" s="388" t="s">
        <v>197</v>
      </c>
      <c r="Y36" s="388"/>
      <c r="Z36" s="388"/>
      <c r="AA36" s="388"/>
      <c r="AB36" s="388"/>
      <c r="AC36" s="388"/>
      <c r="AD36" s="388"/>
      <c r="AE36" s="388"/>
      <c r="AF36" s="388"/>
      <c r="AH36" s="388" t="s">
        <v>197</v>
      </c>
      <c r="AI36" s="388"/>
      <c r="AJ36" s="388"/>
      <c r="AK36" s="388"/>
      <c r="AL36" s="388"/>
      <c r="AM36" s="388"/>
      <c r="AN36" s="388"/>
      <c r="AO36" s="388"/>
      <c r="AP36" s="388"/>
      <c r="AR36" s="388" t="s">
        <v>197</v>
      </c>
      <c r="AS36" s="388"/>
      <c r="AT36" s="388"/>
      <c r="AU36" s="388"/>
      <c r="AV36" s="388"/>
      <c r="AW36" s="388"/>
      <c r="AX36" s="388"/>
      <c r="AY36" s="388"/>
      <c r="AZ36" s="388"/>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67"/>
      <c r="B38" s="367"/>
      <c r="C38" s="367"/>
      <c r="D38" s="376" t="str">
        <f>IF(COUNTIF(L39:L41,"BLANK"),"BLANK",IF(COUNTIF(L39:L41,"REJECT"),"REJECT",IF(COUNTIF(L39:L41,"CHECK"),"CHECK","EQ")))</f>
        <v>EQ</v>
      </c>
      <c r="E38" s="376"/>
      <c r="F38" s="376"/>
      <c r="G38" s="376"/>
      <c r="H38" s="376"/>
      <c r="I38" s="376"/>
      <c r="J38" s="376"/>
      <c r="K38" s="376"/>
      <c r="L38" s="376"/>
      <c r="N38" s="376" t="str">
        <f>IF(COUNTIF(V39:V41,"BLANK"),"BLANK",IF(COUNTIF(V39:V41,"REJECT"),"REJECT",IF(COUNTIF(V39:V41,"CHECK"),"CHECK","EQ")))</f>
        <v>EQ</v>
      </c>
      <c r="O38" s="376"/>
      <c r="P38" s="376"/>
      <c r="Q38" s="376"/>
      <c r="R38" s="376"/>
      <c r="S38" s="376"/>
      <c r="T38" s="376"/>
      <c r="U38" s="376"/>
      <c r="V38" s="376"/>
      <c r="X38" s="376" t="str">
        <f>IF(COUNTIF(AF39:AF41,"BLANK"),"BLANK",IF(COUNTIF(AF39:AF41,"REJECT"),"REJECT",IF(COUNTIF(AF39:AF41,"CHECK"),"CHECK","EQ")))</f>
        <v>EQ</v>
      </c>
      <c r="Y38" s="376"/>
      <c r="Z38" s="376"/>
      <c r="AA38" s="376"/>
      <c r="AB38" s="376"/>
      <c r="AC38" s="376"/>
      <c r="AD38" s="376"/>
      <c r="AE38" s="376"/>
      <c r="AF38" s="376"/>
      <c r="AH38" s="376" t="str">
        <f>IF(COUNTIF(AP39:AP41,"BLANK"),"BLANK",IF(COUNTIF(AP39:AP41,"REJECT"),"REJECT",IF(COUNTIF(AP39:AP41,"CHECK"),"CHECK","EQ")))</f>
        <v>EQ</v>
      </c>
      <c r="AI38" s="376"/>
      <c r="AJ38" s="376"/>
      <c r="AK38" s="376"/>
      <c r="AL38" s="376"/>
      <c r="AM38" s="376"/>
      <c r="AN38" s="376"/>
      <c r="AO38" s="376"/>
      <c r="AP38" s="376"/>
      <c r="AR38" s="376" t="str">
        <f>IF(COUNTIF(AZ39:AZ41,"BLANK"),"BLANK",IF(COUNTIF(AZ39:AZ41,"REJECT"),"REJECT",IF(COUNTIF(AZ39:AZ41,"CHECK"),"CHECK","EQ")))</f>
        <v>EQ</v>
      </c>
      <c r="AS38" s="376"/>
      <c r="AT38" s="376"/>
      <c r="AU38" s="376"/>
      <c r="AV38" s="376"/>
      <c r="AW38" s="376"/>
      <c r="AX38" s="376"/>
      <c r="AY38" s="376"/>
      <c r="AZ38" s="376"/>
    </row>
    <row r="39" spans="1:53" ht="15" customHeight="1" x14ac:dyDescent="0.3">
      <c r="D39" s="122" t="str">
        <f>IF(J$34="Sleeved Butt Joint","F.5.10.6a","F.5.10.3a")</f>
        <v>F.5.10.3a</v>
      </c>
      <c r="E39" s="379" t="str">
        <f>IF(J$34="Sleeved Butt Joint","Min Butt Joint to Sleeve End &gt;=37.5mm (1.5in):","Lug thickness &gt;= 4.5mm (0.177in) steel:")</f>
        <v>Lug thickness &gt;= 4.5mm (0.177in) steel:</v>
      </c>
      <c r="F39" s="379"/>
      <c r="G39" s="379"/>
      <c r="H39" s="379"/>
      <c r="I39" s="389"/>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79" t="str">
        <f>IF(T$34="Sleeved Butt Joint","Min Butt Joint to Sleeve End &gt;=37.5mm (1.5in):","Lug thickness &gt;= 4.5mm (0.177in) steel:")</f>
        <v>Lug thickness &gt;= 4.5mm (0.177in) steel:</v>
      </c>
      <c r="P39" s="379"/>
      <c r="Q39" s="379"/>
      <c r="R39" s="379"/>
      <c r="S39" s="389"/>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79" t="str">
        <f>IF(AD$34="Sleeved Butt Joint","Min Butt Joint to Sleeve End &gt;=37.5mm (1.5in):","Lug thickness &gt;= 4.5mm (0.177in) steel:")</f>
        <v>Lug thickness &gt;= 4.5mm (0.177in) steel:</v>
      </c>
      <c r="Z39" s="379"/>
      <c r="AA39" s="379"/>
      <c r="AB39" s="379"/>
      <c r="AC39" s="389"/>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79" t="str">
        <f>IF(AN$34="Sleeved Butt Joint","Min Butt Joint to Sleeve End &gt;=37.5mm (1.5in):","Lug thickness &gt;= 4.5mm (0.177in) steel:")</f>
        <v>Lug thickness &gt;= 4.5mm (0.177in) steel:</v>
      </c>
      <c r="AJ39" s="379"/>
      <c r="AK39" s="379"/>
      <c r="AL39" s="379"/>
      <c r="AM39" s="389"/>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79" t="str">
        <f>IF(AX$34="Sleeved Butt Joint","Min Butt Joint to Sleeve End &gt;=37.5mm (1.5in):","Lug thickness &gt;= 4.5mm (0.177in) steel:")</f>
        <v>Lug thickness &gt;= 4.5mm (0.177in) steel:</v>
      </c>
      <c r="AT39" s="379"/>
      <c r="AU39" s="379"/>
      <c r="AV39" s="379"/>
      <c r="AW39" s="389"/>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79" t="str">
        <f>IF(J$34="Sleeved Butt Joint","Wall Thickness:","Perpendicular dimension &gt;=25mm (1in):")</f>
        <v>Perpendicular dimension &gt;=25mm (1in):</v>
      </c>
      <c r="F40" s="379"/>
      <c r="G40" s="379"/>
      <c r="H40" s="379"/>
      <c r="I40" s="389"/>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79" t="str">
        <f>IF(T$34="Sleeved Butt Joint","Wall Thickness:","Perpendicular dimension &gt;=25mm (1in):")</f>
        <v>Perpendicular dimension &gt;=25mm (1in):</v>
      </c>
      <c r="P40" s="379"/>
      <c r="Q40" s="379"/>
      <c r="R40" s="379"/>
      <c r="S40" s="389"/>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79" t="str">
        <f>IF(AD$34="Sleeved Butt Joint","Wall Thickness:","Perpendicular dimension &gt;=25mm (1in):")</f>
        <v>Perpendicular dimension &gt;=25mm (1in):</v>
      </c>
      <c r="Z40" s="379"/>
      <c r="AA40" s="379"/>
      <c r="AB40" s="379"/>
      <c r="AC40" s="389"/>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79" t="str">
        <f>IF(AN$34="Sleeved Butt Joint","Wall Thickness:","Perpendicular dimension &gt;=25mm (1in):")</f>
        <v>Perpendicular dimension &gt;=25mm (1in):</v>
      </c>
      <c r="AJ40" s="379"/>
      <c r="AK40" s="379"/>
      <c r="AL40" s="379"/>
      <c r="AM40" s="389"/>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79" t="str">
        <f>IF(AX$34="Sleeved Butt Joint","Wall Thickness:","Perpendicular dimension &gt;=25mm (1in):")</f>
        <v>Perpendicular dimension &gt;=25mm (1in):</v>
      </c>
      <c r="AT40" s="379"/>
      <c r="AU40" s="379"/>
      <c r="AV40" s="379"/>
      <c r="AW40" s="389"/>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79" t="str">
        <f>IF(J$34="Sleeved Butt Joint","Base tube no thicker than:","")</f>
        <v/>
      </c>
      <c r="F41" s="379"/>
      <c r="G41" s="379"/>
      <c r="H41" s="379"/>
      <c r="I41" s="379"/>
      <c r="J41" s="121" t="str">
        <f>IF(J$34="Sleeved Butt Joint",J40,"")</f>
        <v/>
      </c>
      <c r="K41" s="128" t="str">
        <f>IF(J$34="Sleeved Butt Joint",K40,"")</f>
        <v/>
      </c>
      <c r="L41" s="121" t="str">
        <f>IF(J41="","","EQ")</f>
        <v/>
      </c>
      <c r="N41" s="122" t="str">
        <f>IF(T$34="Sleeved Butt Joint","F.5.10.6b","")</f>
        <v/>
      </c>
      <c r="O41" s="379" t="str">
        <f>IF(T$34="Sleeved Butt Joint","Base tube no thicker than:","")</f>
        <v/>
      </c>
      <c r="P41" s="379"/>
      <c r="Q41" s="379"/>
      <c r="R41" s="379"/>
      <c r="S41" s="379"/>
      <c r="T41" s="121" t="str">
        <f>IF(T$34="Sleeved Butt Joint",T40,"")</f>
        <v/>
      </c>
      <c r="U41" s="128" t="str">
        <f>IF(T$34="Sleeved Butt Joint",U40,"")</f>
        <v/>
      </c>
      <c r="V41" s="121" t="str">
        <f>IF(T41="","","EQ")</f>
        <v/>
      </c>
      <c r="X41" s="122" t="str">
        <f>IF(AD$34="Sleeved Butt Joint","F.5.10.6b","")</f>
        <v/>
      </c>
      <c r="Y41" s="379" t="str">
        <f>IF(AD$34="Sleeved Butt Joint","Base tube no thicker than:","")</f>
        <v/>
      </c>
      <c r="Z41" s="379"/>
      <c r="AA41" s="379"/>
      <c r="AB41" s="379"/>
      <c r="AC41" s="379"/>
      <c r="AD41" s="121" t="str">
        <f>IF(AD$34="Sleeved Butt Joint",AD40,"")</f>
        <v/>
      </c>
      <c r="AE41" s="128" t="str">
        <f>IF(AD$34="Sleeved Butt Joint",AE40,"")</f>
        <v/>
      </c>
      <c r="AF41" s="121" t="str">
        <f>IF(AD41="","","EQ")</f>
        <v/>
      </c>
      <c r="AH41" s="122" t="str">
        <f>IF(AN$34="Sleeved Butt Joint","F.5.10.6b","")</f>
        <v/>
      </c>
      <c r="AI41" s="379" t="str">
        <f>IF(AN$34="Sleeved Butt Joint","Base tube no thicker than:","")</f>
        <v/>
      </c>
      <c r="AJ41" s="379"/>
      <c r="AK41" s="379"/>
      <c r="AL41" s="379"/>
      <c r="AM41" s="379"/>
      <c r="AN41" s="121" t="str">
        <f>IF(AN$34="Sleeved Butt Joint",AN40,"")</f>
        <v/>
      </c>
      <c r="AO41" s="128" t="str">
        <f>IF(AN$34="Sleeved Butt Joint",AO40,"")</f>
        <v/>
      </c>
      <c r="AP41" s="121" t="str">
        <f>IF(AN41="","","EQ")</f>
        <v/>
      </c>
      <c r="AR41" s="122" t="str">
        <f>IF(AX$34="Sleeved Butt Joint","F.5.10.6b","")</f>
        <v/>
      </c>
      <c r="AS41" s="379" t="str">
        <f>IF(AX$34="Sleeved Butt Joint","Base tube no thicker than:","")</f>
        <v/>
      </c>
      <c r="AT41" s="379"/>
      <c r="AU41" s="379"/>
      <c r="AV41" s="379"/>
      <c r="AW41" s="379"/>
      <c r="AX41" s="121" t="str">
        <f>IF(AX$34="Sleeved Butt Joint",AX40,"")</f>
        <v/>
      </c>
      <c r="AY41" s="128" t="str">
        <f>IF(AX$34="Sleeved Butt Joint",AY40,"")</f>
        <v/>
      </c>
      <c r="AZ41" s="121" t="str">
        <f>IF(AX41="","","EQ")</f>
        <v/>
      </c>
    </row>
    <row r="42" spans="1:53" ht="15" customHeight="1" x14ac:dyDescent="0.3"/>
    <row r="43" spans="1:53" x14ac:dyDescent="0.3">
      <c r="D43" s="388" t="s">
        <v>198</v>
      </c>
      <c r="E43" s="388"/>
      <c r="F43" s="388"/>
      <c r="G43" s="388"/>
      <c r="H43" s="388"/>
      <c r="I43" s="388"/>
      <c r="J43" s="388"/>
      <c r="K43" s="388"/>
      <c r="L43" s="388"/>
      <c r="N43" s="388" t="s">
        <v>198</v>
      </c>
      <c r="O43" s="388"/>
      <c r="P43" s="388"/>
      <c r="Q43" s="388"/>
      <c r="R43" s="388"/>
      <c r="S43" s="388"/>
      <c r="T43" s="388"/>
      <c r="U43" s="388"/>
      <c r="V43" s="388"/>
      <c r="X43" s="388" t="s">
        <v>198</v>
      </c>
      <c r="Y43" s="388"/>
      <c r="Z43" s="388"/>
      <c r="AA43" s="388"/>
      <c r="AB43" s="388"/>
      <c r="AC43" s="388"/>
      <c r="AD43" s="388"/>
      <c r="AE43" s="388"/>
      <c r="AF43" s="388"/>
      <c r="AH43" s="388" t="s">
        <v>198</v>
      </c>
      <c r="AI43" s="388"/>
      <c r="AJ43" s="388"/>
      <c r="AK43" s="388"/>
      <c r="AL43" s="388"/>
      <c r="AM43" s="388"/>
      <c r="AN43" s="388"/>
      <c r="AO43" s="388"/>
      <c r="AP43" s="388"/>
      <c r="AR43" s="388" t="s">
        <v>198</v>
      </c>
      <c r="AS43" s="388"/>
      <c r="AT43" s="388"/>
      <c r="AU43" s="388"/>
      <c r="AV43" s="388"/>
      <c r="AW43" s="388"/>
      <c r="AX43" s="388"/>
      <c r="AY43" s="388"/>
      <c r="AZ43" s="388"/>
    </row>
    <row r="44" spans="1:53" x14ac:dyDescent="0.3">
      <c r="D44" s="388" t="s">
        <v>199</v>
      </c>
      <c r="E44" s="388"/>
      <c r="F44" s="388"/>
      <c r="G44" s="388"/>
      <c r="H44" s="388"/>
      <c r="I44" s="388"/>
      <c r="J44" s="388"/>
      <c r="K44" s="388"/>
      <c r="L44" s="388"/>
      <c r="N44" s="388" t="s">
        <v>199</v>
      </c>
      <c r="O44" s="388"/>
      <c r="P44" s="388"/>
      <c r="Q44" s="388"/>
      <c r="R44" s="388"/>
      <c r="S44" s="388"/>
      <c r="T44" s="388"/>
      <c r="U44" s="388"/>
      <c r="V44" s="388"/>
      <c r="X44" s="388" t="s">
        <v>199</v>
      </c>
      <c r="Y44" s="388"/>
      <c r="Z44" s="388"/>
      <c r="AA44" s="388"/>
      <c r="AB44" s="388"/>
      <c r="AC44" s="388"/>
      <c r="AD44" s="388"/>
      <c r="AE44" s="388"/>
      <c r="AF44" s="388"/>
      <c r="AH44" s="388" t="s">
        <v>199</v>
      </c>
      <c r="AI44" s="388"/>
      <c r="AJ44" s="388"/>
      <c r="AK44" s="388"/>
      <c r="AL44" s="388"/>
      <c r="AM44" s="388"/>
      <c r="AN44" s="388"/>
      <c r="AO44" s="388"/>
      <c r="AP44" s="388"/>
      <c r="AR44" s="388" t="s">
        <v>199</v>
      </c>
      <c r="AS44" s="388"/>
      <c r="AT44" s="388"/>
      <c r="AU44" s="388"/>
      <c r="AV44" s="388"/>
      <c r="AW44" s="388"/>
      <c r="AX44" s="388"/>
      <c r="AY44" s="388"/>
      <c r="AZ44" s="388"/>
    </row>
    <row r="45" spans="1:53" x14ac:dyDescent="0.3">
      <c r="D45" s="388" t="s">
        <v>200</v>
      </c>
      <c r="E45" s="388"/>
      <c r="F45" s="388"/>
      <c r="G45" s="388"/>
      <c r="H45" s="388"/>
      <c r="I45" s="388"/>
      <c r="J45" s="388"/>
      <c r="K45" s="388"/>
      <c r="L45" s="388"/>
      <c r="N45" s="388" t="s">
        <v>200</v>
      </c>
      <c r="O45" s="388"/>
      <c r="P45" s="388"/>
      <c r="Q45" s="388"/>
      <c r="R45" s="388"/>
      <c r="S45" s="388"/>
      <c r="T45" s="388"/>
      <c r="U45" s="388"/>
      <c r="V45" s="388"/>
      <c r="X45" s="388" t="s">
        <v>200</v>
      </c>
      <c r="Y45" s="388"/>
      <c r="Z45" s="388"/>
      <c r="AA45" s="388"/>
      <c r="AB45" s="388"/>
      <c r="AC45" s="388"/>
      <c r="AD45" s="388"/>
      <c r="AE45" s="388"/>
      <c r="AF45" s="388"/>
      <c r="AH45" s="388" t="s">
        <v>200</v>
      </c>
      <c r="AI45" s="388"/>
      <c r="AJ45" s="388"/>
      <c r="AK45" s="388"/>
      <c r="AL45" s="388"/>
      <c r="AM45" s="388"/>
      <c r="AN45" s="388"/>
      <c r="AO45" s="388"/>
      <c r="AP45" s="388"/>
      <c r="AR45" s="388" t="s">
        <v>200</v>
      </c>
      <c r="AS45" s="388"/>
      <c r="AT45" s="388"/>
      <c r="AU45" s="388"/>
      <c r="AV45" s="388"/>
      <c r="AW45" s="388"/>
      <c r="AX45" s="388"/>
      <c r="AY45" s="388"/>
      <c r="AZ45" s="388"/>
    </row>
    <row r="46" spans="1:53" x14ac:dyDescent="0.3">
      <c r="D46" s="388" t="s">
        <v>83</v>
      </c>
      <c r="E46" s="388"/>
      <c r="F46" s="388"/>
      <c r="G46" s="388"/>
      <c r="H46" s="388"/>
      <c r="I46" s="388"/>
      <c r="J46" s="388"/>
      <c r="K46" s="388"/>
      <c r="L46" s="388"/>
      <c r="M46" s="388"/>
      <c r="N46" s="388" t="s">
        <v>83</v>
      </c>
      <c r="O46" s="388"/>
      <c r="P46" s="388"/>
      <c r="Q46" s="388"/>
      <c r="R46" s="388"/>
      <c r="S46" s="388"/>
      <c r="T46" s="388"/>
      <c r="U46" s="388"/>
      <c r="V46" s="388"/>
      <c r="W46" s="388"/>
      <c r="X46" s="388" t="s">
        <v>83</v>
      </c>
      <c r="Y46" s="388"/>
      <c r="Z46" s="388"/>
      <c r="AA46" s="388"/>
      <c r="AB46" s="388"/>
      <c r="AC46" s="388"/>
      <c r="AD46" s="388"/>
      <c r="AE46" s="388"/>
      <c r="AF46" s="388"/>
      <c r="AG46" s="388"/>
      <c r="AH46" s="388" t="s">
        <v>83</v>
      </c>
      <c r="AI46" s="388"/>
      <c r="AJ46" s="388"/>
      <c r="AK46" s="388"/>
      <c r="AL46" s="388"/>
      <c r="AM46" s="388"/>
      <c r="AN46" s="388"/>
      <c r="AO46" s="388"/>
      <c r="AP46" s="388"/>
      <c r="AQ46" s="388"/>
      <c r="AR46" s="388" t="s">
        <v>83</v>
      </c>
      <c r="AS46" s="388"/>
      <c r="AT46" s="388"/>
      <c r="AU46" s="388"/>
      <c r="AV46" s="388"/>
      <c r="AW46" s="388"/>
      <c r="AX46" s="388"/>
      <c r="AY46" s="388"/>
      <c r="AZ46" s="388"/>
      <c r="BA46" s="388"/>
    </row>
    <row r="48" spans="1:53" x14ac:dyDescent="0.3">
      <c r="D48" s="376" t="str">
        <f>IF(COUNTIF(L49:L52,"BLANK"),"BLANK",IF(COUNTIF(L49:L52,"REJECT"),"REJECT",IF(COUNTIF(L49:L52,"CHECK"),"CHECK","EQ")))</f>
        <v>EQ</v>
      </c>
      <c r="E48" s="376"/>
      <c r="F48" s="376"/>
      <c r="G48" s="376"/>
      <c r="H48" s="376"/>
      <c r="I48" s="376"/>
      <c r="J48" s="376"/>
      <c r="K48" s="376"/>
      <c r="L48" s="376"/>
      <c r="N48" s="376" t="str">
        <f>IF(COUNTIF(V49:V52,"BLANK"),"BLANK",IF(COUNTIF(V49:V52,"REJECT"),"REJECT",IF(COUNTIF(V49:V52,"CHECK"),"CHECK","EQ")))</f>
        <v>EQ</v>
      </c>
      <c r="O48" s="376"/>
      <c r="P48" s="376"/>
      <c r="Q48" s="376"/>
      <c r="R48" s="376"/>
      <c r="S48" s="376"/>
      <c r="T48" s="376"/>
      <c r="U48" s="376"/>
      <c r="V48" s="376"/>
      <c r="X48" s="376" t="str">
        <f>IF(COUNTIF(AF49:AF52,"BLANK"),"BLANK",IF(COUNTIF(AF49:AF52,"REJECT"),"REJECT",IF(COUNTIF(AF49:AF52,"CHECK"),"CHECK","EQ")))</f>
        <v>EQ</v>
      </c>
      <c r="Y48" s="376"/>
      <c r="Z48" s="376"/>
      <c r="AA48" s="376"/>
      <c r="AB48" s="376"/>
      <c r="AC48" s="376"/>
      <c r="AD48" s="376"/>
      <c r="AE48" s="376"/>
      <c r="AF48" s="376"/>
      <c r="AH48" s="376" t="str">
        <f>IF(COUNTIF(AP49:AP52,"BLANK"),"BLANK",IF(COUNTIF(AP49:AP52,"REJECT"),"REJECT",IF(COUNTIF(AP49:AP52,"CHECK"),"CHECK","EQ")))</f>
        <v>EQ</v>
      </c>
      <c r="AI48" s="376"/>
      <c r="AJ48" s="376"/>
      <c r="AK48" s="376"/>
      <c r="AL48" s="376"/>
      <c r="AM48" s="376"/>
      <c r="AN48" s="376"/>
      <c r="AO48" s="376"/>
      <c r="AP48" s="376"/>
      <c r="AR48" s="376" t="str">
        <f>IF(COUNTIF(AZ49:AZ52,"BLANK"),"BLANK",IF(COUNTIF(AZ49:AZ52,"REJECT"),"REJECT",IF(COUNTIF(AZ49:AZ52,"CHECK"),"CHECK","EQ")))</f>
        <v>EQ</v>
      </c>
      <c r="AS48" s="376"/>
      <c r="AT48" s="376"/>
      <c r="AU48" s="376"/>
      <c r="AV48" s="376"/>
      <c r="AW48" s="376"/>
      <c r="AX48" s="376"/>
      <c r="AY48" s="376"/>
      <c r="AZ48" s="376"/>
    </row>
    <row r="49" spans="1:52" x14ac:dyDescent="0.3">
      <c r="D49" s="122" t="s">
        <v>201</v>
      </c>
      <c r="E49" s="379" t="s">
        <v>86</v>
      </c>
      <c r="F49" s="379"/>
      <c r="G49" s="379"/>
      <c r="H49" s="379"/>
      <c r="I49" s="379"/>
      <c r="J49" s="134"/>
      <c r="K49" s="128" t="str">
        <f>IF($A$20="mm","mm","in")</f>
        <v>mm</v>
      </c>
      <c r="L49" s="121" t="str">
        <f>IF(AND(J$34="Select drop down:",J49=""),"N/A",IF(J49="","BLANK",IF(J$34="Sleeved Butt Joint",IF($A$20="mm",IF(J49&gt;=6,"EQ","REJECT"),IF(J49&gt;=0.25,"EQ","REJECT")),IF($A$20="mm",IF(J49&gt;=10,"EQ","REJECT"),IF(J49&gt;=0.375,"EQ","REJECT")))))</f>
        <v>N/A</v>
      </c>
      <c r="N49" s="122" t="s">
        <v>201</v>
      </c>
      <c r="O49" s="379" t="s">
        <v>86</v>
      </c>
      <c r="P49" s="379"/>
      <c r="Q49" s="379"/>
      <c r="R49" s="379"/>
      <c r="S49" s="379"/>
      <c r="T49" s="134"/>
      <c r="U49" s="128" t="str">
        <f>IF($A$20="mm","mm","in")</f>
        <v>mm</v>
      </c>
      <c r="V49" s="121" t="str">
        <f>IF(AND(T$34="Select drop down:",T49=""),"N/A",IF(T49="","BLANK",IF(T$34="Sleeved Butt Joint",IF($A$20="mm",IF(T49&gt;=6,"EQ","REJECT"),IF(T49&gt;=0.25,"EQ","REJECT")),IF($A$20="mm",IF(T49&gt;=10,"EQ","REJECT"),IF(T49&gt;=0.375,"EQ","REJECT")))))</f>
        <v>N/A</v>
      </c>
      <c r="X49" s="122" t="s">
        <v>201</v>
      </c>
      <c r="Y49" s="379" t="s">
        <v>86</v>
      </c>
      <c r="Z49" s="379"/>
      <c r="AA49" s="379"/>
      <c r="AB49" s="379"/>
      <c r="AC49" s="379"/>
      <c r="AD49" s="134"/>
      <c r="AE49" s="128" t="str">
        <f>IF($A$20="mm","mm","in")</f>
        <v>mm</v>
      </c>
      <c r="AF49" s="121" t="str">
        <f>IF(AND(AD$34="Select drop down:",AD49=""),"N/A",IF(AD49="","BLANK",IF(AD$34="Sleeved Butt Joint",IF($A$20="mm",IF(AD49&gt;=6,"EQ","REJECT"),IF(AD49&gt;=0.25,"EQ","REJECT")),IF($A$20="mm",IF(AD49&gt;=10,"EQ","REJECT"),IF(AD49&gt;=0.375,"EQ","REJECT")))))</f>
        <v>N/A</v>
      </c>
      <c r="AH49" s="122" t="s">
        <v>201</v>
      </c>
      <c r="AI49" s="379" t="s">
        <v>86</v>
      </c>
      <c r="AJ49" s="379"/>
      <c r="AK49" s="379"/>
      <c r="AL49" s="379"/>
      <c r="AM49" s="379"/>
      <c r="AN49" s="134"/>
      <c r="AO49" s="128" t="str">
        <f>IF($A$20="mm","mm","in")</f>
        <v>mm</v>
      </c>
      <c r="AP49" s="121" t="str">
        <f>IF(AND(AN$34="Select drop down:",AN49=""),"N/A",IF(AN49="","BLANK",IF(AN$34="Sleeved Butt Joint",IF($A$20="mm",IF(AN49&gt;=6,"EQ","REJECT"),IF(AN49&gt;=0.25,"EQ","REJECT")),IF($A$20="mm",IF(AN49&gt;=10,"EQ","REJECT"),IF(AN49&gt;=0.375,"EQ","REJECT")))))</f>
        <v>N/A</v>
      </c>
      <c r="AR49" s="122" t="s">
        <v>201</v>
      </c>
      <c r="AS49" s="379" t="s">
        <v>86</v>
      </c>
      <c r="AT49" s="379"/>
      <c r="AU49" s="379"/>
      <c r="AV49" s="379"/>
      <c r="AW49" s="379"/>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79" t="str">
        <f>IF(J$34="Sleeved Butt Joint","Distance to outside tube edge:","Distance to tube edge:")</f>
        <v>Distance to tube edge:</v>
      </c>
      <c r="F50" s="379"/>
      <c r="G50" s="379"/>
      <c r="H50" s="379"/>
      <c r="I50" s="389"/>
      <c r="J50" s="134"/>
      <c r="K50" s="128" t="str">
        <f>IF($A$20="mm","mm","in")</f>
        <v>mm</v>
      </c>
      <c r="L50" s="121" t="str">
        <f>IF(AND(J$34="Select drop down:",J50=""),"N/A",IF(J50="","BLANK",IF(J$34="Sleeved Butt Joint",IF($A$20="mm",IF(J50&gt;=9,"EQ","REJECT"),IF(J50&gt;=0.375,"EQ","REJECT")),IF($A$20="mm",IF(J50&gt;=15,"EQ","REJECT"),IF(J50&gt;=0.5625,"EQ","REJECT")))))</f>
        <v>N/A</v>
      </c>
      <c r="N50" s="122"/>
      <c r="O50" s="379" t="str">
        <f>IF(T$34="Sleeved Butt Joint","Distance to outside tube edge:","Distance to tube edge:")</f>
        <v>Distance to tube edge:</v>
      </c>
      <c r="P50" s="379"/>
      <c r="Q50" s="379"/>
      <c r="R50" s="379"/>
      <c r="S50" s="389"/>
      <c r="T50" s="134"/>
      <c r="U50" s="128" t="str">
        <f>IF($A$20="mm","mm","in")</f>
        <v>mm</v>
      </c>
      <c r="V50" s="121" t="str">
        <f>IF(AND(T$34="Select drop down:",T50=""),"N/A",IF(T50="","BLANK",IF(T$34="Sleeved Butt Joint",IF($A$20="mm",IF(T50&gt;=9,"EQ","REJECT"),IF(T50&gt;=0.375,"EQ","REJECT")),IF($A$20="mm",IF(T50&gt;=15,"EQ","REJECT"),IF(T50&gt;=0.5625,"EQ","REJECT")))))</f>
        <v>N/A</v>
      </c>
      <c r="X50" s="122"/>
      <c r="Y50" s="379" t="str">
        <f>IF(AD$34="Sleeved Butt Joint","Distance to outside tube edge:","Distance to tube edge:")</f>
        <v>Distance to tube edge:</v>
      </c>
      <c r="Z50" s="379"/>
      <c r="AA50" s="379"/>
      <c r="AB50" s="379"/>
      <c r="AC50" s="389"/>
      <c r="AD50" s="134"/>
      <c r="AE50" s="128" t="str">
        <f>IF($A$20="mm","mm","in")</f>
        <v>mm</v>
      </c>
      <c r="AF50" s="121" t="str">
        <f>IF(AND(AD$34="Select drop down:",AD50=""),"N/A",IF(AD50="","BLANK",IF(AD$34="Sleeved Butt Joint",IF($A$20="mm",IF(AD50&gt;=9,"EQ","REJECT"),IF(AD50&gt;=0.375,"EQ","REJECT")),IF($A$20="mm",IF(AD50&gt;=15,"EQ","REJECT"),IF(AD50&gt;=0.5625,"EQ","REJECT")))))</f>
        <v>N/A</v>
      </c>
      <c r="AH50" s="122"/>
      <c r="AI50" s="379" t="str">
        <f>IF(AN$34="Sleeved Butt Joint","Distance to outside tube edge:","Distance to tube edge:")</f>
        <v>Distance to tube edge:</v>
      </c>
      <c r="AJ50" s="379"/>
      <c r="AK50" s="379"/>
      <c r="AL50" s="379"/>
      <c r="AM50" s="389"/>
      <c r="AN50" s="134"/>
      <c r="AO50" s="128" t="str">
        <f>IF($A$20="mm","mm","in")</f>
        <v>mm</v>
      </c>
      <c r="AP50" s="121" t="str">
        <f>IF(AND(AN$34="Select drop down:",AN50=""),"N/A",IF(AN50="","BLANK",IF(AN$34="Sleeved Butt Joint",IF($A$20="mm",IF(AN50&gt;=9,"EQ","REJECT"),IF(AN50&gt;=0.375,"EQ","REJECT")),IF($A$20="mm",IF(AN50&gt;=15,"EQ","REJECT"),IF(AN50&gt;=0.5625,"EQ","REJECT")))))</f>
        <v>N/A</v>
      </c>
      <c r="AR50" s="122"/>
      <c r="AS50" s="379" t="str">
        <f>IF(AX$34="Sleeved Butt Joint","Distance to outside tube edge:","Distance to tube edge:")</f>
        <v>Distance to tube edge:</v>
      </c>
      <c r="AT50" s="379"/>
      <c r="AU50" s="379"/>
      <c r="AV50" s="379"/>
      <c r="AW50" s="389"/>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79" t="str">
        <f>IF(J$34="Sleeved Butt Joint","Distance to inside tube edge:","Distance to tab edge:")</f>
        <v>Distance to tab edge:</v>
      </c>
      <c r="F51" s="379"/>
      <c r="G51" s="379"/>
      <c r="H51" s="379"/>
      <c r="I51" s="389"/>
      <c r="J51" s="130"/>
      <c r="K51" s="128" t="str">
        <f>IF($A$20="mm","mm","in")</f>
        <v>mm</v>
      </c>
      <c r="L51" s="121" t="str">
        <f>IF(AND(J$34="Select drop down:",J51=""),"N/A",IF(J51="","BLANK",IF(J$34="Sleeved Butt Joint",IF($A$20="mm",IF(J51&gt;=9,"EQ","REJECT"),IF(J51&gt;=0.375,"EQ","REJECT")),IF($A$20="mm",IF(J51&gt;=15,"EQ","REJECT"),IF(J51&gt;=0.5625,"EQ","REJECT")))))</f>
        <v>N/A</v>
      </c>
      <c r="N51" s="122"/>
      <c r="O51" s="379" t="str">
        <f>IF(T$34="Sleeved Butt Joint","Distance to inside tube edge:","Distance to tab edge:")</f>
        <v>Distance to tab edge:</v>
      </c>
      <c r="P51" s="379"/>
      <c r="Q51" s="379"/>
      <c r="R51" s="379"/>
      <c r="S51" s="389"/>
      <c r="T51" s="130"/>
      <c r="U51" s="128" t="str">
        <f>IF($A$20="mm","mm","in")</f>
        <v>mm</v>
      </c>
      <c r="V51" s="121" t="str">
        <f>IF(AND(T$34="Select drop down:",T51=""),"N/A",IF(T51="","BLANK",IF(T$34="Sleeved Butt Joint",IF($A$20="mm",IF(T51&gt;=9,"EQ","REJECT"),IF(T51&gt;=0.375,"EQ","REJECT")),IF($A$20="mm",IF(T51&gt;=15,"EQ","REJECT"),IF(T51&gt;=0.5625,"EQ","REJECT")))))</f>
        <v>N/A</v>
      </c>
      <c r="X51" s="122"/>
      <c r="Y51" s="379" t="str">
        <f>IF(AD$34="Sleeved Butt Joint","Distance to inside tube edge:","Distance to tab edge:")</f>
        <v>Distance to tab edge:</v>
      </c>
      <c r="Z51" s="379"/>
      <c r="AA51" s="379"/>
      <c r="AB51" s="379"/>
      <c r="AC51" s="389"/>
      <c r="AD51" s="130"/>
      <c r="AE51" s="128" t="str">
        <f>IF($A$20="mm","mm","in")</f>
        <v>mm</v>
      </c>
      <c r="AF51" s="121" t="str">
        <f>IF(AND(AD$34="Select drop down:",AD51=""),"N/A",IF(AD51="","BLANK",IF(AD$34="Sleeved Butt Joint",IF($A$20="mm",IF(AD51&gt;=9,"EQ","REJECT"),IF(AD51&gt;=0.375,"EQ","REJECT")),IF($A$20="mm",IF(AD51&gt;=15,"EQ","REJECT"),IF(AD51&gt;=0.5625,"EQ","REJECT")))))</f>
        <v>N/A</v>
      </c>
      <c r="AH51" s="122"/>
      <c r="AI51" s="379" t="str">
        <f>IF(AN$34="Sleeved Butt Joint","Distance to inside tube edge:","Distance to tab edge:")</f>
        <v>Distance to tab edge:</v>
      </c>
      <c r="AJ51" s="379"/>
      <c r="AK51" s="379"/>
      <c r="AL51" s="379"/>
      <c r="AM51" s="389"/>
      <c r="AN51" s="130"/>
      <c r="AO51" s="128" t="str">
        <f>IF($A$20="mm","mm","in")</f>
        <v>mm</v>
      </c>
      <c r="AP51" s="121" t="str">
        <f>IF(AND(AN$34="Select drop down:",AN51=""),"N/A",IF(AN51="","BLANK",IF(AN$34="Sleeved Butt Joint",IF($A$20="mm",IF(AN51&gt;=9,"EQ","REJECT"),IF(AN51&gt;=0.375,"EQ","REJECT")),IF($A$20="mm",IF(AN51&gt;=15,"EQ","REJECT"),IF(AN51&gt;=0.5625,"EQ","REJECT")))))</f>
        <v>N/A</v>
      </c>
      <c r="AR51" s="122"/>
      <c r="AS51" s="379" t="str">
        <f>IF(AX$34="Sleeved Butt Joint","Distance to inside tube edge:","Distance to tab edge:")</f>
        <v>Distance to tab edge:</v>
      </c>
      <c r="AT51" s="379"/>
      <c r="AU51" s="379"/>
      <c r="AV51" s="379"/>
      <c r="AW51" s="389"/>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79" t="s">
        <v>85</v>
      </c>
      <c r="F52" s="379"/>
      <c r="G52" s="379"/>
      <c r="H52" s="379"/>
      <c r="I52" s="379"/>
      <c r="J52" s="121" t="str">
        <f>IF(OR(J49="",J50="",J51=""),"",MIN(J50,J51)/J49)</f>
        <v/>
      </c>
      <c r="K52" s="128"/>
      <c r="L52" s="121" t="str">
        <f>IF(J34="Select drop down:","N/A",IF(AND(NOT(J52=""),J52&gt;=1.5),"EQ",IF(OR(J49="",J50="",J51=""),"BLANK","REJECT")))</f>
        <v>N/A</v>
      </c>
      <c r="N52" s="128"/>
      <c r="O52" s="379" t="s">
        <v>85</v>
      </c>
      <c r="P52" s="379"/>
      <c r="Q52" s="379"/>
      <c r="R52" s="379"/>
      <c r="S52" s="379"/>
      <c r="T52" s="121" t="str">
        <f>IF(OR(T49="",T50="",T51=""),"",MIN(T50,T51)/T49)</f>
        <v/>
      </c>
      <c r="U52" s="128"/>
      <c r="V52" s="121" t="str">
        <f>IF(T34="Select drop down:","N/A",IF(AND(NOT(T52=""),T52&gt;=1.5),"EQ",IF(OR(T49="",T50="",T51=""),"BLANK","REJECT")))</f>
        <v>N/A</v>
      </c>
      <c r="X52" s="128"/>
      <c r="Y52" s="379" t="s">
        <v>85</v>
      </c>
      <c r="Z52" s="379"/>
      <c r="AA52" s="379"/>
      <c r="AB52" s="379"/>
      <c r="AC52" s="379"/>
      <c r="AD52" s="121" t="str">
        <f>IF(OR(AD49="",AD50="",AD51=""),"",MIN(AD50,AD51)/AD49)</f>
        <v/>
      </c>
      <c r="AE52" s="128"/>
      <c r="AF52" s="121" t="str">
        <f>IF(AD34="Select drop down:","N/A",IF(AND(NOT(AD52=""),AD52&gt;=1.5),"EQ",IF(OR(AD49="",AD50="",AD51=""),"BLANK","REJECT")))</f>
        <v>N/A</v>
      </c>
      <c r="AH52" s="128"/>
      <c r="AI52" s="379" t="s">
        <v>85</v>
      </c>
      <c r="AJ52" s="379"/>
      <c r="AK52" s="379"/>
      <c r="AL52" s="379"/>
      <c r="AM52" s="379"/>
      <c r="AN52" s="121" t="str">
        <f>IF(OR(AN49="",AN50="",AN51=""),"",MIN(AN50,AN51)/AN49)</f>
        <v/>
      </c>
      <c r="AO52" s="128"/>
      <c r="AP52" s="121" t="str">
        <f>IF(AN34="Select drop down:","N/A",IF(AND(NOT(AN52=""),AN52&gt;=1.5),"EQ",IF(OR(AN49="",AN50="",AN51=""),"BLANK","REJECT")))</f>
        <v>N/A</v>
      </c>
      <c r="AR52" s="128"/>
      <c r="AS52" s="379" t="s">
        <v>85</v>
      </c>
      <c r="AT52" s="379"/>
      <c r="AU52" s="379"/>
      <c r="AV52" s="379"/>
      <c r="AW52" s="379"/>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E51:I51"/>
    <mergeCell ref="O51:S51"/>
    <mergeCell ref="Y51:AC51"/>
    <mergeCell ref="AI51:AM51"/>
    <mergeCell ref="AS51:AW51"/>
    <mergeCell ref="E52:I52"/>
    <mergeCell ref="O52:S52"/>
    <mergeCell ref="Y52:AC52"/>
    <mergeCell ref="AI52:AM52"/>
    <mergeCell ref="AS52:AW52"/>
    <mergeCell ref="E49:I49"/>
    <mergeCell ref="O49:S49"/>
    <mergeCell ref="Y49:AC49"/>
    <mergeCell ref="AI49:AM49"/>
    <mergeCell ref="AS49:AW49"/>
    <mergeCell ref="E50:I50"/>
    <mergeCell ref="O50:S50"/>
    <mergeCell ref="Y50:AC50"/>
    <mergeCell ref="AI50:AM50"/>
    <mergeCell ref="AS50:AW50"/>
    <mergeCell ref="D46:M46"/>
    <mergeCell ref="N46:W46"/>
    <mergeCell ref="X46:AG46"/>
    <mergeCell ref="AH46:AQ46"/>
    <mergeCell ref="AR46:BA46"/>
    <mergeCell ref="D48:L48"/>
    <mergeCell ref="N48:V48"/>
    <mergeCell ref="X48:AF48"/>
    <mergeCell ref="AH48:AP48"/>
    <mergeCell ref="AR48:AZ48"/>
    <mergeCell ref="D44:L44"/>
    <mergeCell ref="N44:V44"/>
    <mergeCell ref="X44:AF44"/>
    <mergeCell ref="AH44:AP44"/>
    <mergeCell ref="AR44:AZ44"/>
    <mergeCell ref="D45:L45"/>
    <mergeCell ref="N45:V45"/>
    <mergeCell ref="X45:AF45"/>
    <mergeCell ref="AH45:AP45"/>
    <mergeCell ref="AR45:AZ45"/>
    <mergeCell ref="E41:I41"/>
    <mergeCell ref="O41:S41"/>
    <mergeCell ref="Y41:AC41"/>
    <mergeCell ref="AI41:AM41"/>
    <mergeCell ref="AS41:AW41"/>
    <mergeCell ref="D43:L43"/>
    <mergeCell ref="N43:V43"/>
    <mergeCell ref="X43:AF43"/>
    <mergeCell ref="AH43:AP43"/>
    <mergeCell ref="AR43:AZ43"/>
    <mergeCell ref="E39:I39"/>
    <mergeCell ref="O39:S39"/>
    <mergeCell ref="Y39:AC39"/>
    <mergeCell ref="AI39:AM39"/>
    <mergeCell ref="AS39:AW39"/>
    <mergeCell ref="E40:I40"/>
    <mergeCell ref="O40:S40"/>
    <mergeCell ref="Y40:AC40"/>
    <mergeCell ref="AI40:AM40"/>
    <mergeCell ref="AS40:AW40"/>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AR33:AZ33"/>
    <mergeCell ref="A34:C34"/>
    <mergeCell ref="E34:I34"/>
    <mergeCell ref="J34:K34"/>
    <mergeCell ref="O34:S34"/>
    <mergeCell ref="T34:U34"/>
    <mergeCell ref="Y34:AC34"/>
    <mergeCell ref="AD34:AE34"/>
    <mergeCell ref="AI34:AM34"/>
    <mergeCell ref="AN34:AO34"/>
    <mergeCell ref="A32:C32"/>
    <mergeCell ref="A33:C33"/>
    <mergeCell ref="D33:L33"/>
    <mergeCell ref="N33:V33"/>
    <mergeCell ref="X33:AF33"/>
    <mergeCell ref="AH33:AP33"/>
    <mergeCell ref="X30:Y31"/>
    <mergeCell ref="Z30:AF31"/>
    <mergeCell ref="AH30:AI31"/>
    <mergeCell ref="AJ30:AP31"/>
    <mergeCell ref="AR30:AS31"/>
    <mergeCell ref="AT30:AZ31"/>
    <mergeCell ref="A22:C30"/>
    <mergeCell ref="D29:L29"/>
    <mergeCell ref="N29:V29"/>
    <mergeCell ref="X29:AF29"/>
    <mergeCell ref="AH29:AP29"/>
    <mergeCell ref="AR29:AZ29"/>
    <mergeCell ref="D30:E31"/>
    <mergeCell ref="F30:L31"/>
    <mergeCell ref="N30:O31"/>
    <mergeCell ref="P30:V31"/>
    <mergeCell ref="N13:V14"/>
    <mergeCell ref="X13:AF14"/>
    <mergeCell ref="AH13:AP14"/>
    <mergeCell ref="AR13:AZ14"/>
    <mergeCell ref="X15:AF16"/>
    <mergeCell ref="A20:C21"/>
    <mergeCell ref="A2:C2"/>
    <mergeCell ref="A3:C3"/>
    <mergeCell ref="A4:C4"/>
    <mergeCell ref="A5:C5"/>
    <mergeCell ref="A6:C19"/>
    <mergeCell ref="D13:L14"/>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2019-11-23T22:40:10Z</dcterms:modified>
</cp:coreProperties>
</file>