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6F70A28F-7370-4C11-BB44-C027DB1D4D78}" xr6:coauthVersionLast="47" xr6:coauthVersionMax="47" xr10:uidLastSave="{00000000-0000-0000-0000-000000000000}"/>
  <bookViews>
    <workbookView xWindow="-120" yWindow="-120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Card oven" sheetId="16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2" i="6" l="1"/>
  <c r="R100" i="6"/>
  <c r="U99" i="6"/>
  <c r="R99" i="6"/>
  <c r="R98" i="6"/>
  <c r="H25" i="6"/>
  <c r="D8" i="9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5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5" i="6" l="1"/>
  <c r="J5" i="6" s="1"/>
  <c r="H17" i="6"/>
  <c r="J17" i="6" s="1"/>
  <c r="K32" i="11"/>
  <c r="H32" i="11"/>
  <c r="G32" i="11"/>
  <c r="E32" i="11"/>
  <c r="E33" i="11" s="1"/>
  <c r="C32" i="11"/>
  <c r="Q21" i="6"/>
  <c r="Q41" i="6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B33" i="10"/>
  <c r="B34" i="10" s="1"/>
  <c r="J46" i="6"/>
  <c r="L31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46" i="6"/>
  <c r="R58" i="6" s="1"/>
  <c r="R60" i="6"/>
  <c r="R75" i="6" l="1"/>
  <c r="R77" i="6" s="1"/>
  <c r="R78" i="6" s="1"/>
  <c r="R94" i="6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<sst xmlns="http://schemas.openxmlformats.org/spreadsheetml/2006/main" count="826" uniqueCount="567">
  <si>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</si>
  <si>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</si>
  <si>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</si>
  <si>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</si>
  <si>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</si>
  <si>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</si>
  <si>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</si>
  <si>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</si>
  <si>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</si>
  <si>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</si>
  <si>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</si>
  <si>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</si>
  <si>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</si>
  <si>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</si>
  <si>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</si>
  <si>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</si>
  <si>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</si>
  <si>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</si>
  <si>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</si>
  <si>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</si>
  <si>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</si>
  <si>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</si>
  <si>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</si>
  <si>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</si>
  <si>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</si>
  <si>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</si>
  <si>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</si>
  <si>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</si>
  <si>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</si>
  <si>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</si>
  <si>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</si>
  <si>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</si>
  <si>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</si>
  <si>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</si>
  <si>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</si>
  <si>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</si>
  <si>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</si>
  <si>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</si>
  <si>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</si>
  <si>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</si>
  <si>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</si>
  <si>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</si>
  <si>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</si>
  <si>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</si>
  <si>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</si>
  <si>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</si>
  <si>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</si>
  <si>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</si>
  <si>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</si>
  <si>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</si>
  <si>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</si>
  <si>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</si>
  <si>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</si>
  <si>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</si>
  <si>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</si>
  <si>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</si>
  <si>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</si>
  <si>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</si>
  <si>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</si>
  <si>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</si>
  <si>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</si>
  <si>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</si>
  <si>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</si>
  <si>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</si>
  <si>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</si>
  <si>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</si>
  <si>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</si>
  <si>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</si>
  <si>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</si>
  <si>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</si>
  <si>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</si>
  <si>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</si>
  <si>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</si>
  <si>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</si>
  <si>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</si>
  <si>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</si>
  <si>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</si>
  <si>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</si>
  <si>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</si>
  <si>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</si>
  <si>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</si>
  <si>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</si>
  <si>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</si>
  <si>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</si>
  <si>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</si>
  <si>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</si>
  <si>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</si>
  <si>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</si>
  <si>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</si>
  <si>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</si>
  <si>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</si>
  <si>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</si>
  <si>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</si>
  <si>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</si>
  <si>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</si>
  <si>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</si>
  <si>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</si>
  <si>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</si>
  <si>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</si>
  <si>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</si>
  <si>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</si>
  <si>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</si>
  <si>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</si>
  <si>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</si>
  <si>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</si>
  <si>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</si>
  <si>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</si>
  <si>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</si>
  <si>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</si>
  <si>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</si>
  <si>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</si>
  <si>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</si>
  <si>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</si>
  <si>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</si>
  <si>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</si>
  <si>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</si>
  <si>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</si>
  <si>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</si>
  <si>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</si>
  <si>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</si>
  <si>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</si>
  <si>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</si>
  <si>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</si>
  <si>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</si>
  <si>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</si>
  <si>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</si>
  <si>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</si>
  <si>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</si>
  <si>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</si>
  <si>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</si>
  <si>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</si>
  <si>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</si>
  <si>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</si>
  <si>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</si>
  <si>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</si>
  <si>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</si>
  <si>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</si>
  <si>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</si>
  <si>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</si>
  <si>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</si>
  <si>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</si>
  <si>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</si>
  <si>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</si>
  <si>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</si>
  <si>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</si>
  <si>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</si>
  <si>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</si>
  <si>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</si>
  <si>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</si>
  <si>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</si>
  <si>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</si>
  <si>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</si>
  <si>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</si>
  <si>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</si>
  <si>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</si>
  <si>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</si>
  <si>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</si>
  <si>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</si>
  <si>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</si>
  <si>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</si>
  <si>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</si>
  <si>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</si>
  <si>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</si>
  <si>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</si>
  <si>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</si>
  <si>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</si>
  <si>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</si>
  <si>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</si>
  <si>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</si>
  <si>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</si>
  <si>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</si>
  <si>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</si>
  <si>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</si>
  <si>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</si>
  <si>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</si>
  <si>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</si>
  <si>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</si>
  <si>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</si>
  <si>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</si>
  <si>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</si>
  <si>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</si>
  <si>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</si>
  <si>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</si>
  <si>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</si>
  <si>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</si>
  <si>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</si>
  <si>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</si>
  <si>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</si>
  <si>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</si>
  <si>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</si>
  <si>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</si>
  <si>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</si>
  <si>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</si>
  <si>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</si>
  <si>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</si>
  <si>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</si>
  <si>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</si>
  <si>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</si>
  <si>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</si>
  <si>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</si>
  <si>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</si>
  <si>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</si>
  <si>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</si>
  <si>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</si>
  <si>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</si>
  <si>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</si>
  <si>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</si>
  <si>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</si>
  <si>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</si>
  <si>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</si>
  <si>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</si>
  <si>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</si>
  <si>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</si>
  <si>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</si>
  <si>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</si>
  <si>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</si>
  <si>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</si>
  <si>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</si>
  <si>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</si>
  <si>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</si>
  <si>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</si>
  <si>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</si>
  <si>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</si>
  <si>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</si>
  <si>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</si>
  <si>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</si>
  <si>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</si>
  <si>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</si>
  <si>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</si>
  <si>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</si>
  <si>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</si>
  <si>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</si>
  <si>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</si>
  <si>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</si>
  <si>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</si>
  <si>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</si>
  <si>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</si>
  <si>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</si>
  <si>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</si>
  <si>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</si>
  <si>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</si>
  <si>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</si>
  <si>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</si>
  <si>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</si>
  <si>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</si>
  <si>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</si>
  <si>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</si>
  <si>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</si>
  <si>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</si>
  <si>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</si>
  <si>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</si>
  <si>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</si>
  <si>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</si>
  <si>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</si>
  <si>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</si>
  <si>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</si>
  <si>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</si>
  <si>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</si>
  <si>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</si>
  <si>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</si>
  <si>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</si>
  <si>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</si>
  <si>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</si>
  <si>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</si>
  <si>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</si>
  <si>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</si>
  <si>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</si>
  <si>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</si>
  <si>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</si>
  <si>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</si>
  <si>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</si>
  <si>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</si>
  <si>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</si>
  <si>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</si>
  <si>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</si>
  <si>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</si>
  <si>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</si>
  <si>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</si>
  <si>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</si>
  <si>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</si>
  <si>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</si>
  <si>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</si>
  <si>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</si>
  <si>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</si>
  <si>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</si>
  <si>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</si>
  <si>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</si>
  <si>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</si>
  <si>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</si>
  <si>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</si>
  <si>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</si>
  <si>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</si>
  <si>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</si>
  <si>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</si>
  <si>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</si>
  <si>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</si>
  <si>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</si>
  <si>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</si>
  <si>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</si>
  <si>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</si>
  <si>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</si>
  <si>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</si>
  <si>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</si>
  <si>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</si>
  <si>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</si>
  <si>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</si>
  <si>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</si>
  <si>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</si>
  <si>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</si>
  <si>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</si>
  <si>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</si>
  <si>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</si>
  <si>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</si>
  <si>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</si>
  <si>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</si>
  <si>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</si>
  <si>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</si>
  <si>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</si>
  <si>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</si>
  <si>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</si>
  <si>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</si>
  <si>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</si>
  <si>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</si>
  <si>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</si>
  <si>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</si>
  <si>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</si>
  <si>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</si>
  <si>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</si>
  <si>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</si>
  <si>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</si>
  <si>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</si>
  <si>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</si>
  <si>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</si>
  <si>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</si>
  <si>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</si>
  <si>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</si>
  <si>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</si>
  <si>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</si>
  <si>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</si>
  <si>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</si>
  <si>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</si>
  <si>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</si>
  <si>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</si>
  <si>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</si>
  <si>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</si>
  <si>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</si>
  <si>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</si>
  <si>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</si>
  <si>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</si>
  <si>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</si>
  <si>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</si>
  <si>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</si>
  <si>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</si>
  <si>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</si>
  <si>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</si>
  <si>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</si>
  <si>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</si>
  <si>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</si>
  <si>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</si>
  <si>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</si>
  <si>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</si>
  <si>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</si>
  <si>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</si>
  <si>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</si>
  <si>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</si>
  <si>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</si>
  <si>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</si>
  <si>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</si>
  <si>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</si>
  <si>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</si>
  <si>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</si>
  <si>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</si>
  <si>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</si>
  <si>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</si>
  <si>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</si>
  <si>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</si>
  <si>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</si>
  <si>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</si>
  <si>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</si>
  <si>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</si>
  <si>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</si>
  <si>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</si>
  <si>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</si>
  <si>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</si>
  <si>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</si>
  <si>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</si>
  <si>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</si>
  <si>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</si>
  <si>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</si>
  <si>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</si>
  <si>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</si>
  <si>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</si>
  <si>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</si>
  <si>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</si>
  <si>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</si>
  <si>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</si>
  <si>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</si>
  <si>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</si>
  <si>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</si>
  <si>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</si>
  <si>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</si>
  <si>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</si>
  <si>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</si>
  <si>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</si>
  <si>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</si>
  <si>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</si>
  <si>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</si>
  <si>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</si>
  <si>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</si>
  <si>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</si>
  <si>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</si>
  <si>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</si>
  <si>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</si>
  <si>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</si>
  <si>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</si>
  <si>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</si>
  <si>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</si>
  <si>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</si>
  <si>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</si>
  <si>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</si>
  <si>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</si>
  <si>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</si>
  <si>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</si>
  <si>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</si>
  <si>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</si>
  <si>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</si>
  <si>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</si>
  <si>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</si>
  <si>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</si>
  <si>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</si>
  <si>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</si>
  <si>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</si>
  <si>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</si>
  <si>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</si>
  <si>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</si>
  <si>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</si>
  <si>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</si>
  <si>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</si>
  <si>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</si>
  <si>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</si>
  <si>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</si>
  <si>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</si>
  <si>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</si>
  <si>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</si>
  <si>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</si>
  <si>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</si>
  <si>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</si>
  <si>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</si>
  <si>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</si>
  <si>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</si>
  <si>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</si>
  <si>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</si>
  <si>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</si>
  <si>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</si>
  <si>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</si>
  <si>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</si>
  <si>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</si>
  <si>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</si>
  <si>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</si>
  <si>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</si>
  <si>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</si>
  <si>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</si>
  <si>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</si>
  <si>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</si>
  <si>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</si>
  <si>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</si>
  <si>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</si>
  <si>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</si>
  <si>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</si>
  <si>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</si>
  <si>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</si>
  <si>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</si>
  <si>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</si>
  <si>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</si>
  <si>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</si>
  <si>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</si>
  <si>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</si>
  <si>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</si>
  <si>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</si>
  <si>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</si>
  <si>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</si>
  <si>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</si>
  <si>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</si>
  <si>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</si>
  <si>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</si>
  <si>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</si>
  <si>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</si>
  <si>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</si>
  <si>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</si>
  <si>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</si>
  <si>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</si>
  <si>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</si>
  <si>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</si>
  <si>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</si>
  <si>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</si>
  <si>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</si>
  <si>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</si>
  <si>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</si>
  <si>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</si>
  <si>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</si>
  <si>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</si>
  <si>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</si>
  <si>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</si>
  <si>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</si>
  <si>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</si>
  <si>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</si>
  <si>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</si>
  <si>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</si>
  <si>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</si>
  <si>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</si>
  <si>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</si>
  <si>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</si>
  <si>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</si>
  <si>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</si>
  <si>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</si>
  <si>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</si>
  <si>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</si>
  <si>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</si>
  <si>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</si>
  <si>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</si>
  <si>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</si>
  <si>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</si>
  <si>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</si>
  <si>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</si>
  <si>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</si>
  <si>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</si>
  <si>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</si>
  <si>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</si>
  <si>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</si>
  <si>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</si>
  <si>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</si>
  <si>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</si>
  <si>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</si>
  <si>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</si>
  <si>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</si>
  <si>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</si>
  <si>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</si>
  <si>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</si>
  <si>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</si>
  <si>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</si>
  <si>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</si>
  <si>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</si>
  <si>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</si>
  <si>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</si>
  <si>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</si>
  <si>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</si>
  <si>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</si>
  <si>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</si>
  <si>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</si>
  <si>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</si>
  <si>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</si>
  <si>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</si>
  <si>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</si>
  <si>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</si>
  <si>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</si>
  <si>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</si>
  <si>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</si>
  <si>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</si>
  <si>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</si>
  <si>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</si>
  <si>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</si>
  <si>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</si>
  <si>
    <t>https://www.cif-retail.fr/fr/four-refusion/210-four-de-refusion-convection-ft03-nouveau-modele-3664131001571.html</t>
  </si>
  <si>
    <t>Oven</t>
  </si>
  <si>
    <t>https://www.cif-retail.fr/fr/machine-a-graver/193-machine-a-graver-autojet-ii-nouveau-modele-3664131001397.html</t>
  </si>
  <si>
    <t>Card Oven</t>
  </si>
  <si>
    <t>Cost of machine/card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</si>
</sst>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34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8" borderId="55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 vertical="center"/>
    </xf>
    <xf numFmtId="9" fontId="2" fillId="9" borderId="0" xfId="0" applyNumberFormat="1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topLeftCell="H71" zoomScale="85" zoomScaleNormal="85" workbookViewId="0">
      <selection activeCell="S97" sqref="S97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bestFit="1" customWidth="1"/>
    <col min="5" max="5" width="4.85546875" customWidth="1"/>
    <col min="6" max="6" width="21.140625" bestFit="1" customWidth="1"/>
    <col min="7" max="7" width="86.28515625" bestFit="1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140625" bestFit="1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8" width="21.140625" customWidth="1"/>
    <col min="19" max="19" width="20.8554687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62" t="s">
        <v>41</v>
      </c>
      <c r="B1" s="263"/>
      <c r="C1" s="263"/>
      <c r="D1" s="46"/>
      <c r="F1" s="256" t="s">
        <v>14</v>
      </c>
      <c r="G1" s="257"/>
      <c r="H1" s="257"/>
      <c r="I1" s="257"/>
      <c r="J1" s="258"/>
      <c r="L1" s="259" t="s">
        <v>189</v>
      </c>
      <c r="M1" s="260"/>
      <c r="N1" s="260"/>
      <c r="O1" s="260"/>
      <c r="P1" s="260"/>
      <c r="Q1" s="260"/>
      <c r="R1" s="260"/>
      <c r="S1" s="261"/>
    </row>
    <row r="2" spans="1:19" ht="30.75" thickBot="1" x14ac:dyDescent="0.3">
      <c r="A2" s="55" t="s">
        <v>28</v>
      </c>
      <c r="B2" s="50" t="s">
        <v>16</v>
      </c>
      <c r="C2" s="50" t="s">
        <v>42</v>
      </c>
      <c r="D2" s="51" t="s">
        <v>207</v>
      </c>
      <c r="F2" s="90" t="s">
        <v>28</v>
      </c>
      <c r="G2" s="91" t="s">
        <v>25</v>
      </c>
      <c r="H2" s="91" t="s">
        <v>17</v>
      </c>
      <c r="I2" s="92" t="s">
        <v>347</v>
      </c>
      <c r="J2" s="93" t="s">
        <v>187</v>
      </c>
      <c r="L2" s="116" t="s">
        <v>15</v>
      </c>
      <c r="M2" s="117"/>
      <c r="N2" s="117" t="s">
        <v>16</v>
      </c>
      <c r="O2" s="117" t="s">
        <v>192</v>
      </c>
      <c r="P2" s="117" t="s">
        <v>197</v>
      </c>
      <c r="Q2" s="117" t="s">
        <v>17</v>
      </c>
      <c r="R2" s="118" t="s">
        <v>347</v>
      </c>
      <c r="S2" s="119" t="s">
        <v>187</v>
      </c>
    </row>
    <row r="3" spans="1:19" x14ac:dyDescent="0.25">
      <c r="A3" s="47" t="s">
        <v>43</v>
      </c>
      <c r="B3" s="56" t="s">
        <v>26</v>
      </c>
      <c r="C3" s="57">
        <f>'Manpower &amp; time'!D8</f>
        <v>21161</v>
      </c>
      <c r="D3" s="273" t="s">
        <v>481</v>
      </c>
      <c r="F3" s="104" t="s">
        <v>29</v>
      </c>
      <c r="G3" s="98" t="s">
        <v>534</v>
      </c>
      <c r="H3" s="94">
        <f>SUM(Metrology!E13:E16)</f>
        <v>2428.0000000000005</v>
      </c>
      <c r="I3" s="73">
        <v>10</v>
      </c>
      <c r="J3" s="85">
        <f>H3/I3</f>
        <v>242.80000000000004</v>
      </c>
      <c r="L3" s="239" t="s">
        <v>448</v>
      </c>
      <c r="M3" s="240"/>
      <c r="N3" s="98" t="s">
        <v>188</v>
      </c>
      <c r="O3" s="56" t="s">
        <v>193</v>
      </c>
      <c r="P3" s="56"/>
      <c r="Q3" s="57">
        <f>'CNC mill'!B22</f>
        <v>108020</v>
      </c>
      <c r="R3" s="56">
        <v>10</v>
      </c>
      <c r="S3" s="58">
        <f>Q3/R3</f>
        <v>10802</v>
      </c>
    </row>
    <row r="4" spans="1:19" x14ac:dyDescent="0.25">
      <c r="A4" s="48"/>
      <c r="B4" s="26" t="s">
        <v>44</v>
      </c>
      <c r="C4" s="29">
        <f>'Manpower &amp; time'!D9</f>
        <v>40641</v>
      </c>
      <c r="D4" s="274"/>
      <c r="F4" s="105"/>
      <c r="G4" s="99" t="s">
        <v>179</v>
      </c>
      <c r="H4" s="81">
        <f>SUM(Metrology!E17:E18)</f>
        <v>1907.2</v>
      </c>
      <c r="I4" s="54">
        <v>10</v>
      </c>
      <c r="J4" s="95">
        <f t="shared" ref="J4:J35" si="0">H4/I4</f>
        <v>190.72</v>
      </c>
      <c r="L4" s="43" t="s">
        <v>238</v>
      </c>
      <c r="M4" s="122">
        <v>22.4</v>
      </c>
      <c r="N4" s="99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59">
        <f t="shared" ref="S4:S6" si="1">Q4/R4</f>
        <v>800</v>
      </c>
    </row>
    <row r="5" spans="1:19" x14ac:dyDescent="0.25">
      <c r="A5" s="48"/>
      <c r="B5" s="26" t="s">
        <v>45</v>
      </c>
      <c r="C5" s="29">
        <f>'Manpower &amp; time'!D11</f>
        <v>71259</v>
      </c>
      <c r="D5" s="274"/>
      <c r="F5" s="105"/>
      <c r="G5" s="99" t="s">
        <v>178</v>
      </c>
      <c r="H5" s="81">
        <f>2*SUM(Metrology!E2:E7)</f>
        <v>1043.1999999999998</v>
      </c>
      <c r="I5" s="54">
        <v>10</v>
      </c>
      <c r="J5" s="95">
        <f t="shared" si="0"/>
        <v>104.31999999999998</v>
      </c>
      <c r="L5" s="43" t="s">
        <v>205</v>
      </c>
      <c r="M5" s="123">
        <f>C9</f>
        <v>0.8</v>
      </c>
      <c r="N5" s="99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59">
        <f t="shared" si="1"/>
        <v>500</v>
      </c>
    </row>
    <row r="6" spans="1:19" ht="15.75" thickBot="1" x14ac:dyDescent="0.3">
      <c r="A6" s="49"/>
      <c r="B6" s="60" t="s">
        <v>46</v>
      </c>
      <c r="C6" s="61">
        <f>'Manpower &amp; time'!D9</f>
        <v>40641</v>
      </c>
      <c r="D6" s="275"/>
      <c r="F6" s="105"/>
      <c r="G6" s="99" t="s">
        <v>32</v>
      </c>
      <c r="H6" s="29">
        <f>Metrology!E22</f>
        <v>23733.600000000002</v>
      </c>
      <c r="I6" s="54">
        <v>10</v>
      </c>
      <c r="J6" s="95">
        <f t="shared" si="0"/>
        <v>2373.36</v>
      </c>
      <c r="L6" s="43" t="s">
        <v>206</v>
      </c>
      <c r="M6" s="122">
        <v>5</v>
      </c>
      <c r="N6" s="99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59">
        <f t="shared" si="1"/>
        <v>5401</v>
      </c>
    </row>
    <row r="7" spans="1:19" x14ac:dyDescent="0.25">
      <c r="A7" s="47" t="s">
        <v>47</v>
      </c>
      <c r="B7" s="56" t="s">
        <v>48</v>
      </c>
      <c r="C7" s="56">
        <v>35</v>
      </c>
      <c r="D7" s="62"/>
      <c r="F7" s="105"/>
      <c r="G7" s="99" t="s">
        <v>180</v>
      </c>
      <c r="H7" s="81">
        <f>SUM(Metrology!E9:E11)</f>
        <v>3506.4</v>
      </c>
      <c r="I7" s="54">
        <v>10</v>
      </c>
      <c r="J7" s="95">
        <f t="shared" si="0"/>
        <v>350.64</v>
      </c>
      <c r="L7" s="43" t="s">
        <v>449</v>
      </c>
      <c r="M7" s="124">
        <f>1/10000</f>
        <v>1E-4</v>
      </c>
      <c r="N7" s="99" t="s">
        <v>19</v>
      </c>
      <c r="O7" s="26" t="s">
        <v>194</v>
      </c>
      <c r="P7" s="26" t="s">
        <v>239</v>
      </c>
      <c r="Q7" s="53">
        <f>M4*0.8*C12</f>
        <v>1.4031359999999997</v>
      </c>
      <c r="R7" s="26"/>
      <c r="S7" s="139"/>
    </row>
    <row r="8" spans="1:19" x14ac:dyDescent="0.25">
      <c r="A8" s="48"/>
      <c r="B8" s="26" t="s">
        <v>49</v>
      </c>
      <c r="C8" s="31">
        <f>'Manpower &amp; time'!C21</f>
        <v>45.6</v>
      </c>
      <c r="D8" s="63"/>
      <c r="F8" s="105"/>
      <c r="G8" s="99" t="s">
        <v>181</v>
      </c>
      <c r="H8" s="81">
        <f>2*Metrology!E20</f>
        <v>446.73285539487409</v>
      </c>
      <c r="I8" s="54">
        <v>10</v>
      </c>
      <c r="J8" s="95">
        <f t="shared" si="0"/>
        <v>44.673285539487409</v>
      </c>
      <c r="L8" s="43" t="s">
        <v>488</v>
      </c>
      <c r="M8" s="124">
        <f>M7*0.5</f>
        <v>5.0000000000000002E-5</v>
      </c>
      <c r="N8" s="99" t="s">
        <v>196</v>
      </c>
      <c r="O8" s="26" t="s">
        <v>194</v>
      </c>
      <c r="P8" s="26" t="s">
        <v>244</v>
      </c>
      <c r="Q8" s="27">
        <v>20</v>
      </c>
      <c r="R8" s="26"/>
      <c r="S8" s="139"/>
    </row>
    <row r="9" spans="1:19" ht="30.75" thickBot="1" x14ac:dyDescent="0.3">
      <c r="A9" s="48"/>
      <c r="B9" s="26" t="s">
        <v>50</v>
      </c>
      <c r="C9" s="52">
        <v>0.8</v>
      </c>
      <c r="D9" s="64" t="s">
        <v>233</v>
      </c>
      <c r="F9" s="106"/>
      <c r="G9" s="100" t="s">
        <v>459</v>
      </c>
      <c r="H9" s="61">
        <f>Metrology!E24</f>
        <v>4625</v>
      </c>
      <c r="I9" s="96">
        <v>10</v>
      </c>
      <c r="J9" s="86">
        <f t="shared" si="0"/>
        <v>462.5</v>
      </c>
      <c r="L9" s="43" t="s">
        <v>349</v>
      </c>
      <c r="M9" s="124">
        <f>M7*0.4</f>
        <v>4.0000000000000003E-5</v>
      </c>
      <c r="N9" s="99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59">
        <f t="shared" ref="S9" si="2">Q9/R9</f>
        <v>88.025599999999997</v>
      </c>
    </row>
    <row r="10" spans="1:19" ht="15.75" thickBot="1" x14ac:dyDescent="0.3">
      <c r="A10" s="49"/>
      <c r="B10" s="60" t="s">
        <v>223</v>
      </c>
      <c r="C10" s="65">
        <v>0.95</v>
      </c>
      <c r="D10" s="154" t="s">
        <v>234</v>
      </c>
      <c r="F10" s="107" t="s">
        <v>33</v>
      </c>
      <c r="G10" s="101" t="s">
        <v>240</v>
      </c>
      <c r="H10" s="57">
        <f>Energies!B7</f>
        <v>2874.8160000000003</v>
      </c>
      <c r="I10" s="56">
        <v>1</v>
      </c>
      <c r="J10" s="85">
        <f t="shared" si="0"/>
        <v>2874.8160000000003</v>
      </c>
      <c r="L10" s="140" t="s">
        <v>222</v>
      </c>
      <c r="M10" s="141">
        <v>20</v>
      </c>
      <c r="N10" s="100"/>
      <c r="O10" s="60"/>
      <c r="P10" s="60"/>
      <c r="Q10" s="60"/>
      <c r="R10" s="60"/>
      <c r="S10" s="71"/>
    </row>
    <row r="11" spans="1:19" x14ac:dyDescent="0.25">
      <c r="A11" s="67" t="s">
        <v>280</v>
      </c>
      <c r="B11" s="56" t="s">
        <v>145</v>
      </c>
      <c r="C11" s="57">
        <f>Energies!B7</f>
        <v>2874.8160000000003</v>
      </c>
      <c r="D11" s="58"/>
      <c r="F11" s="108"/>
      <c r="G11" s="155" t="s">
        <v>241</v>
      </c>
      <c r="H11" s="27">
        <f>16*C7*C8*C12</f>
        <v>1999.4687999999999</v>
      </c>
      <c r="I11" s="26">
        <v>1</v>
      </c>
      <c r="J11" s="95">
        <f t="shared" si="0"/>
        <v>1999.4687999999999</v>
      </c>
      <c r="L11" s="236" t="s">
        <v>18</v>
      </c>
      <c r="M11" s="271"/>
      <c r="N11" s="98" t="s">
        <v>290</v>
      </c>
      <c r="O11" s="56" t="s">
        <v>193</v>
      </c>
      <c r="P11" s="56"/>
      <c r="Q11" s="142">
        <f>'CNC lathe'!B2</f>
        <v>133720</v>
      </c>
      <c r="R11" s="56">
        <v>10</v>
      </c>
      <c r="S11" s="58">
        <f>Q11/R11</f>
        <v>13372</v>
      </c>
    </row>
    <row r="12" spans="1:19" ht="15.75" thickBot="1" x14ac:dyDescent="0.3">
      <c r="A12" s="68"/>
      <c r="B12" s="26" t="s">
        <v>146</v>
      </c>
      <c r="C12" s="53">
        <f>Energies!B8</f>
        <v>7.8299999999999995E-2</v>
      </c>
      <c r="D12" s="69"/>
      <c r="F12" s="108"/>
      <c r="G12" s="102" t="s">
        <v>380</v>
      </c>
      <c r="H12" s="27">
        <f>Energies!C12*60</f>
        <v>147.35999999999999</v>
      </c>
      <c r="I12" s="26">
        <v>1</v>
      </c>
      <c r="J12" s="95">
        <f t="shared" si="0"/>
        <v>147.35999999999999</v>
      </c>
      <c r="L12" s="42" t="s">
        <v>238</v>
      </c>
      <c r="M12" s="127">
        <v>29.8</v>
      </c>
      <c r="N12" s="99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59">
        <f>Q12/R12</f>
        <v>1920</v>
      </c>
    </row>
    <row r="13" spans="1:19" ht="18" thickBot="1" x14ac:dyDescent="0.3">
      <c r="A13" s="70"/>
      <c r="B13" s="60" t="s">
        <v>483</v>
      </c>
      <c r="C13" s="61">
        <f>Energies!C12</f>
        <v>2.456</v>
      </c>
      <c r="D13" s="71"/>
      <c r="F13" s="110" t="s">
        <v>236</v>
      </c>
      <c r="G13" s="98" t="s">
        <v>132</v>
      </c>
      <c r="H13" s="57">
        <f>C6</f>
        <v>40641</v>
      </c>
      <c r="I13" s="73">
        <v>1</v>
      </c>
      <c r="J13" s="85">
        <f t="shared" si="0"/>
        <v>40641</v>
      </c>
      <c r="L13" s="42" t="s">
        <v>205</v>
      </c>
      <c r="M13" s="128">
        <f>C9</f>
        <v>0.8</v>
      </c>
      <c r="N13" s="99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59">
        <f t="shared" ref="S13:S14" si="3">Q13/R13</f>
        <v>960</v>
      </c>
    </row>
    <row r="14" spans="1:19" x14ac:dyDescent="0.25">
      <c r="A14" s="72" t="s">
        <v>281</v>
      </c>
      <c r="B14" s="56" t="s">
        <v>442</v>
      </c>
      <c r="C14" s="73">
        <v>1.21773</v>
      </c>
      <c r="D14" s="62"/>
      <c r="F14" s="111"/>
      <c r="G14" s="99" t="s">
        <v>229</v>
      </c>
      <c r="H14" s="29">
        <f>C5*0.4</f>
        <v>28503.600000000002</v>
      </c>
      <c r="I14" s="54">
        <v>1</v>
      </c>
      <c r="J14" s="95">
        <f t="shared" si="0"/>
        <v>28503.600000000002</v>
      </c>
      <c r="L14" s="42" t="s">
        <v>206</v>
      </c>
      <c r="M14" s="127">
        <v>5</v>
      </c>
      <c r="N14" s="99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59">
        <f t="shared" si="3"/>
        <v>6686</v>
      </c>
    </row>
    <row r="15" spans="1:19" ht="15.75" thickBot="1" x14ac:dyDescent="0.3">
      <c r="A15" s="74"/>
      <c r="B15" s="60" t="s">
        <v>164</v>
      </c>
      <c r="C15" s="65">
        <v>0.2</v>
      </c>
      <c r="D15" s="66"/>
      <c r="F15" s="111"/>
      <c r="G15" s="99" t="s">
        <v>460</v>
      </c>
      <c r="H15" s="29">
        <f>'Manpower &amp; time'!G12</f>
        <v>11490.34500000001</v>
      </c>
      <c r="I15" s="54">
        <v>1</v>
      </c>
      <c r="J15" s="95">
        <f t="shared" si="0"/>
        <v>11490.34500000001</v>
      </c>
      <c r="L15" s="42" t="s">
        <v>449</v>
      </c>
      <c r="M15" s="129">
        <f>1/10000</f>
        <v>1E-4</v>
      </c>
      <c r="N15" s="99" t="s">
        <v>19</v>
      </c>
      <c r="O15" s="26" t="s">
        <v>194</v>
      </c>
      <c r="P15" s="26" t="s">
        <v>239</v>
      </c>
      <c r="Q15" s="53">
        <f>M12*0.8*C12</f>
        <v>1.8666720000000001</v>
      </c>
      <c r="R15" s="26"/>
      <c r="S15" s="139"/>
    </row>
    <row r="16" spans="1:19" ht="15.75" thickBot="1" x14ac:dyDescent="0.3">
      <c r="F16" s="112"/>
      <c r="G16" s="100" t="s">
        <v>237</v>
      </c>
      <c r="H16" s="61">
        <f>'Manpower &amp; time'!C36</f>
        <v>14044.629000000001</v>
      </c>
      <c r="I16" s="96">
        <v>1</v>
      </c>
      <c r="J16" s="86">
        <f t="shared" si="0"/>
        <v>14044.629000000001</v>
      </c>
      <c r="L16" s="42" t="s">
        <v>487</v>
      </c>
      <c r="M16" s="129">
        <f>M15*0.5</f>
        <v>5.0000000000000002E-5</v>
      </c>
      <c r="N16" s="99" t="s">
        <v>196</v>
      </c>
      <c r="O16" s="26" t="s">
        <v>194</v>
      </c>
      <c r="P16" s="26" t="s">
        <v>239</v>
      </c>
      <c r="Q16" s="27">
        <v>10</v>
      </c>
      <c r="R16" s="26"/>
      <c r="S16" s="139"/>
    </row>
    <row r="17" spans="4:19" x14ac:dyDescent="0.25">
      <c r="F17" s="113" t="s">
        <v>34</v>
      </c>
      <c r="G17" s="98" t="s">
        <v>35</v>
      </c>
      <c r="H17" s="57">
        <f>IT!E12+2*IT!E13+IT!E14+7*IT!E16+IT!E17+4*IT!E18+IT!E19</f>
        <v>6531.2</v>
      </c>
      <c r="I17" s="73">
        <v>3</v>
      </c>
      <c r="J17" s="85">
        <f t="shared" si="0"/>
        <v>2177.0666666666666</v>
      </c>
      <c r="L17" s="42" t="s">
        <v>349</v>
      </c>
      <c r="M17" s="129">
        <f>M15*0.4</f>
        <v>4.0000000000000003E-5</v>
      </c>
      <c r="N17" s="99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59">
        <f>Q17/R17</f>
        <v>88.025599999999997</v>
      </c>
    </row>
    <row r="18" spans="4:19" ht="15.75" thickBot="1" x14ac:dyDescent="0.3">
      <c r="F18" s="114"/>
      <c r="G18" s="99" t="s">
        <v>186</v>
      </c>
      <c r="H18" s="29">
        <f>IT!E6</f>
        <v>215.20000000000002</v>
      </c>
      <c r="I18" s="54">
        <v>3</v>
      </c>
      <c r="J18" s="95">
        <f t="shared" si="0"/>
        <v>71.733333333333334</v>
      </c>
      <c r="L18" s="223" t="s">
        <v>222</v>
      </c>
      <c r="M18" s="138">
        <v>15</v>
      </c>
      <c r="N18" s="100"/>
      <c r="O18" s="60"/>
      <c r="P18" s="60"/>
      <c r="Q18" s="60"/>
      <c r="R18" s="60"/>
      <c r="S18" s="71"/>
    </row>
    <row r="19" spans="4:19" ht="30" x14ac:dyDescent="0.25">
      <c r="D19" s="6"/>
      <c r="F19" s="114"/>
      <c r="G19" s="157" t="s">
        <v>484</v>
      </c>
      <c r="H19" s="29">
        <f>2*IT!E7+IT!E8+2*IT!E9+IT!E10</f>
        <v>261.39000000000004</v>
      </c>
      <c r="I19" s="54">
        <v>1</v>
      </c>
      <c r="J19" s="95">
        <f t="shared" si="0"/>
        <v>261.39000000000004</v>
      </c>
      <c r="L19" s="241" t="s">
        <v>20</v>
      </c>
      <c r="M19" s="242"/>
      <c r="N19" s="98" t="s">
        <v>21</v>
      </c>
      <c r="O19" s="56" t="s">
        <v>193</v>
      </c>
      <c r="P19" s="56"/>
      <c r="Q19" s="57">
        <f>'Laser cutter'!G4</f>
        <v>108770.41708753172</v>
      </c>
      <c r="R19" s="56">
        <v>10</v>
      </c>
      <c r="S19" s="58">
        <f>Q19/R19</f>
        <v>10877.041708753171</v>
      </c>
    </row>
    <row r="20" spans="4:19" x14ac:dyDescent="0.25">
      <c r="F20" s="114"/>
      <c r="G20" s="99" t="s">
        <v>165</v>
      </c>
      <c r="H20" s="29">
        <f>IT!E4*12*3</f>
        <v>378</v>
      </c>
      <c r="I20" s="54">
        <v>1</v>
      </c>
      <c r="J20" s="95">
        <f t="shared" si="0"/>
        <v>378</v>
      </c>
      <c r="L20" s="41" t="s">
        <v>238</v>
      </c>
      <c r="M20" s="130">
        <v>7.5</v>
      </c>
      <c r="N20" s="99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59">
        <f>Q20/R20</f>
        <v>5438.5208543765866</v>
      </c>
    </row>
    <row r="21" spans="4:19" x14ac:dyDescent="0.25">
      <c r="F21" s="114"/>
      <c r="G21" s="99" t="s">
        <v>166</v>
      </c>
      <c r="H21" s="29">
        <f>IT!E3*2</f>
        <v>796.80000000000007</v>
      </c>
      <c r="I21" s="54">
        <v>1</v>
      </c>
      <c r="J21" s="95">
        <f t="shared" si="0"/>
        <v>796.80000000000007</v>
      </c>
      <c r="L21" s="41" t="s">
        <v>205</v>
      </c>
      <c r="M21" s="131">
        <v>0.7</v>
      </c>
      <c r="N21" s="99" t="s">
        <v>23</v>
      </c>
      <c r="O21" s="26" t="s">
        <v>194</v>
      </c>
      <c r="P21" s="26" t="s">
        <v>239</v>
      </c>
      <c r="Q21" s="53">
        <f>M20*0.8*C12</f>
        <v>0.4698</v>
      </c>
      <c r="R21" s="26"/>
      <c r="S21" s="139"/>
    </row>
    <row r="22" spans="4:19" x14ac:dyDescent="0.25">
      <c r="F22" s="114"/>
      <c r="G22" s="99" t="s">
        <v>36</v>
      </c>
      <c r="H22" s="29">
        <f>12*IT!E21</f>
        <v>756</v>
      </c>
      <c r="I22" s="54">
        <v>1</v>
      </c>
      <c r="J22" s="95">
        <f t="shared" si="0"/>
        <v>756</v>
      </c>
      <c r="L22" s="41" t="s">
        <v>206</v>
      </c>
      <c r="M22" s="130">
        <v>5</v>
      </c>
      <c r="N22" s="99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39"/>
    </row>
    <row r="23" spans="4:19" ht="15.75" thickBot="1" x14ac:dyDescent="0.3">
      <c r="F23" s="115"/>
      <c r="G23" s="100" t="s">
        <v>348</v>
      </c>
      <c r="H23" s="61">
        <f>IT!E24+IT!E23</f>
        <v>384.17</v>
      </c>
      <c r="I23" s="96">
        <v>3</v>
      </c>
      <c r="J23" s="86">
        <f t="shared" si="0"/>
        <v>128.05666666666667</v>
      </c>
      <c r="L23" s="41" t="s">
        <v>450</v>
      </c>
      <c r="M23" s="132">
        <v>4.6000000000000001E-4</v>
      </c>
      <c r="N23" s="120"/>
      <c r="O23" s="82"/>
      <c r="P23" s="82"/>
      <c r="Q23" s="82"/>
      <c r="R23" s="82"/>
      <c r="S23" s="143"/>
    </row>
    <row r="24" spans="4:19" x14ac:dyDescent="0.25">
      <c r="F24" s="104" t="s">
        <v>342</v>
      </c>
      <c r="G24" s="98" t="s">
        <v>37</v>
      </c>
      <c r="H24" s="97">
        <v>200</v>
      </c>
      <c r="I24" s="73">
        <v>1</v>
      </c>
      <c r="J24" s="85">
        <f t="shared" si="0"/>
        <v>200</v>
      </c>
      <c r="L24" s="41" t="s">
        <v>473</v>
      </c>
      <c r="M24" s="133">
        <v>1.5</v>
      </c>
      <c r="N24" s="120"/>
      <c r="O24" s="83"/>
      <c r="P24" s="82"/>
      <c r="Q24" s="83"/>
      <c r="R24" s="82"/>
      <c r="S24" s="144"/>
    </row>
    <row r="25" spans="4:19" ht="15.75" thickBot="1" x14ac:dyDescent="0.3">
      <c r="F25" s="106"/>
      <c r="G25" s="100" t="s">
        <v>282</v>
      </c>
      <c r="H25" s="61">
        <f>Office!D2*3+Office!D3*3+Office!D4*2+Office!D5*2+Office!D6+Office!D7+Office!D8*10+Office!D9</f>
        <v>10739</v>
      </c>
      <c r="I25" s="60">
        <v>10</v>
      </c>
      <c r="J25" s="86">
        <f>H25/I25</f>
        <v>1073.9000000000001</v>
      </c>
      <c r="L25" s="41" t="s">
        <v>474</v>
      </c>
      <c r="M25" s="133">
        <v>1</v>
      </c>
      <c r="N25" s="121"/>
      <c r="O25" s="84"/>
      <c r="P25" s="84"/>
      <c r="Q25" s="84"/>
      <c r="R25" s="84"/>
      <c r="S25" s="145"/>
    </row>
    <row r="26" spans="4:19" ht="15.75" thickBot="1" x14ac:dyDescent="0.3">
      <c r="F26" s="107" t="s">
        <v>39</v>
      </c>
      <c r="G26" s="156" t="s">
        <v>362</v>
      </c>
      <c r="H26" s="57">
        <f>SUM(Manufacturing!G3:G8)+Manufacturing!G9*4</f>
        <v>18194.977983625271</v>
      </c>
      <c r="I26" s="56">
        <v>10</v>
      </c>
      <c r="J26" s="85">
        <f t="shared" si="0"/>
        <v>1819.4977983625272</v>
      </c>
      <c r="L26" s="146" t="s">
        <v>316</v>
      </c>
      <c r="M26" s="147">
        <v>8</v>
      </c>
      <c r="N26" s="100"/>
      <c r="O26" s="60"/>
      <c r="P26" s="60"/>
      <c r="Q26" s="60"/>
      <c r="R26" s="60"/>
      <c r="S26" s="71"/>
    </row>
    <row r="27" spans="4:19" x14ac:dyDescent="0.25">
      <c r="F27" s="108"/>
      <c r="G27" s="99" t="s">
        <v>350</v>
      </c>
      <c r="H27" s="29">
        <f>Manufacturing!G26</f>
        <v>3259</v>
      </c>
      <c r="I27" s="26">
        <v>10</v>
      </c>
      <c r="J27" s="95">
        <f t="shared" si="0"/>
        <v>325.89999999999998</v>
      </c>
      <c r="L27" s="44" t="s">
        <v>24</v>
      </c>
      <c r="M27" s="148"/>
      <c r="N27" s="98" t="s">
        <v>216</v>
      </c>
      <c r="O27" s="56" t="s">
        <v>193</v>
      </c>
      <c r="P27" s="56"/>
      <c r="Q27" s="57">
        <f>Welding!F2+Welding!F3</f>
        <v>5308.6</v>
      </c>
      <c r="R27" s="56">
        <v>10</v>
      </c>
      <c r="S27" s="58">
        <f>Q27/R27</f>
        <v>530.86</v>
      </c>
    </row>
    <row r="28" spans="4:19" x14ac:dyDescent="0.25">
      <c r="F28" s="108"/>
      <c r="G28" s="99" t="s">
        <v>456</v>
      </c>
      <c r="H28" s="29">
        <f>Manufacturing!G27</f>
        <v>1031.54</v>
      </c>
      <c r="I28" s="26">
        <v>10</v>
      </c>
      <c r="J28" s="95">
        <f t="shared" si="0"/>
        <v>103.154</v>
      </c>
      <c r="L28" s="43"/>
      <c r="M28" s="122"/>
      <c r="N28" s="99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59">
        <f t="shared" ref="S28:S32" si="4">Q28/R28</f>
        <v>385.96</v>
      </c>
    </row>
    <row r="29" spans="4:19" x14ac:dyDescent="0.25">
      <c r="F29" s="108"/>
      <c r="G29" s="99" t="s">
        <v>271</v>
      </c>
      <c r="H29" s="29">
        <f>Manufacturing!G11*3+Manufacturing!G12*3</f>
        <v>8137.4519999999993</v>
      </c>
      <c r="I29" s="26">
        <v>10</v>
      </c>
      <c r="J29" s="95">
        <f t="shared" si="0"/>
        <v>813.74519999999995</v>
      </c>
      <c r="L29" s="43" t="s">
        <v>205</v>
      </c>
      <c r="M29" s="123">
        <f>C9</f>
        <v>0.8</v>
      </c>
      <c r="N29" s="99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59">
        <f t="shared" si="4"/>
        <v>29.2</v>
      </c>
    </row>
    <row r="30" spans="4:19" x14ac:dyDescent="0.25">
      <c r="F30" s="108"/>
      <c r="G30" s="157" t="s">
        <v>325</v>
      </c>
      <c r="H30" s="29">
        <f>0.5*H29</f>
        <v>4068.7259999999997</v>
      </c>
      <c r="I30" s="26">
        <v>10</v>
      </c>
      <c r="J30" s="95">
        <f t="shared" si="0"/>
        <v>406.87259999999998</v>
      </c>
      <c r="L30" s="43" t="s">
        <v>424</v>
      </c>
      <c r="M30" s="134">
        <f>Welding!B32</f>
        <v>140.43083213990764</v>
      </c>
      <c r="N30" s="99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59">
        <f t="shared" si="4"/>
        <v>98</v>
      </c>
    </row>
    <row r="31" spans="4:19" x14ac:dyDescent="0.25">
      <c r="F31" s="108"/>
      <c r="G31" s="99" t="s">
        <v>326</v>
      </c>
      <c r="H31" s="29">
        <v>4000</v>
      </c>
      <c r="I31" s="26">
        <v>5</v>
      </c>
      <c r="J31" s="95">
        <f t="shared" si="0"/>
        <v>800</v>
      </c>
      <c r="L31" s="43"/>
      <c r="M31" s="122"/>
      <c r="N31" s="99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59">
        <f t="shared" si="4"/>
        <v>857.9</v>
      </c>
    </row>
    <row r="32" spans="4:19" x14ac:dyDescent="0.25">
      <c r="F32" s="108"/>
      <c r="G32" s="99" t="s">
        <v>327</v>
      </c>
      <c r="H32" s="29">
        <v>3000</v>
      </c>
      <c r="I32" s="26">
        <v>1</v>
      </c>
      <c r="J32" s="95">
        <f t="shared" si="0"/>
        <v>3000</v>
      </c>
      <c r="L32" s="43"/>
      <c r="M32" s="122"/>
      <c r="N32" s="99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59">
        <f t="shared" si="4"/>
        <v>275.04599999999999</v>
      </c>
    </row>
    <row r="33" spans="6:19" x14ac:dyDescent="0.25">
      <c r="F33" s="108"/>
      <c r="G33" s="99" t="s">
        <v>331</v>
      </c>
      <c r="H33" s="29">
        <f>Manufacturing!G24</f>
        <v>2302.5700000000002</v>
      </c>
      <c r="I33" s="26">
        <v>10</v>
      </c>
      <c r="J33" s="95">
        <f t="shared" si="0"/>
        <v>230.25700000000001</v>
      </c>
      <c r="L33" s="43"/>
      <c r="M33" s="122"/>
      <c r="N33" s="99" t="s">
        <v>19</v>
      </c>
      <c r="O33" s="26" t="s">
        <v>194</v>
      </c>
      <c r="P33" s="26" t="s">
        <v>482</v>
      </c>
      <c r="Q33" s="53">
        <f>(0.75+0.5)*C12</f>
        <v>9.787499999999999E-2</v>
      </c>
      <c r="R33" s="26"/>
      <c r="S33" s="139"/>
    </row>
    <row r="34" spans="6:19" x14ac:dyDescent="0.25">
      <c r="F34" s="108"/>
      <c r="G34" s="99" t="s">
        <v>40</v>
      </c>
      <c r="H34" s="29">
        <f>Manufacturing!G22*6+Manufacturing!G23*3</f>
        <v>7066.95</v>
      </c>
      <c r="I34" s="26">
        <v>10</v>
      </c>
      <c r="J34" s="95">
        <f t="shared" si="0"/>
        <v>706.69499999999994</v>
      </c>
      <c r="L34" s="125"/>
      <c r="M34" s="126"/>
      <c r="N34" s="99" t="s">
        <v>422</v>
      </c>
      <c r="O34" s="276" t="s">
        <v>194</v>
      </c>
      <c r="P34" s="277" t="s">
        <v>421</v>
      </c>
      <c r="Q34" s="29">
        <f>Welding!B29</f>
        <v>8.5247116655159064E-2</v>
      </c>
      <c r="R34" s="26"/>
      <c r="S34" s="139"/>
    </row>
    <row r="35" spans="6:19" x14ac:dyDescent="0.25">
      <c r="F35" s="108"/>
      <c r="G35" s="99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5">
        <f t="shared" si="0"/>
        <v>711.01300000000003</v>
      </c>
      <c r="L35" s="135"/>
      <c r="M35" s="136"/>
      <c r="N35" s="99" t="s">
        <v>423</v>
      </c>
      <c r="O35" s="276"/>
      <c r="P35" s="277"/>
      <c r="Q35" s="29">
        <f>Welding!B23</f>
        <v>5.0185057685504804E-2</v>
      </c>
      <c r="R35" s="26"/>
      <c r="S35" s="139"/>
    </row>
    <row r="36" spans="6:19" ht="15.75" thickBot="1" x14ac:dyDescent="0.3">
      <c r="F36" s="108"/>
      <c r="G36" s="102" t="s">
        <v>323</v>
      </c>
      <c r="H36" s="29">
        <f>Manufacturing!G14</f>
        <v>12999</v>
      </c>
      <c r="I36" s="26">
        <v>10</v>
      </c>
      <c r="J36" s="95">
        <f>H36/I36</f>
        <v>1299.9000000000001</v>
      </c>
      <c r="L36" s="23"/>
      <c r="M36" s="149"/>
      <c r="N36" s="100" t="s">
        <v>211</v>
      </c>
      <c r="O36" s="60" t="s">
        <v>194</v>
      </c>
      <c r="P36" s="60" t="s">
        <v>421</v>
      </c>
      <c r="Q36" s="61">
        <f>Welding!B17</f>
        <v>14.354066985645932</v>
      </c>
      <c r="R36" s="60"/>
      <c r="S36" s="71"/>
    </row>
    <row r="37" spans="6:19" x14ac:dyDescent="0.25">
      <c r="F37" s="108"/>
      <c r="G37" s="102" t="s">
        <v>324</v>
      </c>
      <c r="H37" s="29">
        <f>15*C12*C7*C8</f>
        <v>1874.5019999999997</v>
      </c>
      <c r="I37" s="26">
        <v>1</v>
      </c>
      <c r="J37" s="95">
        <f>H37/I37</f>
        <v>1874.5019999999997</v>
      </c>
      <c r="L37" s="236" t="s">
        <v>363</v>
      </c>
      <c r="M37" s="271"/>
      <c r="N37" s="98" t="s">
        <v>427</v>
      </c>
      <c r="O37" s="56" t="s">
        <v>193</v>
      </c>
      <c r="P37" s="56"/>
      <c r="Q37" s="142">
        <f>'Conventionnal machinning'!B2</f>
        <v>15000</v>
      </c>
      <c r="R37" s="56">
        <v>10</v>
      </c>
      <c r="S37" s="58">
        <f>Q37/R37</f>
        <v>1500</v>
      </c>
    </row>
    <row r="38" spans="6:19" ht="15.75" thickBot="1" x14ac:dyDescent="0.3">
      <c r="F38" s="109"/>
      <c r="G38" s="103" t="s">
        <v>458</v>
      </c>
      <c r="H38" s="61">
        <f>2*Manufacturing!G29</f>
        <v>2150</v>
      </c>
      <c r="I38" s="60">
        <v>10</v>
      </c>
      <c r="J38" s="86">
        <f>H38/I38</f>
        <v>215</v>
      </c>
      <c r="L38" s="42" t="s">
        <v>238</v>
      </c>
      <c r="M38" s="127">
        <v>6</v>
      </c>
      <c r="N38" s="99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59">
        <f>Q38/R38</f>
        <v>1000</v>
      </c>
    </row>
    <row r="39" spans="6:19" ht="15.75" thickBot="1" x14ac:dyDescent="0.3">
      <c r="F39" s="15"/>
      <c r="G39" s="11"/>
      <c r="J39" s="6"/>
      <c r="L39" s="42" t="s">
        <v>205</v>
      </c>
      <c r="M39" s="128">
        <v>0.44</v>
      </c>
      <c r="N39" s="99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59">
        <f t="shared" ref="S39:S40" si="5">Q39/R39</f>
        <v>1525</v>
      </c>
    </row>
    <row r="40" spans="6:19" ht="15.75" thickBot="1" x14ac:dyDescent="0.3">
      <c r="F40" s="265" t="s">
        <v>485</v>
      </c>
      <c r="G40" s="266"/>
      <c r="H40" s="266"/>
      <c r="I40" s="266"/>
      <c r="J40" s="267"/>
      <c r="L40" s="42" t="s">
        <v>206</v>
      </c>
      <c r="M40" s="127">
        <v>5</v>
      </c>
      <c r="N40" s="99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59">
        <f t="shared" si="5"/>
        <v>750</v>
      </c>
    </row>
    <row r="41" spans="6:19" x14ac:dyDescent="0.25">
      <c r="F41" s="246" t="s">
        <v>283</v>
      </c>
      <c r="G41" s="269" t="s">
        <v>444</v>
      </c>
      <c r="H41" s="269"/>
      <c r="I41" s="270"/>
      <c r="J41" s="85">
        <f>SUM(J3:J38)*1.05</f>
        <v>127700.70111809715</v>
      </c>
      <c r="L41" s="42" t="s">
        <v>451</v>
      </c>
      <c r="M41" s="129">
        <f>3*1/10000</f>
        <v>2.9999999999999997E-4</v>
      </c>
      <c r="N41" s="99" t="s">
        <v>19</v>
      </c>
      <c r="O41" s="26" t="s">
        <v>194</v>
      </c>
      <c r="P41" s="26" t="s">
        <v>239</v>
      </c>
      <c r="Q41" s="53">
        <f>M38*0.8*C12</f>
        <v>0.37584000000000001</v>
      </c>
      <c r="R41" s="26"/>
      <c r="S41" s="139"/>
    </row>
    <row r="42" spans="6:19" ht="15.75" thickBot="1" x14ac:dyDescent="0.3">
      <c r="F42" s="247"/>
      <c r="G42" s="268" t="s">
        <v>249</v>
      </c>
      <c r="H42" s="268"/>
      <c r="I42" s="254"/>
      <c r="J42" s="86">
        <f>J41/SUM('Manpower &amp; time'!C32:J32)</f>
        <v>11.714929813378353</v>
      </c>
      <c r="L42" s="137" t="s">
        <v>222</v>
      </c>
      <c r="M42" s="138">
        <v>10</v>
      </c>
      <c r="N42" s="100" t="s">
        <v>435</v>
      </c>
      <c r="O42" s="60" t="s">
        <v>194</v>
      </c>
      <c r="P42" s="60" t="s">
        <v>239</v>
      </c>
      <c r="Q42" s="150">
        <v>10</v>
      </c>
      <c r="R42" s="60"/>
      <c r="S42" s="71"/>
    </row>
    <row r="43" spans="6:19" ht="15.75" thickBot="1" x14ac:dyDescent="0.3">
      <c r="F43" s="248" t="s">
        <v>284</v>
      </c>
      <c r="G43" s="270" t="s">
        <v>285</v>
      </c>
      <c r="H43" s="272"/>
      <c r="I43" s="272"/>
      <c r="J43" s="87">
        <f>'Manpower &amp; time'!H8</f>
        <v>12.595833333333333</v>
      </c>
    </row>
    <row r="44" spans="6:19" ht="15.75" thickBot="1" x14ac:dyDescent="0.3">
      <c r="F44" s="249"/>
      <c r="G44" s="244" t="s">
        <v>296</v>
      </c>
      <c r="H44" s="245"/>
      <c r="I44" s="245"/>
      <c r="J44" s="88">
        <f>'Manpower &amp; time'!H9</f>
        <v>24.191071428571426</v>
      </c>
      <c r="L44" s="251" t="s">
        <v>486</v>
      </c>
      <c r="M44" s="252"/>
      <c r="N44" s="252"/>
      <c r="O44" s="252"/>
      <c r="P44" s="252"/>
      <c r="Q44" s="252"/>
      <c r="R44" s="253"/>
    </row>
    <row r="45" spans="6:19" x14ac:dyDescent="0.25">
      <c r="F45" s="249"/>
      <c r="G45" s="244" t="s">
        <v>438</v>
      </c>
      <c r="H45" s="245"/>
      <c r="I45" s="245"/>
      <c r="J45" s="88">
        <f>'Manpower &amp; time'!H10</f>
        <v>30.467857142857142</v>
      </c>
      <c r="L45" s="239" t="s">
        <v>448</v>
      </c>
      <c r="M45" s="264"/>
      <c r="N45" s="237" t="s">
        <v>258</v>
      </c>
      <c r="O45" s="237"/>
      <c r="P45" s="237"/>
      <c r="Q45" s="237"/>
      <c r="R45" s="75">
        <f>SUM(S3:S6)+S9</f>
        <v>17591.025600000001</v>
      </c>
    </row>
    <row r="46" spans="6:19" ht="15.75" thickBot="1" x14ac:dyDescent="0.3">
      <c r="F46" s="250"/>
      <c r="G46" s="254" t="s">
        <v>286</v>
      </c>
      <c r="H46" s="255"/>
      <c r="I46" s="255"/>
      <c r="J46" s="89">
        <f>'Manpower &amp; time'!H11</f>
        <v>42.416071428571428</v>
      </c>
      <c r="L46" s="234" t="s">
        <v>452</v>
      </c>
      <c r="M46" s="235"/>
      <c r="N46" s="233" t="s">
        <v>259</v>
      </c>
      <c r="O46" s="233"/>
      <c r="P46" s="233"/>
      <c r="Q46" s="233"/>
      <c r="R46" s="76">
        <f>R45/(M5*C7*C8)+J42</f>
        <v>25.492362144205423</v>
      </c>
    </row>
    <row r="47" spans="6:19" x14ac:dyDescent="0.25">
      <c r="J47" s="14"/>
      <c r="L47" s="37" t="s">
        <v>455</v>
      </c>
      <c r="M47" s="38">
        <v>2.5</v>
      </c>
      <c r="N47" s="233" t="s">
        <v>260</v>
      </c>
      <c r="O47" s="233"/>
      <c r="P47" s="233"/>
      <c r="Q47" s="233"/>
      <c r="R47" s="76">
        <f>R46+Q8+Q7</f>
        <v>46.895498144205419</v>
      </c>
    </row>
    <row r="48" spans="6:19" x14ac:dyDescent="0.25">
      <c r="J48" s="14"/>
      <c r="L48" s="37" t="s">
        <v>480</v>
      </c>
      <c r="M48" s="38">
        <v>0.5</v>
      </c>
      <c r="N48" s="233"/>
      <c r="O48" s="233"/>
      <c r="P48" s="233"/>
      <c r="Q48" s="233"/>
      <c r="R48" s="77"/>
    </row>
    <row r="49" spans="6:18" x14ac:dyDescent="0.25">
      <c r="I49" s="10"/>
      <c r="J49" s="14"/>
      <c r="L49" s="21"/>
      <c r="M49" s="22"/>
      <c r="N49" s="233" t="s">
        <v>245</v>
      </c>
      <c r="O49" s="233"/>
      <c r="P49" s="233"/>
      <c r="Q49" s="233"/>
      <c r="R49" s="78">
        <f>('Manpower &amp; time'!H8+R47)*M7/60</f>
        <v>9.9152219129231255E-5</v>
      </c>
    </row>
    <row r="50" spans="6:18" x14ac:dyDescent="0.25">
      <c r="I50" s="45"/>
      <c r="J50" s="14"/>
      <c r="L50" s="21"/>
      <c r="M50" s="22"/>
      <c r="N50" s="233" t="s">
        <v>443</v>
      </c>
      <c r="O50" s="233"/>
      <c r="P50" s="233"/>
      <c r="Q50" s="233"/>
      <c r="R50" s="79">
        <f>('Manpower &amp; time'!H8)*M7/60/R49</f>
        <v>0.2117255240469606</v>
      </c>
    </row>
    <row r="51" spans="6:18" x14ac:dyDescent="0.25">
      <c r="I51" s="1"/>
      <c r="J51" s="14"/>
      <c r="L51" s="21"/>
      <c r="M51" s="22"/>
      <c r="N51" s="233"/>
      <c r="O51" s="233"/>
      <c r="P51" s="233"/>
      <c r="Q51" s="233"/>
      <c r="R51" s="78"/>
    </row>
    <row r="52" spans="6:18" x14ac:dyDescent="0.25">
      <c r="L52" s="21"/>
      <c r="M52" s="22"/>
      <c r="N52" s="233" t="s">
        <v>248</v>
      </c>
      <c r="O52" s="233"/>
      <c r="P52" s="233"/>
      <c r="Q52" s="233"/>
      <c r="R52" s="78">
        <f>('Manpower &amp; time'!H8+J42)*M8/60</f>
        <v>2.0258969288926407E-5</v>
      </c>
    </row>
    <row r="53" spans="6:18" x14ac:dyDescent="0.25">
      <c r="J53" s="8"/>
      <c r="L53" s="21"/>
      <c r="M53" s="22"/>
      <c r="N53" s="233" t="s">
        <v>246</v>
      </c>
      <c r="O53" s="233"/>
      <c r="P53" s="233"/>
      <c r="Q53" s="233"/>
      <c r="R53" s="78">
        <f>('Manpower &amp; time'!H9+J42)*M8/60</f>
        <v>2.9921667701624819E-5</v>
      </c>
    </row>
    <row r="54" spans="6:18" x14ac:dyDescent="0.25">
      <c r="J54" s="7"/>
      <c r="L54" s="21"/>
      <c r="M54" s="22"/>
      <c r="N54" s="233" t="s">
        <v>247</v>
      </c>
      <c r="O54" s="233"/>
      <c r="P54" s="233"/>
      <c r="Q54" s="233"/>
      <c r="R54" s="78">
        <f>('Manpower &amp; time'!H11+J42)*M8/60</f>
        <v>4.5109167701624822E-5</v>
      </c>
    </row>
    <row r="55" spans="6:18" x14ac:dyDescent="0.25">
      <c r="J55" s="7"/>
      <c r="L55" s="21"/>
      <c r="M55" s="22"/>
      <c r="N55" s="233" t="s">
        <v>287</v>
      </c>
      <c r="O55" s="233"/>
      <c r="P55" s="233"/>
      <c r="Q55" s="233"/>
      <c r="R55" s="78">
        <f>('Manpower &amp; time'!H8+J42)*M$9/60</f>
        <v>1.6207175431141127E-5</v>
      </c>
    </row>
    <row r="56" spans="6:18" x14ac:dyDescent="0.25">
      <c r="J56" s="7"/>
      <c r="L56" s="21"/>
      <c r="M56" s="22"/>
      <c r="N56" s="233" t="s">
        <v>288</v>
      </c>
      <c r="O56" s="233"/>
      <c r="P56" s="233"/>
      <c r="Q56" s="233"/>
      <c r="R56" s="78">
        <f>('Manpower &amp; time'!H9+J42)*M$9/60</f>
        <v>2.3937334161299856E-5</v>
      </c>
    </row>
    <row r="57" spans="6:18" x14ac:dyDescent="0.25">
      <c r="J57" s="5"/>
      <c r="L57" s="21"/>
      <c r="M57" s="22"/>
      <c r="N57" s="319" t="s">
        <v>289</v>
      </c>
      <c r="O57" s="320"/>
      <c r="P57" s="320"/>
      <c r="Q57" s="321"/>
      <c r="R57" s="78">
        <f>('Manpower &amp; time'!H11+J42)*M$9/60</f>
        <v>3.6087334161299856E-5</v>
      </c>
    </row>
    <row r="58" spans="6:18" ht="15.75" thickBot="1" x14ac:dyDescent="0.3">
      <c r="L58" s="23"/>
      <c r="M58" s="24"/>
      <c r="N58" s="327" t="s">
        <v>257</v>
      </c>
      <c r="O58" s="328"/>
      <c r="P58" s="328"/>
      <c r="Q58" s="329"/>
      <c r="R58" s="80">
        <f>('Manpower &amp; time'!H8+R46)*(M10+M6)/60</f>
        <v>15.87008144897448</v>
      </c>
    </row>
    <row r="59" spans="6:18" x14ac:dyDescent="0.25">
      <c r="L59" s="236" t="s">
        <v>18</v>
      </c>
      <c r="M59" s="326"/>
      <c r="N59" s="323" t="s">
        <v>258</v>
      </c>
      <c r="O59" s="324"/>
      <c r="P59" s="324"/>
      <c r="Q59" s="325"/>
      <c r="R59" s="75">
        <f>SUM(S11:S14)+S17</f>
        <v>23026.025600000001</v>
      </c>
    </row>
    <row r="60" spans="6:18" x14ac:dyDescent="0.25">
      <c r="L60" s="243" t="s">
        <v>452</v>
      </c>
      <c r="M60" s="331"/>
      <c r="N60" s="319" t="s">
        <v>259</v>
      </c>
      <c r="O60" s="320"/>
      <c r="P60" s="320"/>
      <c r="Q60" s="321"/>
      <c r="R60" s="76">
        <f>R59/(M13*C7*C8)+J42</f>
        <v>29.749097733177855</v>
      </c>
    </row>
    <row r="61" spans="6:18" x14ac:dyDescent="0.25">
      <c r="J61" s="7"/>
      <c r="L61" s="39" t="s">
        <v>455</v>
      </c>
      <c r="M61" s="40">
        <v>2.5</v>
      </c>
      <c r="N61" s="319" t="s">
        <v>260</v>
      </c>
      <c r="O61" s="320"/>
      <c r="P61" s="320"/>
      <c r="Q61" s="321"/>
      <c r="R61" s="76">
        <f>R60+Q16+Q15</f>
        <v>41.615769733177856</v>
      </c>
    </row>
    <row r="62" spans="6:18" x14ac:dyDescent="0.25">
      <c r="L62" s="39" t="s">
        <v>480</v>
      </c>
      <c r="M62" s="40">
        <v>0.5</v>
      </c>
      <c r="N62" s="319"/>
      <c r="O62" s="320"/>
      <c r="P62" s="320"/>
      <c r="Q62" s="321"/>
      <c r="R62" s="77"/>
    </row>
    <row r="63" spans="6:18" x14ac:dyDescent="0.25">
      <c r="F63" s="11"/>
      <c r="L63" s="17"/>
      <c r="M63" s="18"/>
      <c r="N63" s="319" t="s">
        <v>245</v>
      </c>
      <c r="O63" s="320"/>
      <c r="P63" s="320"/>
      <c r="Q63" s="321"/>
      <c r="R63" s="78">
        <f>(J43+R61)*M15/60</f>
        <v>9.0352671777518655E-5</v>
      </c>
    </row>
    <row r="64" spans="6:18" x14ac:dyDescent="0.25">
      <c r="L64" s="17"/>
      <c r="M64" s="18"/>
      <c r="N64" s="319" t="s">
        <v>443</v>
      </c>
      <c r="O64" s="320"/>
      <c r="P64" s="320"/>
      <c r="Q64" s="321"/>
      <c r="R64" s="79">
        <f>(J43)*M15/60/R63</f>
        <v>0.23234570868306079</v>
      </c>
    </row>
    <row r="65" spans="12:18" x14ac:dyDescent="0.25">
      <c r="L65" s="17"/>
      <c r="M65" s="18"/>
      <c r="N65" s="319"/>
      <c r="O65" s="320"/>
      <c r="P65" s="320"/>
      <c r="Q65" s="321"/>
      <c r="R65" s="78"/>
    </row>
    <row r="66" spans="12:18" x14ac:dyDescent="0.25">
      <c r="L66" s="17"/>
      <c r="M66" s="18"/>
      <c r="N66" s="319" t="s">
        <v>248</v>
      </c>
      <c r="O66" s="320"/>
      <c r="P66" s="320"/>
      <c r="Q66" s="321"/>
      <c r="R66" s="78">
        <f>(J43+J42)*M$16/60</f>
        <v>2.0258969288926407E-5</v>
      </c>
    </row>
    <row r="67" spans="12:18" x14ac:dyDescent="0.25">
      <c r="L67" s="17"/>
      <c r="M67" s="18"/>
      <c r="N67" s="319" t="s">
        <v>246</v>
      </c>
      <c r="O67" s="320"/>
      <c r="P67" s="320"/>
      <c r="Q67" s="321"/>
      <c r="R67" s="78">
        <f>(J44+J42)*M$16/60</f>
        <v>2.9921667701624819E-5</v>
      </c>
    </row>
    <row r="68" spans="12:18" x14ac:dyDescent="0.25">
      <c r="L68" s="17"/>
      <c r="M68" s="18"/>
      <c r="N68" s="319" t="s">
        <v>247</v>
      </c>
      <c r="O68" s="320"/>
      <c r="P68" s="320"/>
      <c r="Q68" s="321"/>
      <c r="R68" s="78">
        <f>(J46+J42)*M$16/60</f>
        <v>4.5109167701624822E-5</v>
      </c>
    </row>
    <row r="69" spans="12:18" x14ac:dyDescent="0.25">
      <c r="L69" s="17"/>
      <c r="M69" s="18"/>
      <c r="N69" s="319" t="s">
        <v>287</v>
      </c>
      <c r="O69" s="320"/>
      <c r="P69" s="320"/>
      <c r="Q69" s="321"/>
      <c r="R69" s="78">
        <f>(J43+J42)*M$17/60</f>
        <v>1.6207175431141127E-5</v>
      </c>
    </row>
    <row r="70" spans="12:18" x14ac:dyDescent="0.25">
      <c r="L70" s="17"/>
      <c r="M70" s="18"/>
      <c r="N70" s="319" t="s">
        <v>288</v>
      </c>
      <c r="O70" s="320"/>
      <c r="P70" s="320"/>
      <c r="Q70" s="321"/>
      <c r="R70" s="78">
        <f>(J44+J42)*M$17/60</f>
        <v>2.3937334161299856E-5</v>
      </c>
    </row>
    <row r="71" spans="12:18" x14ac:dyDescent="0.25">
      <c r="L71" s="17"/>
      <c r="M71" s="18"/>
      <c r="N71" s="319" t="s">
        <v>289</v>
      </c>
      <c r="O71" s="320"/>
      <c r="P71" s="320"/>
      <c r="Q71" s="321"/>
      <c r="R71" s="78">
        <f>(J46+J42)*M$17/60</f>
        <v>3.6087334161299856E-5</v>
      </c>
    </row>
    <row r="72" spans="12:18" ht="15.75" thickBot="1" x14ac:dyDescent="0.3">
      <c r="L72" s="17"/>
      <c r="M72" s="18"/>
      <c r="N72" s="327" t="s">
        <v>257</v>
      </c>
      <c r="O72" s="328"/>
      <c r="P72" s="328"/>
      <c r="Q72" s="329"/>
      <c r="R72" s="152">
        <f>(J43+R60)*(M14+M18)/60</f>
        <v>14.114977022170395</v>
      </c>
    </row>
    <row r="73" spans="12:18" x14ac:dyDescent="0.25">
      <c r="L73" s="241" t="s">
        <v>377</v>
      </c>
      <c r="M73" s="332"/>
      <c r="N73" s="323" t="s">
        <v>258</v>
      </c>
      <c r="O73" s="324"/>
      <c r="P73" s="324"/>
      <c r="Q73" s="325"/>
      <c r="R73" s="75">
        <f>S19+S20</f>
        <v>16315.562563129759</v>
      </c>
    </row>
    <row r="74" spans="12:18" x14ac:dyDescent="0.25">
      <c r="L74" s="238" t="s">
        <v>453</v>
      </c>
      <c r="M74" s="330"/>
      <c r="N74" s="319" t="s">
        <v>259</v>
      </c>
      <c r="O74" s="320"/>
      <c r="P74" s="320"/>
      <c r="Q74" s="321"/>
      <c r="R74" s="76">
        <f>R73/(M21*C7*C8)+J42</f>
        <v>26.318906328890129</v>
      </c>
    </row>
    <row r="75" spans="12:18" x14ac:dyDescent="0.25">
      <c r="L75" s="35" t="s">
        <v>454</v>
      </c>
      <c r="M75" s="36">
        <f>'Laser cutter'!J14</f>
        <v>0.71739130434782605</v>
      </c>
      <c r="N75" s="319" t="s">
        <v>260</v>
      </c>
      <c r="O75" s="320"/>
      <c r="P75" s="320"/>
      <c r="Q75" s="321"/>
      <c r="R75" s="76">
        <f>R74+Q21+Q22</f>
        <v>31.86150632889013</v>
      </c>
    </row>
    <row r="76" spans="12:18" x14ac:dyDescent="0.25">
      <c r="L76" s="238"/>
      <c r="M76" s="330"/>
      <c r="N76" s="319"/>
      <c r="O76" s="320"/>
      <c r="P76" s="320"/>
      <c r="Q76" s="321"/>
      <c r="R76" s="77"/>
    </row>
    <row r="77" spans="12:18" x14ac:dyDescent="0.25">
      <c r="L77" s="238"/>
      <c r="M77" s="330"/>
      <c r="N77" s="319" t="s">
        <v>378</v>
      </c>
      <c r="O77" s="320"/>
      <c r="P77" s="320"/>
      <c r="Q77" s="321"/>
      <c r="R77" s="78">
        <f>(J43*0.4+R75)*M23/60</f>
        <v>2.8289877074371322E-4</v>
      </c>
    </row>
    <row r="78" spans="12:18" x14ac:dyDescent="0.25">
      <c r="L78" s="238"/>
      <c r="M78" s="330"/>
      <c r="N78" s="319" t="s">
        <v>443</v>
      </c>
      <c r="O78" s="320"/>
      <c r="P78" s="320"/>
      <c r="Q78" s="321"/>
      <c r="R78" s="79">
        <f>(J43)*M23/60/R77</f>
        <v>0.34135198007996848</v>
      </c>
    </row>
    <row r="79" spans="12:18" x14ac:dyDescent="0.25">
      <c r="L79" s="238"/>
      <c r="M79" s="330"/>
      <c r="N79" s="319"/>
      <c r="O79" s="320"/>
      <c r="P79" s="320"/>
      <c r="Q79" s="321"/>
      <c r="R79" s="139"/>
    </row>
    <row r="80" spans="12:18" x14ac:dyDescent="0.25">
      <c r="L80" s="238"/>
      <c r="M80" s="330"/>
      <c r="N80" s="319" t="s">
        <v>475</v>
      </c>
      <c r="O80" s="320"/>
      <c r="P80" s="320"/>
      <c r="Q80" s="321"/>
      <c r="R80" s="151">
        <f>(J43+J42)*M24/60</f>
        <v>0.60776907866779217</v>
      </c>
    </row>
    <row r="81" spans="12:19" x14ac:dyDescent="0.25">
      <c r="L81" s="238"/>
      <c r="M81" s="330"/>
      <c r="N81" s="319" t="s">
        <v>476</v>
      </c>
      <c r="O81" s="320"/>
      <c r="P81" s="320"/>
      <c r="Q81" s="321"/>
      <c r="R81" s="151">
        <f>(J44+J42)*M24/60</f>
        <v>0.89765003104874452</v>
      </c>
    </row>
    <row r="82" spans="12:19" x14ac:dyDescent="0.25">
      <c r="L82" s="238"/>
      <c r="M82" s="330"/>
      <c r="N82" s="319" t="s">
        <v>477</v>
      </c>
      <c r="O82" s="320"/>
      <c r="P82" s="320"/>
      <c r="Q82" s="321"/>
      <c r="R82" s="151">
        <f>(J43+J42)*M25/60</f>
        <v>0.40517938577852808</v>
      </c>
    </row>
    <row r="83" spans="12:19" x14ac:dyDescent="0.25">
      <c r="L83" s="238"/>
      <c r="M83" s="330"/>
      <c r="N83" s="319" t="s">
        <v>478</v>
      </c>
      <c r="O83" s="320"/>
      <c r="P83" s="320"/>
      <c r="Q83" s="321"/>
      <c r="R83" s="151">
        <f>(J44+J42)*M$25/60</f>
        <v>0.59843335403249631</v>
      </c>
    </row>
    <row r="84" spans="12:19" ht="15.75" thickBot="1" x14ac:dyDescent="0.3">
      <c r="L84" s="32"/>
      <c r="M84" s="33"/>
      <c r="N84" s="327" t="s">
        <v>257</v>
      </c>
      <c r="O84" s="328"/>
      <c r="P84" s="328"/>
      <c r="Q84" s="329"/>
      <c r="R84" s="80">
        <f>(J43+R74)*(M26+M22)/60</f>
        <v>8.4315269268150832</v>
      </c>
    </row>
    <row r="85" spans="12:19" x14ac:dyDescent="0.25">
      <c r="L85" s="239" t="s">
        <v>24</v>
      </c>
      <c r="M85" s="322"/>
      <c r="N85" s="323" t="s">
        <v>258</v>
      </c>
      <c r="O85" s="324"/>
      <c r="P85" s="324"/>
      <c r="Q85" s="325"/>
      <c r="R85" s="153">
        <f>SUM(S27:S32)</f>
        <v>2176.9659999999999</v>
      </c>
    </row>
    <row r="86" spans="12:19" x14ac:dyDescent="0.25">
      <c r="L86" s="229"/>
      <c r="M86" s="230"/>
      <c r="N86" s="319" t="s">
        <v>259</v>
      </c>
      <c r="O86" s="320"/>
      <c r="P86" s="320"/>
      <c r="Q86" s="321"/>
      <c r="R86" s="95">
        <f>R85/(M29*C7*C8)+J42</f>
        <v>13.419947043954794</v>
      </c>
      <c r="S86" s="6"/>
    </row>
    <row r="87" spans="12:19" x14ac:dyDescent="0.25">
      <c r="L87" s="21"/>
      <c r="M87" s="22"/>
      <c r="N87" s="319" t="s">
        <v>260</v>
      </c>
      <c r="O87" s="320"/>
      <c r="P87" s="320"/>
      <c r="Q87" s="321"/>
      <c r="R87" s="95">
        <f>R86+Q33</f>
        <v>13.517822043954794</v>
      </c>
    </row>
    <row r="88" spans="12:19" x14ac:dyDescent="0.25">
      <c r="L88" s="21"/>
      <c r="M88" s="22"/>
      <c r="N88" s="319"/>
      <c r="O88" s="320"/>
      <c r="P88" s="320"/>
      <c r="Q88" s="321"/>
      <c r="R88" s="139"/>
    </row>
    <row r="89" spans="12:19" x14ac:dyDescent="0.25">
      <c r="L89" s="21"/>
      <c r="M89" s="22"/>
      <c r="N89" s="319" t="s">
        <v>425</v>
      </c>
      <c r="O89" s="320"/>
      <c r="P89" s="320"/>
      <c r="Q89" s="321"/>
      <c r="R89" s="59">
        <f>Q34+Q36+(R87+J45)*M30/60</f>
        <v>117.38840627635136</v>
      </c>
    </row>
    <row r="90" spans="12:19" x14ac:dyDescent="0.25">
      <c r="L90" s="21"/>
      <c r="M90" s="22"/>
      <c r="N90" s="319" t="s">
        <v>426</v>
      </c>
      <c r="O90" s="320"/>
      <c r="P90" s="320"/>
      <c r="Q90" s="321"/>
      <c r="R90" s="95">
        <f>Q35+Q36+(R87+J45)*M30/60</f>
        <v>117.3533442173817</v>
      </c>
    </row>
    <row r="91" spans="12:19" ht="15.75" thickBot="1" x14ac:dyDescent="0.3">
      <c r="L91" s="23"/>
      <c r="M91" s="24"/>
      <c r="N91" s="327"/>
      <c r="O91" s="328"/>
      <c r="P91" s="328"/>
      <c r="Q91" s="329"/>
      <c r="R91" s="71"/>
    </row>
    <row r="92" spans="12:19" x14ac:dyDescent="0.25">
      <c r="L92" s="236" t="s">
        <v>363</v>
      </c>
      <c r="M92" s="326"/>
      <c r="N92" s="323" t="s">
        <v>258</v>
      </c>
      <c r="O92" s="324"/>
      <c r="P92" s="324"/>
      <c r="Q92" s="325"/>
      <c r="R92" s="75">
        <f>SUM(S37:S40)</f>
        <v>4775</v>
      </c>
    </row>
    <row r="93" spans="12:19" x14ac:dyDescent="0.25">
      <c r="L93" s="227"/>
      <c r="M93" s="228"/>
      <c r="N93" s="319" t="s">
        <v>259</v>
      </c>
      <c r="O93" s="320"/>
      <c r="P93" s="320"/>
      <c r="Q93" s="321"/>
      <c r="R93" s="76">
        <f>R92/(M39*C7*C8)+J42</f>
        <v>18.514599441995351</v>
      </c>
    </row>
    <row r="94" spans="12:19" x14ac:dyDescent="0.25">
      <c r="L94" s="17"/>
      <c r="M94" s="18"/>
      <c r="N94" s="319" t="s">
        <v>260</v>
      </c>
      <c r="O94" s="320"/>
      <c r="P94" s="320"/>
      <c r="Q94" s="321"/>
      <c r="R94" s="76">
        <f>R93+Q42+Q41</f>
        <v>28.890439441995351</v>
      </c>
    </row>
    <row r="95" spans="12:19" x14ac:dyDescent="0.25">
      <c r="L95" s="17"/>
      <c r="M95" s="18"/>
      <c r="N95" s="319"/>
      <c r="O95" s="320"/>
      <c r="P95" s="320"/>
      <c r="Q95" s="321"/>
      <c r="R95" s="77"/>
    </row>
    <row r="96" spans="12:19" x14ac:dyDescent="0.25">
      <c r="L96" s="17"/>
      <c r="M96" s="18"/>
      <c r="N96" s="319" t="s">
        <v>245</v>
      </c>
      <c r="O96" s="320"/>
      <c r="P96" s="320"/>
      <c r="Q96" s="321"/>
      <c r="R96" s="78">
        <f>(J43+R94)*M41/60</f>
        <v>2.0743136387664342E-4</v>
      </c>
    </row>
    <row r="97" spans="12:21" ht="15.75" thickBot="1" x14ac:dyDescent="0.3">
      <c r="L97" s="19"/>
      <c r="M97" s="20"/>
      <c r="N97" s="327" t="s">
        <v>257</v>
      </c>
      <c r="O97" s="328"/>
      <c r="P97" s="328"/>
      <c r="Q97" s="329"/>
      <c r="R97" s="80">
        <f>(J43+R93)*(M40+M42)/60</f>
        <v>7.7776081938321706</v>
      </c>
    </row>
    <row r="98" spans="12:21" x14ac:dyDescent="0.25">
      <c r="L98" s="236" t="s">
        <v>565</v>
      </c>
      <c r="M98" s="326"/>
      <c r="N98" s="323" t="s">
        <v>258</v>
      </c>
      <c r="O98" s="324"/>
      <c r="P98" s="324"/>
      <c r="Q98" s="325"/>
      <c r="R98" s="75">
        <f>'Card oven'!B2/5</f>
        <v>399</v>
      </c>
    </row>
    <row r="99" spans="12:21" x14ac:dyDescent="0.25">
      <c r="L99" s="227" t="s">
        <v>205</v>
      </c>
      <c r="M99" s="333">
        <v>0.3</v>
      </c>
      <c r="N99" s="319" t="s">
        <v>259</v>
      </c>
      <c r="O99" s="320"/>
      <c r="P99" s="320"/>
      <c r="Q99" s="321"/>
      <c r="R99" s="76">
        <f>R98/(M99*C7*C8)+J42</f>
        <v>12.548263146711687</v>
      </c>
      <c r="S99" t="s">
        <v>19</v>
      </c>
      <c r="U99" s="9">
        <f>2*C12</f>
        <v>0.15659999999999999</v>
      </c>
    </row>
    <row r="100" spans="12:21" x14ac:dyDescent="0.25">
      <c r="L100" s="17"/>
      <c r="M100" s="18"/>
      <c r="N100" s="319" t="s">
        <v>260</v>
      </c>
      <c r="O100" s="320"/>
      <c r="P100" s="320"/>
      <c r="Q100" s="321"/>
      <c r="R100" s="76">
        <f>R99+U99</f>
        <v>12.704863146711686</v>
      </c>
    </row>
    <row r="101" spans="12:21" x14ac:dyDescent="0.25">
      <c r="L101" s="17"/>
      <c r="M101" s="18"/>
      <c r="N101" s="319"/>
      <c r="O101" s="320"/>
      <c r="P101" s="320"/>
      <c r="Q101" s="321"/>
      <c r="R101" s="77"/>
    </row>
    <row r="102" spans="12:21" x14ac:dyDescent="0.25">
      <c r="L102" s="17"/>
      <c r="M102" s="18"/>
      <c r="N102" s="319" t="s">
        <v>566</v>
      </c>
      <c r="O102" s="320"/>
      <c r="P102" s="320"/>
      <c r="Q102" s="321"/>
      <c r="R102" s="151">
        <f>R100*5/60</f>
        <v>1.0587385955593072</v>
      </c>
    </row>
    <row r="103" spans="12:21" ht="15.75" thickBot="1" x14ac:dyDescent="0.3">
      <c r="L103" s="19"/>
      <c r="M103" s="20"/>
      <c r="N103" s="327"/>
      <c r="O103" s="328"/>
      <c r="P103" s="328"/>
      <c r="Q103" s="329"/>
      <c r="R103" s="80"/>
    </row>
    <row r="118" ht="56.25" customHeight="1" x14ac:dyDescent="0.25"/>
  </sheetData>
  <mergeCells count="96">
    <mergeCell ref="L98:M98"/>
    <mergeCell ref="N96:Q96"/>
    <mergeCell ref="N97:Q97"/>
    <mergeCell ref="N58:Q58"/>
    <mergeCell ref="N98:Q98"/>
    <mergeCell ref="N99:Q99"/>
    <mergeCell ref="N100:Q100"/>
    <mergeCell ref="N101:Q101"/>
    <mergeCell ref="N102:Q102"/>
    <mergeCell ref="N103:Q103"/>
    <mergeCell ref="N57:Q57"/>
    <mergeCell ref="N70:Q70"/>
    <mergeCell ref="N72:Q72"/>
    <mergeCell ref="N71:Q71"/>
    <mergeCell ref="N89:Q89"/>
    <mergeCell ref="N65:Q65"/>
    <mergeCell ref="N64:Q64"/>
    <mergeCell ref="N68:Q68"/>
    <mergeCell ref="N86:Q86"/>
    <mergeCell ref="N85:Q85"/>
    <mergeCell ref="N63:Q63"/>
    <mergeCell ref="N62:Q62"/>
    <mergeCell ref="N61:Q61"/>
    <mergeCell ref="N60:Q60"/>
    <mergeCell ref="N59:Q59"/>
    <mergeCell ref="N73:Q73"/>
    <mergeCell ref="N66:Q66"/>
    <mergeCell ref="N67:Q67"/>
    <mergeCell ref="N69:Q69"/>
    <mergeCell ref="N74:Q74"/>
    <mergeCell ref="N75:Q75"/>
    <mergeCell ref="N76:Q76"/>
    <mergeCell ref="N82:Q82"/>
    <mergeCell ref="N77:Q77"/>
    <mergeCell ref="N78:Q78"/>
    <mergeCell ref="N79:Q79"/>
    <mergeCell ref="N80:Q80"/>
    <mergeCell ref="N81:Q81"/>
    <mergeCell ref="N48:Q48"/>
    <mergeCell ref="N49:Q49"/>
    <mergeCell ref="N52:Q52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7:Q47"/>
    <mergeCell ref="G45:I45"/>
    <mergeCell ref="F41:F42"/>
    <mergeCell ref="F43:F46"/>
    <mergeCell ref="L44:R44"/>
    <mergeCell ref="G46:I46"/>
    <mergeCell ref="N45:Q45"/>
    <mergeCell ref="N46:Q46"/>
    <mergeCell ref="N50:Q50"/>
    <mergeCell ref="N51:Q51"/>
    <mergeCell ref="N53:Q53"/>
    <mergeCell ref="N54:Q54"/>
    <mergeCell ref="N55:Q55"/>
    <mergeCell ref="N56:Q56"/>
    <mergeCell ref="L80:M80"/>
    <mergeCell ref="L81:M81"/>
    <mergeCell ref="L82:M82"/>
    <mergeCell ref="L83:M83"/>
    <mergeCell ref="L3:M3"/>
    <mergeCell ref="L19:M19"/>
    <mergeCell ref="L73:M73"/>
    <mergeCell ref="L60:M60"/>
    <mergeCell ref="L46:M46"/>
    <mergeCell ref="L59:M59"/>
    <mergeCell ref="L74:M74"/>
    <mergeCell ref="L76:M76"/>
    <mergeCell ref="L77:M77"/>
    <mergeCell ref="L78:M78"/>
    <mergeCell ref="L79:M79"/>
    <mergeCell ref="N83:Q83"/>
    <mergeCell ref="N84:Q84"/>
    <mergeCell ref="L92:M92"/>
    <mergeCell ref="N92:Q92"/>
    <mergeCell ref="N93:Q93"/>
    <mergeCell ref="N91:Q91"/>
    <mergeCell ref="N90:Q90"/>
    <mergeCell ref="N94:Q94"/>
    <mergeCell ref="N95:Q95"/>
    <mergeCell ref="L85:M85"/>
    <mergeCell ref="N87:Q87"/>
    <mergeCell ref="N88:Q8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sqref="A1:C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5" t="s">
        <v>25</v>
      </c>
      <c r="B1" s="176" t="s">
        <v>432</v>
      </c>
      <c r="C1" s="166" t="s">
        <v>184</v>
      </c>
    </row>
    <row r="2" spans="1:3" x14ac:dyDescent="0.25">
      <c r="A2" s="163" t="s">
        <v>430</v>
      </c>
      <c r="B2" s="167">
        <v>15000</v>
      </c>
      <c r="C2" s="164" t="s">
        <v>428</v>
      </c>
    </row>
    <row r="3" spans="1:3" ht="15.75" thickBot="1" x14ac:dyDescent="0.3">
      <c r="A3" s="161" t="s">
        <v>431</v>
      </c>
      <c r="B3" s="150">
        <v>10000</v>
      </c>
      <c r="C3" s="162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195A-5936-42C1-AAC9-BE383BEB0660}">
  <dimension ref="A1:C3"/>
  <sheetViews>
    <sheetView workbookViewId="0">
      <selection activeCell="C12" sqref="C12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5703125" bestFit="1" customWidth="1"/>
  </cols>
  <sheetData>
    <row r="1" spans="1:3" ht="15.75" thickBot="1" x14ac:dyDescent="0.3">
      <c r="A1" s="165" t="s">
        <v>25</v>
      </c>
      <c r="B1" s="231" t="s">
        <v>432</v>
      </c>
      <c r="C1" s="232" t="s">
        <v>184</v>
      </c>
    </row>
    <row r="2" spans="1:3" x14ac:dyDescent="0.25">
      <c r="A2" s="163" t="s">
        <v>563</v>
      </c>
      <c r="B2" s="167">
        <v>1995</v>
      </c>
      <c r="C2" s="164" t="s">
        <v>562</v>
      </c>
    </row>
    <row r="3" spans="1:3" ht="15.75" thickBot="1" x14ac:dyDescent="0.3">
      <c r="A3" s="161"/>
      <c r="B3" s="150">
        <v>3315</v>
      </c>
      <c r="C3" s="16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282" t="s">
        <v>184</v>
      </c>
      <c r="B1" s="165" t="s">
        <v>25</v>
      </c>
      <c r="C1" s="289" t="s">
        <v>184</v>
      </c>
      <c r="D1" s="289"/>
      <c r="E1" s="289"/>
      <c r="F1" s="290"/>
    </row>
    <row r="2" spans="1:8" x14ac:dyDescent="0.25">
      <c r="A2" s="283"/>
      <c r="B2" s="158" t="s">
        <v>133</v>
      </c>
      <c r="C2" s="291" t="s">
        <v>96</v>
      </c>
      <c r="D2" s="291"/>
      <c r="E2" s="291"/>
      <c r="F2" s="292"/>
    </row>
    <row r="3" spans="1:8" x14ac:dyDescent="0.25">
      <c r="A3" s="283"/>
      <c r="B3" s="159" t="s">
        <v>134</v>
      </c>
      <c r="C3" s="293" t="s">
        <v>527</v>
      </c>
      <c r="D3" s="293"/>
      <c r="E3" s="293"/>
      <c r="F3" s="294"/>
    </row>
    <row r="4" spans="1:8" ht="15.75" thickBot="1" x14ac:dyDescent="0.3">
      <c r="A4" s="284"/>
      <c r="B4" s="161" t="s">
        <v>137</v>
      </c>
      <c r="C4" s="295" t="s">
        <v>136</v>
      </c>
      <c r="D4" s="295"/>
      <c r="E4" s="295"/>
      <c r="F4" s="296"/>
    </row>
    <row r="6" spans="1:8" ht="15.75" thickBot="1" x14ac:dyDescent="0.3"/>
    <row r="7" spans="1:8" ht="15.75" thickBot="1" x14ac:dyDescent="0.3">
      <c r="A7" s="285" t="s">
        <v>284</v>
      </c>
      <c r="B7" s="165" t="s">
        <v>489</v>
      </c>
      <c r="C7" s="176" t="s">
        <v>490</v>
      </c>
      <c r="D7" s="176" t="s">
        <v>491</v>
      </c>
      <c r="E7" s="176" t="s">
        <v>492</v>
      </c>
      <c r="F7" s="176" t="s">
        <v>232</v>
      </c>
      <c r="G7" s="176" t="s">
        <v>440</v>
      </c>
      <c r="H7" s="166" t="s">
        <v>231</v>
      </c>
    </row>
    <row r="8" spans="1:8" x14ac:dyDescent="0.25">
      <c r="A8" s="286"/>
      <c r="B8" s="163" t="s">
        <v>135</v>
      </c>
      <c r="C8" s="167">
        <v>1627</v>
      </c>
      <c r="D8" s="167">
        <v>21161</v>
      </c>
      <c r="E8" s="167">
        <f>D8*Summary!$C$10</f>
        <v>20102.95</v>
      </c>
      <c r="F8" s="168">
        <v>4.5</v>
      </c>
      <c r="G8" s="169">
        <f>D8*(1-Summary!$C$10)*F8</f>
        <v>4761.225000000004</v>
      </c>
      <c r="H8" s="153">
        <f>E8*Summary!$C$10/$C$22</f>
        <v>12.595833333333333</v>
      </c>
    </row>
    <row r="9" spans="1:8" x14ac:dyDescent="0.25">
      <c r="A9" s="286"/>
      <c r="B9" s="159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3">
        <f>E9*Summary!$C$10/$C$22</f>
        <v>24.191071428571426</v>
      </c>
    </row>
    <row r="10" spans="1:8" x14ac:dyDescent="0.25">
      <c r="A10" s="286"/>
      <c r="B10" s="159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3">
        <f>E10*Summary!$C$10/$C$22</f>
        <v>30.467857142857142</v>
      </c>
    </row>
    <row r="11" spans="1:8" ht="15.75" thickBot="1" x14ac:dyDescent="0.3">
      <c r="A11" s="287"/>
      <c r="B11" s="161" t="s">
        <v>209</v>
      </c>
      <c r="C11" s="150">
        <v>4187</v>
      </c>
      <c r="D11" s="150">
        <v>71259</v>
      </c>
      <c r="E11" s="177">
        <f>D11*Summary!$C$10</f>
        <v>67696.05</v>
      </c>
      <c r="F11" s="178">
        <v>0.6</v>
      </c>
      <c r="G11" s="179">
        <f>D11*(1-Summary!$C$10)*F11</f>
        <v>2137.7700000000018</v>
      </c>
      <c r="H11" s="153">
        <f>E11*Summary!$C$10/$C$22</f>
        <v>42.416071428571428</v>
      </c>
    </row>
    <row r="12" spans="1:8" ht="15.75" thickBot="1" x14ac:dyDescent="0.3">
      <c r="E12" s="165" t="s">
        <v>224</v>
      </c>
      <c r="F12" s="173">
        <f>SUM(F11+F9+F8)</f>
        <v>6.1</v>
      </c>
      <c r="G12" s="180">
        <f>G11+G9+G8+G10</f>
        <v>11490.34500000001</v>
      </c>
    </row>
    <row r="14" spans="1:8" ht="15.75" thickBot="1" x14ac:dyDescent="0.3">
      <c r="A14" s="181"/>
    </row>
    <row r="15" spans="1:8" ht="15.75" customHeight="1" thickBot="1" x14ac:dyDescent="0.3">
      <c r="A15" s="278" t="s">
        <v>493</v>
      </c>
      <c r="B15" s="165" t="s">
        <v>16</v>
      </c>
      <c r="C15" s="166" t="s">
        <v>42</v>
      </c>
    </row>
    <row r="16" spans="1:8" x14ac:dyDescent="0.25">
      <c r="A16" s="288"/>
      <c r="B16" s="184" t="s">
        <v>138</v>
      </c>
      <c r="C16" s="185">
        <v>365</v>
      </c>
    </row>
    <row r="17" spans="1:12" x14ac:dyDescent="0.25">
      <c r="A17" s="288"/>
      <c r="B17" s="99" t="s">
        <v>139</v>
      </c>
      <c r="C17" s="139">
        <v>104</v>
      </c>
    </row>
    <row r="18" spans="1:12" x14ac:dyDescent="0.25">
      <c r="A18" s="288"/>
      <c r="B18" s="99" t="s">
        <v>140</v>
      </c>
      <c r="C18" s="139">
        <v>8</v>
      </c>
    </row>
    <row r="19" spans="1:12" x14ac:dyDescent="0.25">
      <c r="A19" s="288"/>
      <c r="B19" s="99" t="s">
        <v>141</v>
      </c>
      <c r="C19" s="139">
        <v>25</v>
      </c>
    </row>
    <row r="20" spans="1:12" x14ac:dyDescent="0.25">
      <c r="A20" s="288"/>
      <c r="B20" s="99" t="s">
        <v>142</v>
      </c>
      <c r="C20" s="139">
        <f>C16-C17-C18-C19</f>
        <v>228</v>
      </c>
    </row>
    <row r="21" spans="1:12" x14ac:dyDescent="0.25">
      <c r="A21" s="288"/>
      <c r="B21" s="99" t="s">
        <v>143</v>
      </c>
      <c r="C21" s="63">
        <f>C20/5</f>
        <v>45.6</v>
      </c>
    </row>
    <row r="22" spans="1:12" ht="15.75" thickBot="1" x14ac:dyDescent="0.3">
      <c r="A22" s="279"/>
      <c r="B22" s="100" t="s">
        <v>439</v>
      </c>
      <c r="C22" s="71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278" t="s">
        <v>495</v>
      </c>
      <c r="B26" s="170"/>
      <c r="C26" s="176" t="s">
        <v>225</v>
      </c>
      <c r="D26" s="176" t="s">
        <v>226</v>
      </c>
      <c r="E26" s="176" t="s">
        <v>364</v>
      </c>
      <c r="F26" s="176" t="s">
        <v>365</v>
      </c>
      <c r="G26" s="176" t="s">
        <v>363</v>
      </c>
      <c r="H26" s="176" t="s">
        <v>227</v>
      </c>
      <c r="I26" s="176" t="s">
        <v>228</v>
      </c>
      <c r="J26" s="176" t="s">
        <v>29</v>
      </c>
      <c r="K26" s="193" t="s">
        <v>22</v>
      </c>
      <c r="L26" s="194" t="s">
        <v>230</v>
      </c>
    </row>
    <row r="27" spans="1:12" x14ac:dyDescent="0.25">
      <c r="A27" s="288"/>
      <c r="B27" s="195" t="s">
        <v>135</v>
      </c>
      <c r="C27" s="184">
        <v>0.85</v>
      </c>
      <c r="D27" s="168">
        <v>0.85</v>
      </c>
      <c r="E27" s="168">
        <v>0.3</v>
      </c>
      <c r="F27" s="168">
        <v>0.85</v>
      </c>
      <c r="G27" s="168">
        <v>0.47</v>
      </c>
      <c r="H27" s="168"/>
      <c r="I27" s="168">
        <v>0.65</v>
      </c>
      <c r="J27" s="168">
        <v>0.41</v>
      </c>
      <c r="K27" s="191">
        <v>0.12</v>
      </c>
      <c r="L27" s="192">
        <f>SUM(C27:K27)</f>
        <v>4.5</v>
      </c>
    </row>
    <row r="28" spans="1:12" x14ac:dyDescent="0.25">
      <c r="A28" s="288"/>
      <c r="B28" s="196" t="s">
        <v>208</v>
      </c>
      <c r="C28" s="99"/>
      <c r="D28" s="26"/>
      <c r="E28" s="26"/>
      <c r="F28" s="26"/>
      <c r="G28" s="26"/>
      <c r="H28" s="26"/>
      <c r="I28" s="26">
        <v>0.5</v>
      </c>
      <c r="J28" s="26">
        <v>0.5</v>
      </c>
      <c r="K28" s="187"/>
      <c r="L28" s="189">
        <f t="shared" ref="L28:L31" si="0">SUM(C28:K28)</f>
        <v>1</v>
      </c>
    </row>
    <row r="29" spans="1:12" x14ac:dyDescent="0.25">
      <c r="A29" s="288"/>
      <c r="B29" s="196" t="s">
        <v>436</v>
      </c>
      <c r="C29" s="99"/>
      <c r="D29" s="26"/>
      <c r="E29" s="26"/>
      <c r="F29" s="26"/>
      <c r="G29" s="26"/>
      <c r="H29" s="26">
        <v>0.85</v>
      </c>
      <c r="I29" s="26"/>
      <c r="J29" s="26">
        <v>0.05</v>
      </c>
      <c r="K29" s="187">
        <v>0.1</v>
      </c>
      <c r="L29" s="189">
        <f t="shared" si="0"/>
        <v>1</v>
      </c>
    </row>
    <row r="30" spans="1:12" x14ac:dyDescent="0.25">
      <c r="A30" s="288"/>
      <c r="B30" s="196" t="s">
        <v>209</v>
      </c>
      <c r="C30" s="99"/>
      <c r="D30" s="26"/>
      <c r="E30" s="26"/>
      <c r="F30" s="26"/>
      <c r="G30" s="26"/>
      <c r="H30" s="26"/>
      <c r="I30" s="26">
        <v>0.35</v>
      </c>
      <c r="J30" s="26">
        <v>0.15</v>
      </c>
      <c r="K30" s="187">
        <v>0.1</v>
      </c>
      <c r="L30" s="189">
        <f t="shared" si="0"/>
        <v>0.6</v>
      </c>
    </row>
    <row r="31" spans="1:12" x14ac:dyDescent="0.25">
      <c r="A31" s="288"/>
      <c r="B31" s="196" t="s">
        <v>496</v>
      </c>
      <c r="C31" s="99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7">
        <f t="shared" si="1"/>
        <v>485.18400000000003</v>
      </c>
      <c r="L31" s="189">
        <f t="shared" si="0"/>
        <v>10765.019999999999</v>
      </c>
    </row>
    <row r="32" spans="1:12" x14ac:dyDescent="0.25">
      <c r="A32" s="288"/>
      <c r="B32" s="196" t="s">
        <v>497</v>
      </c>
      <c r="C32" s="99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7">
        <f>0.06*Summary!C7*Summary!C8*5</f>
        <v>478.8</v>
      </c>
      <c r="L32" s="189">
        <f>SUM(C32:K32)-E32+E33</f>
        <v>10709.159999999998</v>
      </c>
    </row>
    <row r="33" spans="1:12" ht="15.75" thickBot="1" x14ac:dyDescent="0.3">
      <c r="A33" s="279"/>
      <c r="B33" s="197"/>
      <c r="C33" s="100"/>
      <c r="D33" s="60" t="s">
        <v>479</v>
      </c>
      <c r="E33" s="60">
        <f>E32*0.4</f>
        <v>446.88000000000005</v>
      </c>
      <c r="F33" s="60"/>
      <c r="G33" s="60"/>
      <c r="H33" s="60"/>
      <c r="I33" s="60"/>
      <c r="J33" s="60"/>
      <c r="K33" s="188"/>
      <c r="L33" s="190"/>
    </row>
    <row r="35" spans="1:12" ht="15.75" thickBot="1" x14ac:dyDescent="0.3"/>
    <row r="36" spans="1:12" ht="29.25" customHeight="1" x14ac:dyDescent="0.25">
      <c r="A36" s="278" t="s">
        <v>494</v>
      </c>
      <c r="B36" s="270" t="s">
        <v>235</v>
      </c>
      <c r="C36" s="280">
        <f>SUMPRODUCT(E8:E11*K27:K30)</f>
        <v>14044.629000000001</v>
      </c>
    </row>
    <row r="37" spans="1:12" ht="15.75" thickBot="1" x14ac:dyDescent="0.3">
      <c r="A37" s="279"/>
      <c r="B37" s="254"/>
      <c r="C37" s="281"/>
    </row>
    <row r="38" spans="1:12" x14ac:dyDescent="0.25">
      <c r="A38" s="186"/>
      <c r="C38" s="5"/>
    </row>
    <row r="39" spans="1:12" x14ac:dyDescent="0.25">
      <c r="A39" s="186"/>
    </row>
    <row r="40" spans="1:12" x14ac:dyDescent="0.25">
      <c r="A40" s="186"/>
    </row>
    <row r="41" spans="1:12" x14ac:dyDescent="0.25">
      <c r="A41" s="186"/>
    </row>
    <row r="42" spans="1:12" x14ac:dyDescent="0.25">
      <c r="A42" s="186"/>
    </row>
    <row r="43" spans="1:12" x14ac:dyDescent="0.25">
      <c r="A43" s="186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297" t="s">
        <v>19</v>
      </c>
      <c r="B1" s="298"/>
      <c r="C1" s="298"/>
      <c r="D1" s="299"/>
    </row>
    <row r="2" spans="1:4" x14ac:dyDescent="0.25">
      <c r="A2" s="303" t="s">
        <v>501</v>
      </c>
      <c r="B2" s="307" t="s">
        <v>144</v>
      </c>
      <c r="C2" s="308"/>
      <c r="D2" s="309"/>
    </row>
    <row r="3" spans="1:4" x14ac:dyDescent="0.25">
      <c r="A3" s="304"/>
      <c r="B3" s="310" t="s">
        <v>242</v>
      </c>
      <c r="C3" s="311"/>
      <c r="D3" s="312"/>
    </row>
    <row r="4" spans="1:4" x14ac:dyDescent="0.25">
      <c r="A4" s="304"/>
      <c r="B4" s="310" t="s">
        <v>243</v>
      </c>
      <c r="C4" s="311"/>
      <c r="D4" s="312"/>
    </row>
    <row r="5" spans="1:4" x14ac:dyDescent="0.25">
      <c r="A5" s="198" t="s">
        <v>504</v>
      </c>
      <c r="B5" s="244">
        <v>38.64</v>
      </c>
      <c r="C5" s="245"/>
      <c r="D5" s="305"/>
    </row>
    <row r="6" spans="1:4" x14ac:dyDescent="0.25">
      <c r="A6" s="198" t="s">
        <v>502</v>
      </c>
      <c r="B6" s="244">
        <f>(24*2 + 7.5)*0.8+16+14</f>
        <v>74.400000000000006</v>
      </c>
      <c r="C6" s="245"/>
      <c r="D6" s="305"/>
    </row>
    <row r="7" spans="1:4" x14ac:dyDescent="0.25">
      <c r="A7" s="198" t="s">
        <v>503</v>
      </c>
      <c r="B7" s="244">
        <f>B6*B5</f>
        <v>2874.8160000000003</v>
      </c>
      <c r="C7" s="245"/>
      <c r="D7" s="305"/>
    </row>
    <row r="8" spans="1:4" ht="15.75" thickBot="1" x14ac:dyDescent="0.3">
      <c r="A8" s="199" t="s">
        <v>505</v>
      </c>
      <c r="B8" s="254">
        <v>7.8299999999999995E-2</v>
      </c>
      <c r="C8" s="255"/>
      <c r="D8" s="306"/>
    </row>
    <row r="9" spans="1:4" ht="15.75" thickBot="1" x14ac:dyDescent="0.3"/>
    <row r="10" spans="1:4" ht="15.75" thickBot="1" x14ac:dyDescent="0.3">
      <c r="A10" s="300" t="s">
        <v>500</v>
      </c>
      <c r="B10" s="301"/>
      <c r="C10" s="301"/>
      <c r="D10" s="302"/>
    </row>
    <row r="11" spans="1:4" x14ac:dyDescent="0.25">
      <c r="A11" s="163"/>
      <c r="B11" s="168" t="s">
        <v>498</v>
      </c>
      <c r="C11" s="168" t="s">
        <v>499</v>
      </c>
      <c r="D11" s="185" t="s">
        <v>184</v>
      </c>
    </row>
    <row r="12" spans="1:4" ht="18" thickBot="1" x14ac:dyDescent="0.3">
      <c r="A12" s="200" t="s">
        <v>506</v>
      </c>
      <c r="B12" s="150">
        <v>3.07</v>
      </c>
      <c r="C12" s="150">
        <f>B12*(1-Summary!C15)</f>
        <v>2.456</v>
      </c>
      <c r="D12" s="162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4" t="s">
        <v>25</v>
      </c>
      <c r="B1" s="207" t="s">
        <v>173</v>
      </c>
      <c r="C1" s="176" t="s">
        <v>508</v>
      </c>
      <c r="D1" s="176" t="s">
        <v>507</v>
      </c>
      <c r="E1" s="176" t="s">
        <v>509</v>
      </c>
      <c r="F1" s="166" t="s">
        <v>184</v>
      </c>
    </row>
    <row r="2" spans="1:6" ht="30" x14ac:dyDescent="0.25">
      <c r="A2" s="208" t="s">
        <v>110</v>
      </c>
      <c r="B2" s="184" t="s">
        <v>107</v>
      </c>
      <c r="C2" s="168"/>
      <c r="D2" s="204">
        <v>153</v>
      </c>
      <c r="E2" s="205">
        <f>D2*(1-Summary!$C$15)</f>
        <v>122.4</v>
      </c>
      <c r="F2" s="211" t="s">
        <v>106</v>
      </c>
    </row>
    <row r="3" spans="1:6" ht="30" x14ac:dyDescent="0.25">
      <c r="A3" s="209" t="s">
        <v>108</v>
      </c>
      <c r="B3" s="99">
        <v>0.01</v>
      </c>
      <c r="C3" s="26"/>
      <c r="D3" s="201">
        <v>137</v>
      </c>
      <c r="E3" s="81">
        <f>D3*(1-Summary!$C$15)</f>
        <v>109.60000000000001</v>
      </c>
      <c r="F3" s="213" t="s">
        <v>528</v>
      </c>
    </row>
    <row r="4" spans="1:6" ht="30" x14ac:dyDescent="0.25">
      <c r="A4" s="209" t="s">
        <v>31</v>
      </c>
      <c r="B4" s="99">
        <v>0.01</v>
      </c>
      <c r="C4" s="26"/>
      <c r="D4" s="201">
        <v>63</v>
      </c>
      <c r="E4" s="81">
        <f>D4*(1-Summary!$C$15)</f>
        <v>50.400000000000006</v>
      </c>
      <c r="F4" s="213" t="s">
        <v>109</v>
      </c>
    </row>
    <row r="5" spans="1:6" x14ac:dyDescent="0.25">
      <c r="A5" s="209"/>
      <c r="B5" s="99"/>
      <c r="C5" s="26"/>
      <c r="D5" s="26"/>
      <c r="E5" s="81"/>
      <c r="F5" s="212"/>
    </row>
    <row r="6" spans="1:6" ht="30" x14ac:dyDescent="0.25">
      <c r="A6" s="209" t="s">
        <v>113</v>
      </c>
      <c r="B6" s="99"/>
      <c r="C6" s="26"/>
      <c r="D6" s="201">
        <v>203</v>
      </c>
      <c r="E6" s="81">
        <f>D6*(1-Summary!$C$15)</f>
        <v>162.4</v>
      </c>
      <c r="F6" s="213" t="s">
        <v>529</v>
      </c>
    </row>
    <row r="7" spans="1:6" ht="30" x14ac:dyDescent="0.25">
      <c r="A7" s="209" t="s">
        <v>112</v>
      </c>
      <c r="B7" s="99"/>
      <c r="C7" s="26"/>
      <c r="D7" s="201">
        <v>96</v>
      </c>
      <c r="E7" s="81">
        <f>D7*(1-Summary!$C$15)</f>
        <v>76.800000000000011</v>
      </c>
      <c r="F7" s="213" t="s">
        <v>111</v>
      </c>
    </row>
    <row r="8" spans="1:6" x14ac:dyDescent="0.25">
      <c r="A8" s="209"/>
      <c r="B8" s="99"/>
      <c r="C8" s="26"/>
      <c r="D8" s="26"/>
      <c r="E8" s="81"/>
      <c r="F8" s="212"/>
    </row>
    <row r="9" spans="1:6" ht="30" x14ac:dyDescent="0.25">
      <c r="A9" s="209" t="s">
        <v>114</v>
      </c>
      <c r="B9" s="99"/>
      <c r="C9" s="26"/>
      <c r="D9" s="201">
        <v>282</v>
      </c>
      <c r="E9" s="81">
        <f>D9*(1-Summary!$C$15)</f>
        <v>225.60000000000002</v>
      </c>
      <c r="F9" s="213" t="s">
        <v>115</v>
      </c>
    </row>
    <row r="10" spans="1:6" ht="30" x14ac:dyDescent="0.25">
      <c r="A10" s="209" t="s">
        <v>117</v>
      </c>
      <c r="B10" s="99"/>
      <c r="C10" s="26"/>
      <c r="D10" s="201">
        <v>471</v>
      </c>
      <c r="E10" s="81">
        <f>D10*(1-Summary!$C$15)</f>
        <v>376.8</v>
      </c>
      <c r="F10" s="213" t="s">
        <v>530</v>
      </c>
    </row>
    <row r="11" spans="1:6" ht="30" x14ac:dyDescent="0.25">
      <c r="A11" s="209" t="s">
        <v>118</v>
      </c>
      <c r="B11" s="99"/>
      <c r="C11" s="26"/>
      <c r="D11" s="201">
        <v>3630</v>
      </c>
      <c r="E11" s="81">
        <f>D11*(1-Summary!$C$15)</f>
        <v>2904</v>
      </c>
      <c r="F11" s="213" t="s">
        <v>116</v>
      </c>
    </row>
    <row r="12" spans="1:6" x14ac:dyDescent="0.25">
      <c r="A12" s="209"/>
      <c r="B12" s="99"/>
      <c r="C12" s="26"/>
      <c r="D12" s="26"/>
      <c r="E12" s="81"/>
      <c r="F12" s="212"/>
    </row>
    <row r="13" spans="1:6" ht="30" x14ac:dyDescent="0.25">
      <c r="A13" s="313" t="s">
        <v>119</v>
      </c>
      <c r="B13" s="99" t="s">
        <v>120</v>
      </c>
      <c r="C13" s="26"/>
      <c r="D13" s="201">
        <v>1483</v>
      </c>
      <c r="E13" s="81">
        <f>D13*(1-Summary!$C$15)</f>
        <v>1186.4000000000001</v>
      </c>
      <c r="F13" s="213" t="s">
        <v>531</v>
      </c>
    </row>
    <row r="14" spans="1:6" ht="30" x14ac:dyDescent="0.25">
      <c r="A14" s="314"/>
      <c r="B14" s="99" t="s">
        <v>122</v>
      </c>
      <c r="C14" s="26"/>
      <c r="D14" s="201">
        <v>1233</v>
      </c>
      <c r="E14" s="81">
        <f>D14*(1-Summary!$C$15)</f>
        <v>986.40000000000009</v>
      </c>
      <c r="F14" s="213" t="s">
        <v>121</v>
      </c>
    </row>
    <row r="15" spans="1:6" ht="30" x14ac:dyDescent="0.25">
      <c r="A15" s="314"/>
      <c r="B15" s="99" t="s">
        <v>124</v>
      </c>
      <c r="C15" s="26"/>
      <c r="D15" s="201">
        <v>151</v>
      </c>
      <c r="E15" s="81">
        <f>D15*(1-Summary!$C$15)</f>
        <v>120.80000000000001</v>
      </c>
      <c r="F15" s="213" t="s">
        <v>123</v>
      </c>
    </row>
    <row r="16" spans="1:6" ht="30" x14ac:dyDescent="0.25">
      <c r="A16" s="315"/>
      <c r="B16" s="99" t="s">
        <v>126</v>
      </c>
      <c r="C16" s="26"/>
      <c r="D16" s="201">
        <v>168</v>
      </c>
      <c r="E16" s="81">
        <f>D16*(1-Summary!$C$15)</f>
        <v>134.4</v>
      </c>
      <c r="F16" s="213" t="s">
        <v>125</v>
      </c>
    </row>
    <row r="17" spans="1:6" ht="30" x14ac:dyDescent="0.25">
      <c r="A17" s="313" t="s">
        <v>30</v>
      </c>
      <c r="B17" s="99" t="s">
        <v>128</v>
      </c>
      <c r="C17" s="26"/>
      <c r="D17" s="201">
        <v>1664</v>
      </c>
      <c r="E17" s="81">
        <f>D17*(1-Summary!$C$15)</f>
        <v>1331.2</v>
      </c>
      <c r="F17" s="213" t="s">
        <v>127</v>
      </c>
    </row>
    <row r="18" spans="1:6" ht="30" x14ac:dyDescent="0.25">
      <c r="A18" s="315"/>
      <c r="B18" s="203" t="s">
        <v>176</v>
      </c>
      <c r="C18" s="26"/>
      <c r="D18" s="201">
        <v>720</v>
      </c>
      <c r="E18" s="81">
        <f>D18*(1-Summary!$C$15)</f>
        <v>576</v>
      </c>
      <c r="F18" s="213" t="s">
        <v>177</v>
      </c>
    </row>
    <row r="19" spans="1:6" x14ac:dyDescent="0.25">
      <c r="A19" s="209"/>
      <c r="B19" s="203"/>
      <c r="C19" s="26"/>
      <c r="D19" s="26"/>
      <c r="E19" s="81"/>
      <c r="F19" s="212"/>
    </row>
    <row r="20" spans="1:6" x14ac:dyDescent="0.25">
      <c r="A20" s="209" t="s">
        <v>129</v>
      </c>
      <c r="B20" s="99" t="s">
        <v>131</v>
      </c>
      <c r="C20" s="202">
        <v>340</v>
      </c>
      <c r="D20" s="53">
        <f>Metrology!C20/(Summary!C14)</f>
        <v>279.20803462179629</v>
      </c>
      <c r="E20" s="81">
        <f>D20*(1-Summary!$C$15)</f>
        <v>223.36642769743705</v>
      </c>
      <c r="F20" s="213" t="s">
        <v>130</v>
      </c>
    </row>
    <row r="21" spans="1:6" x14ac:dyDescent="0.25">
      <c r="A21" s="209"/>
      <c r="B21" s="99"/>
      <c r="C21" s="26"/>
      <c r="D21" s="26"/>
      <c r="E21" s="26"/>
      <c r="F21" s="212"/>
    </row>
    <row r="22" spans="1:6" ht="30" x14ac:dyDescent="0.25">
      <c r="A22" s="209" t="s">
        <v>212</v>
      </c>
      <c r="B22" s="99" t="s">
        <v>213</v>
      </c>
      <c r="C22" s="26"/>
      <c r="D22" s="201">
        <v>29667</v>
      </c>
      <c r="E22" s="81">
        <f>D22*(1-Summary!$C$15)</f>
        <v>23733.600000000002</v>
      </c>
      <c r="F22" s="213" t="s">
        <v>533</v>
      </c>
    </row>
    <row r="23" spans="1:6" x14ac:dyDescent="0.25">
      <c r="A23" s="209"/>
      <c r="B23" s="99"/>
      <c r="C23" s="26"/>
      <c r="D23" s="26"/>
      <c r="E23" s="26"/>
      <c r="F23" s="212"/>
    </row>
    <row r="24" spans="1:6" ht="15.75" thickBot="1" x14ac:dyDescent="0.3">
      <c r="A24" s="210" t="s">
        <v>214</v>
      </c>
      <c r="B24" s="100" t="s">
        <v>215</v>
      </c>
      <c r="C24" s="60"/>
      <c r="D24" s="60"/>
      <c r="E24" s="150">
        <v>4625</v>
      </c>
      <c r="F24" s="214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5" t="s">
        <v>510</v>
      </c>
      <c r="B1" s="174" t="s">
        <v>16</v>
      </c>
      <c r="C1" s="174" t="s">
        <v>161</v>
      </c>
      <c r="D1" s="174" t="s">
        <v>498</v>
      </c>
      <c r="E1" s="174" t="s">
        <v>499</v>
      </c>
      <c r="F1" s="175" t="s">
        <v>184</v>
      </c>
    </row>
    <row r="2" spans="1:6" ht="15.75" thickBot="1" x14ac:dyDescent="0.3">
      <c r="A2" s="215"/>
      <c r="B2" s="216"/>
      <c r="C2" s="216"/>
      <c r="D2" s="216"/>
      <c r="E2" s="216"/>
      <c r="F2" s="216"/>
    </row>
    <row r="3" spans="1:6" x14ac:dyDescent="0.25">
      <c r="A3" s="316" t="s">
        <v>511</v>
      </c>
      <c r="B3" s="98" t="s">
        <v>91</v>
      </c>
      <c r="C3" s="56" t="s">
        <v>162</v>
      </c>
      <c r="D3" s="142">
        <v>498</v>
      </c>
      <c r="E3" s="142">
        <f>D3*(1-Summary!$C$15)</f>
        <v>398.40000000000003</v>
      </c>
      <c r="F3" s="182" t="s">
        <v>92</v>
      </c>
    </row>
    <row r="4" spans="1:6" ht="15.75" thickBot="1" x14ac:dyDescent="0.3">
      <c r="A4" s="317"/>
      <c r="B4" s="100" t="s">
        <v>535</v>
      </c>
      <c r="C4" s="60" t="s">
        <v>163</v>
      </c>
      <c r="D4" s="150"/>
      <c r="E4" s="150">
        <v>10.5</v>
      </c>
      <c r="F4" s="162" t="s">
        <v>157</v>
      </c>
    </row>
    <row r="5" spans="1:6" ht="15.75" thickBot="1" x14ac:dyDescent="0.3">
      <c r="A5" s="183"/>
      <c r="D5" s="2"/>
      <c r="E5" s="2"/>
    </row>
    <row r="6" spans="1:6" x14ac:dyDescent="0.25">
      <c r="A6" s="316" t="s">
        <v>512</v>
      </c>
      <c r="B6" s="98" t="s">
        <v>147</v>
      </c>
      <c r="C6" s="56"/>
      <c r="D6" s="142">
        <v>269</v>
      </c>
      <c r="E6" s="142">
        <f>D6*(1-Summary!$C$15)</f>
        <v>215.20000000000002</v>
      </c>
      <c r="F6" s="182" t="s">
        <v>148</v>
      </c>
    </row>
    <row r="7" spans="1:6" x14ac:dyDescent="0.25">
      <c r="A7" s="318"/>
      <c r="B7" s="99" t="s">
        <v>536</v>
      </c>
      <c r="C7" s="26"/>
      <c r="D7" s="27">
        <v>58</v>
      </c>
      <c r="E7" s="27">
        <f>D7*(1-Summary!$C$15)</f>
        <v>46.400000000000006</v>
      </c>
      <c r="F7" s="160" t="s">
        <v>537</v>
      </c>
    </row>
    <row r="8" spans="1:6" x14ac:dyDescent="0.25">
      <c r="A8" s="318"/>
      <c r="B8" s="99" t="s">
        <v>151</v>
      </c>
      <c r="C8" s="26"/>
      <c r="D8" s="27">
        <f>3*37</f>
        <v>111</v>
      </c>
      <c r="E8" s="27">
        <f>D8*(1-Summary!$C$15)</f>
        <v>88.800000000000011</v>
      </c>
      <c r="F8" s="160" t="s">
        <v>538</v>
      </c>
    </row>
    <row r="9" spans="1:6" x14ac:dyDescent="0.25">
      <c r="A9" s="318"/>
      <c r="B9" s="99" t="s">
        <v>167</v>
      </c>
      <c r="C9" s="26"/>
      <c r="D9" s="27"/>
      <c r="E9" s="27">
        <v>21.95</v>
      </c>
      <c r="F9" s="160" t="s">
        <v>168</v>
      </c>
    </row>
    <row r="10" spans="1:6" ht="15.75" thickBot="1" x14ac:dyDescent="0.3">
      <c r="A10" s="317"/>
      <c r="B10" s="100" t="s">
        <v>169</v>
      </c>
      <c r="C10" s="60"/>
      <c r="D10" s="150"/>
      <c r="E10" s="150">
        <v>35.89</v>
      </c>
      <c r="F10" s="162" t="s">
        <v>170</v>
      </c>
    </row>
    <row r="11" spans="1:6" ht="15.75" thickBot="1" x14ac:dyDescent="0.3">
      <c r="A11" s="183"/>
      <c r="D11" s="2"/>
      <c r="E11" s="2"/>
    </row>
    <row r="12" spans="1:6" x14ac:dyDescent="0.25">
      <c r="A12" s="316" t="s">
        <v>513</v>
      </c>
      <c r="B12" s="98" t="s">
        <v>152</v>
      </c>
      <c r="C12" s="56"/>
      <c r="D12" s="142">
        <v>1939</v>
      </c>
      <c r="E12" s="142">
        <f>D12*(1-Summary!$C$15)</f>
        <v>1551.2</v>
      </c>
      <c r="F12" s="182" t="s">
        <v>540</v>
      </c>
    </row>
    <row r="13" spans="1:6" x14ac:dyDescent="0.25">
      <c r="A13" s="318"/>
      <c r="B13" s="99" t="s">
        <v>149</v>
      </c>
      <c r="C13" s="26"/>
      <c r="D13" s="27">
        <v>1909</v>
      </c>
      <c r="E13" s="27">
        <f>D13*(1-Summary!$C$15)</f>
        <v>1527.2</v>
      </c>
      <c r="F13" s="160" t="s">
        <v>539</v>
      </c>
    </row>
    <row r="14" spans="1:6" ht="15.75" thickBot="1" x14ac:dyDescent="0.3">
      <c r="A14" s="317"/>
      <c r="B14" s="100" t="s">
        <v>156</v>
      </c>
      <c r="C14" s="60"/>
      <c r="D14" s="150">
        <v>669</v>
      </c>
      <c r="E14" s="150">
        <f>D14*(1-Summary!$C$15)</f>
        <v>535.20000000000005</v>
      </c>
      <c r="F14" s="162" t="s">
        <v>541</v>
      </c>
    </row>
    <row r="15" spans="1:6" ht="15.75" thickBot="1" x14ac:dyDescent="0.3">
      <c r="A15" s="183"/>
      <c r="D15" s="2"/>
      <c r="E15" s="2"/>
    </row>
    <row r="16" spans="1:6" x14ac:dyDescent="0.25">
      <c r="A16" s="316" t="s">
        <v>514</v>
      </c>
      <c r="B16" s="98" t="s">
        <v>150</v>
      </c>
      <c r="C16" s="56"/>
      <c r="D16" s="142">
        <v>192</v>
      </c>
      <c r="E16" s="142">
        <f>D16*(1-Summary!$C$15)</f>
        <v>153.60000000000002</v>
      </c>
      <c r="F16" s="182" t="s">
        <v>542</v>
      </c>
    </row>
    <row r="17" spans="1:6" x14ac:dyDescent="0.25">
      <c r="A17" s="318"/>
      <c r="B17" s="99" t="s">
        <v>153</v>
      </c>
      <c r="C17" s="26"/>
      <c r="D17" s="27">
        <v>39</v>
      </c>
      <c r="E17" s="27">
        <f>D17*(1-Summary!$C$15)</f>
        <v>31.200000000000003</v>
      </c>
      <c r="F17" s="160" t="s">
        <v>543</v>
      </c>
    </row>
    <row r="18" spans="1:6" x14ac:dyDescent="0.25">
      <c r="A18" s="318"/>
      <c r="B18" s="99" t="s">
        <v>154</v>
      </c>
      <c r="C18" s="26"/>
      <c r="D18" s="27">
        <v>29</v>
      </c>
      <c r="E18" s="27">
        <f>D18*(1-Summary!$C$15)</f>
        <v>23.200000000000003</v>
      </c>
      <c r="F18" s="160" t="s">
        <v>544</v>
      </c>
    </row>
    <row r="19" spans="1:6" ht="15.75" thickBot="1" x14ac:dyDescent="0.3">
      <c r="A19" s="317"/>
      <c r="B19" s="100" t="s">
        <v>155</v>
      </c>
      <c r="C19" s="60"/>
      <c r="D19" s="150">
        <v>239</v>
      </c>
      <c r="E19" s="150">
        <f>D19*(1-Summary!$C$15)</f>
        <v>191.20000000000002</v>
      </c>
      <c r="F19" s="162" t="s">
        <v>545</v>
      </c>
    </row>
    <row r="20" spans="1:6" ht="15.75" thickBot="1" x14ac:dyDescent="0.3">
      <c r="A20" s="183"/>
    </row>
    <row r="21" spans="1:6" ht="15.75" thickBot="1" x14ac:dyDescent="0.3">
      <c r="A21" s="194" t="s">
        <v>515</v>
      </c>
      <c r="B21" s="206" t="s">
        <v>172</v>
      </c>
      <c r="C21" s="171" t="s">
        <v>171</v>
      </c>
      <c r="D21" s="171"/>
      <c r="E21" s="217">
        <v>63</v>
      </c>
      <c r="F21" s="172" t="s">
        <v>546</v>
      </c>
    </row>
    <row r="22" spans="1:6" ht="15.75" thickBot="1" x14ac:dyDescent="0.3">
      <c r="A22" s="183"/>
    </row>
    <row r="23" spans="1:6" x14ac:dyDescent="0.25">
      <c r="A23" s="316" t="s">
        <v>516</v>
      </c>
      <c r="B23" s="98" t="s">
        <v>254</v>
      </c>
      <c r="C23" s="56"/>
      <c r="D23" s="56"/>
      <c r="E23" s="142">
        <v>99.17</v>
      </c>
      <c r="F23" s="182" t="s">
        <v>253</v>
      </c>
    </row>
    <row r="24" spans="1:6" ht="15.75" thickBot="1" x14ac:dyDescent="0.3">
      <c r="A24" s="317"/>
      <c r="B24" s="100" t="s">
        <v>256</v>
      </c>
      <c r="C24" s="60"/>
      <c r="D24" s="60"/>
      <c r="E24" s="150">
        <v>285</v>
      </c>
      <c r="F24" s="162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5" t="s">
        <v>16</v>
      </c>
      <c r="B1" s="176" t="s">
        <v>161</v>
      </c>
      <c r="C1" s="176" t="s">
        <v>517</v>
      </c>
      <c r="D1" s="176" t="s">
        <v>518</v>
      </c>
      <c r="E1" s="166" t="s">
        <v>261</v>
      </c>
    </row>
    <row r="2" spans="1:5" x14ac:dyDescent="0.25">
      <c r="A2" s="163" t="s">
        <v>547</v>
      </c>
      <c r="B2" s="56" t="s">
        <v>549</v>
      </c>
      <c r="C2" s="168"/>
      <c r="D2" s="167">
        <v>302</v>
      </c>
      <c r="E2" s="164" t="s">
        <v>262</v>
      </c>
    </row>
    <row r="3" spans="1:5" x14ac:dyDescent="0.25">
      <c r="A3" s="159" t="s">
        <v>263</v>
      </c>
      <c r="B3" s="26" t="s">
        <v>548</v>
      </c>
      <c r="C3" s="26"/>
      <c r="D3" s="27">
        <v>342</v>
      </c>
      <c r="E3" s="160" t="s">
        <v>262</v>
      </c>
    </row>
    <row r="4" spans="1:5" x14ac:dyDescent="0.25">
      <c r="A4" s="159" t="s">
        <v>525</v>
      </c>
      <c r="B4" s="26" t="s">
        <v>550</v>
      </c>
      <c r="C4" s="26"/>
      <c r="D4" s="27">
        <v>359</v>
      </c>
      <c r="E4" s="160" t="s">
        <v>552</v>
      </c>
    </row>
    <row r="5" spans="1:5" x14ac:dyDescent="0.25">
      <c r="A5" s="159" t="s">
        <v>526</v>
      </c>
      <c r="B5" s="26" t="s">
        <v>551</v>
      </c>
      <c r="C5" s="26"/>
      <c r="D5" s="27">
        <v>542</v>
      </c>
      <c r="E5" s="160" t="s">
        <v>552</v>
      </c>
    </row>
    <row r="6" spans="1:5" x14ac:dyDescent="0.25">
      <c r="A6" s="159" t="s">
        <v>264</v>
      </c>
      <c r="B6" s="26" t="s">
        <v>553</v>
      </c>
      <c r="C6" s="26"/>
      <c r="D6" s="27">
        <v>1085</v>
      </c>
      <c r="E6" s="160" t="s">
        <v>554</v>
      </c>
    </row>
    <row r="7" spans="1:5" x14ac:dyDescent="0.25">
      <c r="A7" s="159" t="s">
        <v>265</v>
      </c>
      <c r="B7" s="26" t="s">
        <v>555</v>
      </c>
      <c r="C7" s="26"/>
      <c r="D7" s="27">
        <v>1874</v>
      </c>
      <c r="E7" s="160" t="s">
        <v>556</v>
      </c>
    </row>
    <row r="8" spans="1:5" x14ac:dyDescent="0.25">
      <c r="A8" s="159" t="s">
        <v>266</v>
      </c>
      <c r="B8" s="26"/>
      <c r="C8" s="26"/>
      <c r="D8" s="27">
        <v>347</v>
      </c>
      <c r="E8" s="160" t="s">
        <v>557</v>
      </c>
    </row>
    <row r="9" spans="1:5" ht="15.75" thickBot="1" x14ac:dyDescent="0.3">
      <c r="A9" s="224" t="s">
        <v>558</v>
      </c>
      <c r="B9" s="60" t="s">
        <v>560</v>
      </c>
      <c r="C9" s="60"/>
      <c r="D9" s="225">
        <v>576</v>
      </c>
      <c r="E9" s="226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5" t="s">
        <v>28</v>
      </c>
      <c r="B1" s="176" t="s">
        <v>25</v>
      </c>
      <c r="C1" s="176" t="s">
        <v>201</v>
      </c>
      <c r="D1" s="176" t="s">
        <v>508</v>
      </c>
      <c r="E1" s="176" t="s">
        <v>519</v>
      </c>
      <c r="F1" s="176" t="s">
        <v>507</v>
      </c>
      <c r="G1" s="176" t="s">
        <v>509</v>
      </c>
      <c r="H1" s="166" t="s">
        <v>184</v>
      </c>
    </row>
    <row r="2" spans="1:8" ht="15.75" thickBot="1" x14ac:dyDescent="0.3"/>
    <row r="3" spans="1:8" x14ac:dyDescent="0.25">
      <c r="A3" s="316" t="s">
        <v>520</v>
      </c>
      <c r="B3" s="98" t="s">
        <v>82</v>
      </c>
      <c r="C3" s="56"/>
      <c r="D3" s="56"/>
      <c r="E3" s="218">
        <v>1295</v>
      </c>
      <c r="F3" s="56"/>
      <c r="G3" s="142">
        <f>E3/Summary!C14</f>
        <v>1063.4541318683123</v>
      </c>
      <c r="H3" s="182" t="s">
        <v>83</v>
      </c>
    </row>
    <row r="4" spans="1:8" x14ac:dyDescent="0.25">
      <c r="A4" s="318"/>
      <c r="B4" s="99" t="s">
        <v>86</v>
      </c>
      <c r="C4" s="26"/>
      <c r="D4" s="26"/>
      <c r="E4" s="202">
        <v>13995</v>
      </c>
      <c r="F4" s="26"/>
      <c r="G4" s="27">
        <f>E4/Summary!C14</f>
        <v>11492.695425094233</v>
      </c>
      <c r="H4" s="160" t="s">
        <v>84</v>
      </c>
    </row>
    <row r="5" spans="1:8" x14ac:dyDescent="0.25">
      <c r="A5" s="318"/>
      <c r="B5" s="99" t="s">
        <v>90</v>
      </c>
      <c r="C5" s="26"/>
      <c r="D5" s="26"/>
      <c r="E5" s="202">
        <v>395</v>
      </c>
      <c r="F5" s="26"/>
      <c r="G5" s="27">
        <f>E5/Summary!C14</f>
        <v>324.37404022238098</v>
      </c>
      <c r="H5" s="160" t="s">
        <v>89</v>
      </c>
    </row>
    <row r="6" spans="1:8" x14ac:dyDescent="0.25">
      <c r="A6" s="318"/>
      <c r="B6" s="99" t="s">
        <v>329</v>
      </c>
      <c r="C6" s="26"/>
      <c r="D6" s="26"/>
      <c r="E6" s="202">
        <v>3795</v>
      </c>
      <c r="F6" s="26"/>
      <c r="G6" s="27">
        <f>E6/Summary!C14</f>
        <v>3116.454386440344</v>
      </c>
      <c r="H6" s="160" t="s">
        <v>328</v>
      </c>
    </row>
    <row r="7" spans="1:8" x14ac:dyDescent="0.25">
      <c r="A7" s="318"/>
      <c r="B7" s="99" t="s">
        <v>358</v>
      </c>
      <c r="C7" s="26"/>
      <c r="D7" s="26"/>
      <c r="E7" s="202"/>
      <c r="F7" s="26"/>
      <c r="G7" s="27">
        <v>119</v>
      </c>
      <c r="H7" s="160" t="s">
        <v>359</v>
      </c>
    </row>
    <row r="8" spans="1:8" x14ac:dyDescent="0.25">
      <c r="A8" s="318"/>
      <c r="B8" s="99" t="s">
        <v>356</v>
      </c>
      <c r="C8" s="26"/>
      <c r="D8" s="26"/>
      <c r="E8" s="202"/>
      <c r="F8" s="26"/>
      <c r="G8" s="27">
        <v>379</v>
      </c>
      <c r="H8" s="160" t="s">
        <v>357</v>
      </c>
    </row>
    <row r="9" spans="1:8" ht="15.75" thickBot="1" x14ac:dyDescent="0.3">
      <c r="A9" s="317"/>
      <c r="B9" s="100" t="s">
        <v>361</v>
      </c>
      <c r="C9" s="60"/>
      <c r="D9" s="60"/>
      <c r="E9" s="219"/>
      <c r="F9" s="60"/>
      <c r="G9" s="150">
        <v>425</v>
      </c>
      <c r="H9" s="162" t="s">
        <v>360</v>
      </c>
    </row>
    <row r="10" spans="1:8" ht="15.75" thickBot="1" x14ac:dyDescent="0.3">
      <c r="A10" s="183"/>
      <c r="G10" s="2"/>
    </row>
    <row r="11" spans="1:8" x14ac:dyDescent="0.25">
      <c r="A11" s="316" t="s">
        <v>521</v>
      </c>
      <c r="B11" s="98" t="s">
        <v>202</v>
      </c>
      <c r="C11" s="56" t="s">
        <v>203</v>
      </c>
      <c r="D11" s="220"/>
      <c r="E11" s="56"/>
      <c r="F11" s="56"/>
      <c r="G11" s="142">
        <v>1079.0999999999999</v>
      </c>
      <c r="H11" s="182" t="s">
        <v>93</v>
      </c>
    </row>
    <row r="12" spans="1:8" ht="15.75" thickBot="1" x14ac:dyDescent="0.3">
      <c r="A12" s="317"/>
      <c r="B12" s="100" t="s">
        <v>202</v>
      </c>
      <c r="C12" s="60" t="s">
        <v>204</v>
      </c>
      <c r="D12" s="221"/>
      <c r="E12" s="60"/>
      <c r="F12" s="150">
        <v>2041.73</v>
      </c>
      <c r="G12" s="150">
        <f>F12*(1-Summary!C15)</f>
        <v>1633.384</v>
      </c>
      <c r="H12" s="162" t="s">
        <v>182</v>
      </c>
    </row>
    <row r="13" spans="1:8" ht="15.75" thickBot="1" x14ac:dyDescent="0.3">
      <c r="A13" s="183"/>
    </row>
    <row r="14" spans="1:8" ht="15.75" thickBot="1" x14ac:dyDescent="0.3">
      <c r="A14" s="194" t="s">
        <v>323</v>
      </c>
      <c r="B14" s="206" t="s">
        <v>321</v>
      </c>
      <c r="C14" s="171" t="s">
        <v>322</v>
      </c>
      <c r="D14" s="171"/>
      <c r="E14" s="171"/>
      <c r="F14" s="171"/>
      <c r="G14" s="217">
        <v>12999</v>
      </c>
      <c r="H14" s="222" t="s">
        <v>320</v>
      </c>
    </row>
    <row r="15" spans="1:8" ht="15.75" thickBot="1" x14ac:dyDescent="0.3">
      <c r="A15" s="183"/>
    </row>
    <row r="16" spans="1:8" x14ac:dyDescent="0.25">
      <c r="A16" s="316" t="s">
        <v>522</v>
      </c>
      <c r="B16" s="98" t="s">
        <v>333</v>
      </c>
      <c r="C16" s="56">
        <v>5</v>
      </c>
      <c r="D16" s="56"/>
      <c r="E16" s="56"/>
      <c r="F16" s="56"/>
      <c r="G16" s="142">
        <v>69.400000000000006</v>
      </c>
      <c r="H16" s="182" t="s">
        <v>332</v>
      </c>
    </row>
    <row r="17" spans="1:8" x14ac:dyDescent="0.25">
      <c r="A17" s="318"/>
      <c r="B17" s="99" t="s">
        <v>335</v>
      </c>
      <c r="C17" s="26">
        <v>1</v>
      </c>
      <c r="D17" s="26"/>
      <c r="E17" s="26"/>
      <c r="F17" s="26"/>
      <c r="G17" s="27">
        <v>1433.25</v>
      </c>
      <c r="H17" s="160" t="s">
        <v>334</v>
      </c>
    </row>
    <row r="18" spans="1:8" x14ac:dyDescent="0.25">
      <c r="A18" s="318"/>
      <c r="B18" s="99" t="s">
        <v>337</v>
      </c>
      <c r="C18" s="26">
        <v>1</v>
      </c>
      <c r="D18" s="26"/>
      <c r="E18" s="26"/>
      <c r="F18" s="26"/>
      <c r="G18" s="27">
        <v>1866.02</v>
      </c>
      <c r="H18" s="160" t="s">
        <v>336</v>
      </c>
    </row>
    <row r="19" spans="1:8" x14ac:dyDescent="0.25">
      <c r="A19" s="318"/>
      <c r="B19" s="99" t="s">
        <v>339</v>
      </c>
      <c r="C19" s="26">
        <v>1</v>
      </c>
      <c r="D19" s="26"/>
      <c r="E19" s="26"/>
      <c r="F19" s="26"/>
      <c r="G19" s="27">
        <v>859.65</v>
      </c>
      <c r="H19" s="160" t="s">
        <v>338</v>
      </c>
    </row>
    <row r="20" spans="1:8" x14ac:dyDescent="0.25">
      <c r="A20" s="318"/>
      <c r="B20" s="99" t="s">
        <v>341</v>
      </c>
      <c r="C20" s="26">
        <v>3</v>
      </c>
      <c r="D20" s="26"/>
      <c r="E20" s="26"/>
      <c r="F20" s="26"/>
      <c r="G20" s="27">
        <v>699.07</v>
      </c>
      <c r="H20" s="160" t="s">
        <v>340</v>
      </c>
    </row>
    <row r="21" spans="1:8" x14ac:dyDescent="0.25">
      <c r="A21" s="318"/>
      <c r="B21" s="99" t="s">
        <v>344</v>
      </c>
      <c r="C21" s="26">
        <v>30</v>
      </c>
      <c r="D21" s="26"/>
      <c r="E21" s="26"/>
      <c r="F21" s="26"/>
      <c r="G21" s="27">
        <v>16.899999999999999</v>
      </c>
      <c r="H21" s="160" t="s">
        <v>345</v>
      </c>
    </row>
    <row r="22" spans="1:8" x14ac:dyDescent="0.25">
      <c r="A22" s="318"/>
      <c r="B22" s="99" t="s">
        <v>270</v>
      </c>
      <c r="C22" s="26"/>
      <c r="D22" s="26"/>
      <c r="E22" s="26"/>
      <c r="F22" s="26"/>
      <c r="G22" s="27">
        <v>1001.67</v>
      </c>
      <c r="H22" s="160" t="s">
        <v>267</v>
      </c>
    </row>
    <row r="23" spans="1:8" x14ac:dyDescent="0.25">
      <c r="A23" s="318"/>
      <c r="B23" s="99" t="s">
        <v>268</v>
      </c>
      <c r="C23" s="26"/>
      <c r="D23" s="26"/>
      <c r="E23" s="26"/>
      <c r="F23" s="26"/>
      <c r="G23" s="27">
        <v>352.31</v>
      </c>
      <c r="H23" s="160" t="s">
        <v>269</v>
      </c>
    </row>
    <row r="24" spans="1:8" ht="15.75" thickBot="1" x14ac:dyDescent="0.3">
      <c r="A24" s="317"/>
      <c r="B24" s="100" t="s">
        <v>331</v>
      </c>
      <c r="C24" s="60" t="s">
        <v>346</v>
      </c>
      <c r="D24" s="60"/>
      <c r="E24" s="60"/>
      <c r="F24" s="60"/>
      <c r="G24" s="150">
        <v>2302.5700000000002</v>
      </c>
      <c r="H24" s="162" t="s">
        <v>330</v>
      </c>
    </row>
    <row r="25" spans="1:8" ht="15.75" thickBot="1" x14ac:dyDescent="0.3">
      <c r="A25" s="183"/>
    </row>
    <row r="26" spans="1:8" x14ac:dyDescent="0.25">
      <c r="A26" s="316" t="s">
        <v>523</v>
      </c>
      <c r="B26" s="98" t="s">
        <v>352</v>
      </c>
      <c r="C26" s="56" t="s">
        <v>353</v>
      </c>
      <c r="D26" s="56"/>
      <c r="E26" s="56"/>
      <c r="F26" s="56"/>
      <c r="G26" s="142">
        <v>3259</v>
      </c>
      <c r="H26" s="182" t="s">
        <v>351</v>
      </c>
    </row>
    <row r="27" spans="1:8" ht="15.75" thickBot="1" x14ac:dyDescent="0.3">
      <c r="A27" s="317"/>
      <c r="B27" s="100" t="s">
        <v>456</v>
      </c>
      <c r="C27" s="60"/>
      <c r="D27" s="60"/>
      <c r="E27" s="60"/>
      <c r="F27" s="60"/>
      <c r="G27" s="150">
        <f>1031.54</f>
        <v>1031.54</v>
      </c>
      <c r="H27" s="162" t="s">
        <v>457</v>
      </c>
    </row>
    <row r="28" spans="1:8" ht="15.75" thickBot="1" x14ac:dyDescent="0.3">
      <c r="A28" s="183"/>
    </row>
    <row r="29" spans="1:8" ht="15.75" thickBot="1" x14ac:dyDescent="0.3">
      <c r="A29" s="194" t="s">
        <v>524</v>
      </c>
      <c r="B29" s="206" t="s">
        <v>354</v>
      </c>
      <c r="C29" s="171"/>
      <c r="D29" s="171"/>
      <c r="E29" s="171"/>
      <c r="F29" s="171"/>
      <c r="G29" s="217">
        <v>1075</v>
      </c>
      <c r="H29" s="222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Card oven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2021-06-02T23:04:17Z</dcterms:modified>
</cp:coreProperties>
</file>