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Centrale\EPSA\Compétition\business presentation\"/>
    </mc:Choice>
  </mc:AlternateContent>
  <xr:revisionPtr revIDLastSave="0" documentId="8_{A97CEDE9-AFDB-4386-8099-340B05F342C5}" xr6:coauthVersionLast="33" xr6:coauthVersionMax="33" xr10:uidLastSave="{00000000-0000-0000-0000-000000000000}"/>
  <bookViews>
    <workbookView xWindow="0" yWindow="0" windowWidth="19180" windowHeight="6890" xr2:uid="{00000000-000D-0000-FFFF-FFFF00000000}"/>
  </bookViews>
  <sheets>
    <sheet name="Feuil1" sheetId="1" r:id="rId1"/>
    <sheet name="Graphique1" sheetId="3" r:id="rId2"/>
    <sheet name="cout fixe" sheetId="2" r:id="rId3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4" i="1" l="1"/>
  <c r="D160" i="1"/>
  <c r="E144" i="1"/>
  <c r="E147" i="1"/>
  <c r="E145" i="1"/>
  <c r="D145" i="1"/>
  <c r="D153" i="1"/>
  <c r="E150" i="1"/>
  <c r="D150" i="1"/>
  <c r="D147" i="1"/>
  <c r="D152" i="1"/>
  <c r="G150" i="1"/>
  <c r="F150" i="1"/>
  <c r="D149" i="1"/>
  <c r="E152" i="1"/>
  <c r="O5" i="1"/>
  <c r="O4" i="1"/>
  <c r="O23" i="1"/>
  <c r="C81" i="1"/>
  <c r="C83" i="1"/>
  <c r="K23" i="1"/>
  <c r="L5" i="1"/>
  <c r="M5" i="1"/>
  <c r="N5" i="1"/>
  <c r="L23" i="1"/>
  <c r="M23" i="1"/>
  <c r="N23" i="1"/>
  <c r="K5" i="1"/>
  <c r="L22" i="1"/>
  <c r="M22" i="1"/>
  <c r="N22" i="1"/>
  <c r="O22" i="1"/>
  <c r="K22" i="1"/>
  <c r="K7" i="1"/>
  <c r="K9" i="1"/>
  <c r="K13" i="1"/>
  <c r="K10" i="1"/>
  <c r="K11" i="1"/>
  <c r="K4" i="1"/>
  <c r="C5" i="1"/>
  <c r="C6" i="1"/>
  <c r="C7" i="1"/>
  <c r="C8" i="1"/>
  <c r="C9" i="1"/>
  <c r="C10" i="1"/>
  <c r="C11" i="1"/>
  <c r="C12" i="1"/>
  <c r="C13" i="1"/>
  <c r="C14" i="1"/>
  <c r="C15" i="1"/>
  <c r="C16" i="1"/>
  <c r="C4" i="1"/>
  <c r="D16" i="1"/>
  <c r="D33" i="1"/>
  <c r="D10" i="1"/>
  <c r="D27" i="1"/>
  <c r="D5" i="1"/>
  <c r="D22" i="1"/>
  <c r="L4" i="1"/>
  <c r="E16" i="1"/>
  <c r="E33" i="1"/>
  <c r="E10" i="1"/>
  <c r="E27" i="1"/>
  <c r="E5" i="1"/>
  <c r="E22" i="1"/>
  <c r="M4" i="1"/>
  <c r="F16" i="1"/>
  <c r="F33" i="1"/>
  <c r="F10" i="1"/>
  <c r="F27" i="1"/>
  <c r="F5" i="1"/>
  <c r="F22" i="1"/>
  <c r="N4" i="1"/>
  <c r="G16" i="1"/>
  <c r="G33" i="1"/>
  <c r="G10" i="1"/>
  <c r="G27" i="1"/>
  <c r="G5" i="1"/>
  <c r="G22" i="1"/>
  <c r="C33" i="1"/>
  <c r="C27" i="1"/>
  <c r="C22" i="1"/>
  <c r="C20" i="1"/>
  <c r="D20" i="1"/>
  <c r="E20" i="1"/>
  <c r="F20" i="1"/>
  <c r="G20" i="1"/>
  <c r="D4" i="1"/>
  <c r="D21" i="1"/>
  <c r="E4" i="1"/>
  <c r="E21" i="1"/>
  <c r="F4" i="1"/>
  <c r="F21" i="1"/>
  <c r="G4" i="1"/>
  <c r="G21" i="1"/>
  <c r="D6" i="1"/>
  <c r="D23" i="1"/>
  <c r="E6" i="1"/>
  <c r="E23" i="1"/>
  <c r="F6" i="1"/>
  <c r="F23" i="1"/>
  <c r="G6" i="1"/>
  <c r="G23" i="1"/>
  <c r="D7" i="1"/>
  <c r="D24" i="1"/>
  <c r="E7" i="1"/>
  <c r="E24" i="1"/>
  <c r="F7" i="1"/>
  <c r="F24" i="1"/>
  <c r="G7" i="1"/>
  <c r="G24" i="1"/>
  <c r="D8" i="1"/>
  <c r="D25" i="1"/>
  <c r="E8" i="1"/>
  <c r="E25" i="1"/>
  <c r="F8" i="1"/>
  <c r="F25" i="1"/>
  <c r="G8" i="1"/>
  <c r="G25" i="1"/>
  <c r="D9" i="1"/>
  <c r="D26" i="1"/>
  <c r="E9" i="1"/>
  <c r="E26" i="1"/>
  <c r="F9" i="1"/>
  <c r="F26" i="1"/>
  <c r="G9" i="1"/>
  <c r="G26" i="1"/>
  <c r="D11" i="1"/>
  <c r="D28" i="1"/>
  <c r="E11" i="1"/>
  <c r="E28" i="1"/>
  <c r="F11" i="1"/>
  <c r="F28" i="1"/>
  <c r="G11" i="1"/>
  <c r="G28" i="1"/>
  <c r="D12" i="1"/>
  <c r="D29" i="1"/>
  <c r="E12" i="1"/>
  <c r="E29" i="1"/>
  <c r="F12" i="1"/>
  <c r="F29" i="1"/>
  <c r="G12" i="1"/>
  <c r="G29" i="1"/>
  <c r="D13" i="1"/>
  <c r="D30" i="1"/>
  <c r="E13" i="1"/>
  <c r="E30" i="1"/>
  <c r="F13" i="1"/>
  <c r="F30" i="1"/>
  <c r="G13" i="1"/>
  <c r="G30" i="1"/>
  <c r="D14" i="1"/>
  <c r="D31" i="1"/>
  <c r="E14" i="1"/>
  <c r="E31" i="1"/>
  <c r="F14" i="1"/>
  <c r="F31" i="1"/>
  <c r="G14" i="1"/>
  <c r="G31" i="1"/>
  <c r="D15" i="1"/>
  <c r="D32" i="1"/>
  <c r="E15" i="1"/>
  <c r="E32" i="1"/>
  <c r="F15" i="1"/>
  <c r="F32" i="1"/>
  <c r="G15" i="1"/>
  <c r="G32" i="1"/>
  <c r="C29" i="1"/>
  <c r="C30" i="1"/>
  <c r="C31" i="1"/>
  <c r="C32" i="1"/>
  <c r="C28" i="1"/>
  <c r="C24" i="1"/>
  <c r="C25" i="1"/>
  <c r="C26" i="1"/>
  <c r="C23" i="1"/>
  <c r="C21" i="1"/>
  <c r="E3" i="1"/>
  <c r="F3" i="1"/>
  <c r="G3" i="1"/>
  <c r="D3" i="1"/>
  <c r="D97" i="1"/>
  <c r="E97" i="1"/>
  <c r="F97" i="1"/>
  <c r="G97" i="1"/>
  <c r="C96" i="1"/>
  <c r="C72" i="1"/>
  <c r="C73" i="1"/>
  <c r="C74" i="1"/>
  <c r="C76" i="1"/>
  <c r="C77" i="1"/>
  <c r="C80" i="1"/>
  <c r="C75" i="1"/>
  <c r="C68" i="1"/>
  <c r="C60" i="1"/>
  <c r="D96" i="1"/>
  <c r="D72" i="1"/>
  <c r="D73" i="1"/>
  <c r="D74" i="1"/>
  <c r="D76" i="1"/>
  <c r="D77" i="1"/>
  <c r="D78" i="1"/>
  <c r="D80" i="1"/>
  <c r="D75" i="1"/>
  <c r="D81" i="1"/>
  <c r="D68" i="1"/>
  <c r="D60" i="1"/>
  <c r="L7" i="1"/>
  <c r="E96" i="1"/>
  <c r="E72" i="1"/>
  <c r="E73" i="1"/>
  <c r="E74" i="1"/>
  <c r="E76" i="1"/>
  <c r="E77" i="1"/>
  <c r="E78" i="1"/>
  <c r="E80" i="1"/>
  <c r="E75" i="1"/>
  <c r="E81" i="1"/>
  <c r="E68" i="1"/>
  <c r="E60" i="1"/>
  <c r="M7" i="1"/>
  <c r="F96" i="1"/>
  <c r="F72" i="1"/>
  <c r="F73" i="1"/>
  <c r="F74" i="1"/>
  <c r="F76" i="1"/>
  <c r="F77" i="1"/>
  <c r="F78" i="1"/>
  <c r="F80" i="1"/>
  <c r="F75" i="1"/>
  <c r="F81" i="1"/>
  <c r="F68" i="1"/>
  <c r="F60" i="1"/>
  <c r="N7" i="1"/>
  <c r="G96" i="1"/>
  <c r="G72" i="1"/>
  <c r="G76" i="1"/>
  <c r="G77" i="1"/>
  <c r="G78" i="1"/>
  <c r="G80" i="1"/>
  <c r="G75" i="1"/>
  <c r="G81" i="1"/>
  <c r="G68" i="1"/>
  <c r="G60" i="1"/>
  <c r="O7" i="1"/>
  <c r="D48" i="1"/>
  <c r="E48" i="1"/>
  <c r="F48" i="1"/>
  <c r="G48" i="1"/>
  <c r="C48" i="1"/>
  <c r="D40" i="1"/>
  <c r="E40" i="1"/>
  <c r="F40" i="1"/>
  <c r="G40" i="1"/>
  <c r="C40" i="1"/>
  <c r="L25" i="1"/>
  <c r="L26" i="1"/>
  <c r="L27" i="1"/>
  <c r="L28" i="1"/>
  <c r="L29" i="1"/>
  <c r="P128" i="1"/>
  <c r="P133" i="1"/>
  <c r="L31" i="1"/>
  <c r="P118" i="1"/>
  <c r="P121" i="1"/>
  <c r="P125" i="1"/>
  <c r="P136" i="1"/>
  <c r="K25" i="1"/>
  <c r="K31" i="1"/>
  <c r="O118" i="1"/>
  <c r="O121" i="1"/>
  <c r="O125" i="1"/>
  <c r="O133" i="1"/>
  <c r="O136" i="1"/>
  <c r="O137" i="1"/>
  <c r="P135" i="1"/>
  <c r="P137" i="1"/>
  <c r="P146" i="1"/>
  <c r="P145" i="1"/>
  <c r="P148" i="1"/>
  <c r="O161" i="1"/>
  <c r="O163" i="1"/>
  <c r="O165" i="1"/>
  <c r="M25" i="1"/>
  <c r="M26" i="1"/>
  <c r="M27" i="1"/>
  <c r="M28" i="1"/>
  <c r="M29" i="1"/>
  <c r="Q128" i="1"/>
  <c r="Q133" i="1"/>
  <c r="M31" i="1"/>
  <c r="Q118" i="1"/>
  <c r="Q121" i="1"/>
  <c r="Q125" i="1"/>
  <c r="Q136" i="1"/>
  <c r="Q135" i="1"/>
  <c r="Q137" i="1"/>
  <c r="Q146" i="1"/>
  <c r="Q145" i="1"/>
  <c r="Q148" i="1"/>
  <c r="P161" i="1"/>
  <c r="P163" i="1"/>
  <c r="P165" i="1"/>
  <c r="N25" i="1"/>
  <c r="N26" i="1"/>
  <c r="N27" i="1"/>
  <c r="N28" i="1"/>
  <c r="N29" i="1"/>
  <c r="R128" i="1"/>
  <c r="R133" i="1"/>
  <c r="N31" i="1"/>
  <c r="R118" i="1"/>
  <c r="R121" i="1"/>
  <c r="R125" i="1"/>
  <c r="R136" i="1"/>
  <c r="R135" i="1"/>
  <c r="R137" i="1"/>
  <c r="R146" i="1"/>
  <c r="R145" i="1"/>
  <c r="R148" i="1"/>
  <c r="Q161" i="1"/>
  <c r="Q163" i="1"/>
  <c r="Q165" i="1"/>
  <c r="O25" i="1"/>
  <c r="O26" i="1"/>
  <c r="O27" i="1"/>
  <c r="O28" i="1"/>
  <c r="O29" i="1"/>
  <c r="S128" i="1"/>
  <c r="S133" i="1"/>
  <c r="O31" i="1"/>
  <c r="S118" i="1"/>
  <c r="S121" i="1"/>
  <c r="S125" i="1"/>
  <c r="S136" i="1"/>
  <c r="S135" i="1"/>
  <c r="S137" i="1"/>
  <c r="S146" i="1"/>
  <c r="S145" i="1"/>
  <c r="S148" i="1"/>
  <c r="R161" i="1"/>
  <c r="R163" i="1"/>
  <c r="R165" i="1"/>
  <c r="O146" i="1"/>
  <c r="O145" i="1"/>
  <c r="O148" i="1"/>
  <c r="N161" i="1"/>
  <c r="N163" i="1"/>
  <c r="N165" i="1"/>
  <c r="L13" i="1"/>
  <c r="F117" i="1"/>
  <c r="F120" i="1"/>
  <c r="F124" i="1"/>
  <c r="L9" i="1"/>
  <c r="L10" i="1"/>
  <c r="L11" i="1"/>
  <c r="F127" i="1"/>
  <c r="F132" i="1"/>
  <c r="F135" i="1"/>
  <c r="E117" i="1"/>
  <c r="E120" i="1"/>
  <c r="E124" i="1"/>
  <c r="E127" i="1"/>
  <c r="E132" i="1"/>
  <c r="E135" i="1"/>
  <c r="E136" i="1"/>
  <c r="F134" i="1"/>
  <c r="F136" i="1"/>
  <c r="F145" i="1"/>
  <c r="F144" i="1"/>
  <c r="F147" i="1"/>
  <c r="E160" i="1"/>
  <c r="E162" i="1"/>
  <c r="E164" i="1"/>
  <c r="M13" i="1"/>
  <c r="G117" i="1"/>
  <c r="G120" i="1"/>
  <c r="G124" i="1"/>
  <c r="M9" i="1"/>
  <c r="M10" i="1"/>
  <c r="M11" i="1"/>
  <c r="G127" i="1"/>
  <c r="G132" i="1"/>
  <c r="G135" i="1"/>
  <c r="G134" i="1"/>
  <c r="G136" i="1"/>
  <c r="G145" i="1"/>
  <c r="G144" i="1"/>
  <c r="G147" i="1"/>
  <c r="F160" i="1"/>
  <c r="F162" i="1"/>
  <c r="F164" i="1"/>
  <c r="N13" i="1"/>
  <c r="H117" i="1"/>
  <c r="H120" i="1"/>
  <c r="H124" i="1"/>
  <c r="N9" i="1"/>
  <c r="N10" i="1"/>
  <c r="N11" i="1"/>
  <c r="H127" i="1"/>
  <c r="H132" i="1"/>
  <c r="H135" i="1"/>
  <c r="H134" i="1"/>
  <c r="H136" i="1"/>
  <c r="H145" i="1"/>
  <c r="H144" i="1"/>
  <c r="H147" i="1"/>
  <c r="G160" i="1"/>
  <c r="G162" i="1"/>
  <c r="G164" i="1"/>
  <c r="O13" i="1"/>
  <c r="I117" i="1"/>
  <c r="I120" i="1"/>
  <c r="I124" i="1"/>
  <c r="O9" i="1"/>
  <c r="O10" i="1"/>
  <c r="O11" i="1"/>
  <c r="I127" i="1"/>
  <c r="I132" i="1"/>
  <c r="I135" i="1"/>
  <c r="I134" i="1"/>
  <c r="I136" i="1"/>
  <c r="I145" i="1"/>
  <c r="I144" i="1"/>
  <c r="I147" i="1"/>
  <c r="H160" i="1"/>
  <c r="H162" i="1"/>
  <c r="H164" i="1"/>
  <c r="D162" i="1"/>
  <c r="O160" i="1"/>
  <c r="P160" i="1"/>
  <c r="Q160" i="1"/>
  <c r="R160" i="1"/>
  <c r="N160" i="1"/>
  <c r="E159" i="1"/>
  <c r="F159" i="1"/>
  <c r="G159" i="1"/>
  <c r="H159" i="1"/>
  <c r="D159" i="1"/>
  <c r="O159" i="1"/>
  <c r="P159" i="1"/>
  <c r="Q159" i="1"/>
  <c r="R159" i="1"/>
  <c r="N159" i="1"/>
  <c r="E158" i="1"/>
  <c r="F158" i="1"/>
  <c r="G158" i="1"/>
  <c r="H158" i="1"/>
  <c r="D158" i="1"/>
  <c r="K26" i="1"/>
  <c r="K27" i="1"/>
  <c r="K29" i="1"/>
  <c r="O152" i="1"/>
  <c r="P152" i="1"/>
  <c r="O151" i="1"/>
  <c r="P151" i="1"/>
  <c r="P150" i="1"/>
  <c r="O153" i="1"/>
  <c r="P153" i="1"/>
  <c r="P154" i="1"/>
  <c r="Q152" i="1"/>
  <c r="Q151" i="1"/>
  <c r="Q150" i="1"/>
  <c r="Q153" i="1"/>
  <c r="Q154" i="1"/>
  <c r="R152" i="1"/>
  <c r="R151" i="1"/>
  <c r="R150" i="1"/>
  <c r="R153" i="1"/>
  <c r="R154" i="1"/>
  <c r="S152" i="1"/>
  <c r="S151" i="1"/>
  <c r="S150" i="1"/>
  <c r="S153" i="1"/>
  <c r="S154" i="1"/>
  <c r="O150" i="1"/>
  <c r="O154" i="1"/>
  <c r="E151" i="1"/>
  <c r="F151" i="1"/>
  <c r="F149" i="1"/>
  <c r="F152" i="1"/>
  <c r="F153" i="1"/>
  <c r="G151" i="1"/>
  <c r="G149" i="1"/>
  <c r="G152" i="1"/>
  <c r="G153" i="1"/>
  <c r="H151" i="1"/>
  <c r="H150" i="1"/>
  <c r="H149" i="1"/>
  <c r="H152" i="1"/>
  <c r="H153" i="1"/>
  <c r="I151" i="1"/>
  <c r="I150" i="1"/>
  <c r="I149" i="1"/>
  <c r="I152" i="1"/>
  <c r="I153" i="1"/>
  <c r="E149" i="1"/>
  <c r="E153" i="1"/>
  <c r="N151" i="1"/>
  <c r="N150" i="1"/>
  <c r="N153" i="1"/>
  <c r="N154" i="1"/>
  <c r="N148" i="1"/>
  <c r="N146" i="1"/>
  <c r="D83" i="1"/>
  <c r="E83" i="1"/>
  <c r="F83" i="1"/>
  <c r="G83" i="1"/>
  <c r="C15" i="2"/>
  <c r="D15" i="2"/>
  <c r="D17" i="2"/>
  <c r="D18" i="2"/>
  <c r="D14" i="2"/>
  <c r="D33" i="2"/>
  <c r="D11" i="2"/>
  <c r="D12" i="2"/>
  <c r="D10" i="2"/>
  <c r="D36" i="2"/>
  <c r="D20" i="2"/>
  <c r="E15" i="2"/>
  <c r="E17" i="2"/>
  <c r="E18" i="2"/>
  <c r="E14" i="2"/>
  <c r="E33" i="2"/>
  <c r="E11" i="2"/>
  <c r="E12" i="2"/>
  <c r="E10" i="2"/>
  <c r="E36" i="2"/>
  <c r="E21" i="2"/>
  <c r="E22" i="2"/>
  <c r="E23" i="2"/>
  <c r="E20" i="2"/>
  <c r="F15" i="2"/>
  <c r="F17" i="2"/>
  <c r="F18" i="2"/>
  <c r="F14" i="2"/>
  <c r="F33" i="2"/>
  <c r="F11" i="2"/>
  <c r="F12" i="2"/>
  <c r="F10" i="2"/>
  <c r="F36" i="2"/>
  <c r="F21" i="2"/>
  <c r="F22" i="2"/>
  <c r="F23" i="2"/>
  <c r="F20" i="2"/>
  <c r="G15" i="2"/>
  <c r="G17" i="2"/>
  <c r="G18" i="2"/>
  <c r="G14" i="2"/>
  <c r="G36" i="2"/>
  <c r="G21" i="2"/>
  <c r="G22" i="2"/>
  <c r="G23" i="2"/>
  <c r="G20" i="2"/>
  <c r="C17" i="2"/>
  <c r="C18" i="2"/>
  <c r="C14" i="2"/>
  <c r="C10" i="2"/>
  <c r="C20" i="2"/>
  <c r="D35" i="2"/>
  <c r="E35" i="2"/>
  <c r="F35" i="2"/>
  <c r="G35" i="2"/>
  <c r="G33" i="2"/>
  <c r="G32" i="2"/>
  <c r="F32" i="2"/>
  <c r="E32" i="2"/>
  <c r="D32" i="2"/>
  <c r="C32" i="2"/>
  <c r="G27" i="2"/>
  <c r="F27" i="2"/>
  <c r="E27" i="2"/>
  <c r="D27" i="2"/>
  <c r="C27" i="2"/>
  <c r="G12" i="2"/>
  <c r="G11" i="2"/>
  <c r="G10" i="2"/>
  <c r="G4" i="2"/>
  <c r="F4" i="2"/>
  <c r="E4" i="2"/>
  <c r="D4" i="2"/>
  <c r="C4" i="2"/>
</calcChain>
</file>

<file path=xl/sharedStrings.xml><?xml version="1.0" encoding="utf-8"?>
<sst xmlns="http://schemas.openxmlformats.org/spreadsheetml/2006/main" count="291" uniqueCount="127">
  <si>
    <t>Y1</t>
  </si>
  <si>
    <t>Y2</t>
  </si>
  <si>
    <t>Y3</t>
  </si>
  <si>
    <t>Y4</t>
  </si>
  <si>
    <t>Y5</t>
  </si>
  <si>
    <t>Number of participant</t>
  </si>
  <si>
    <t>Margin</t>
  </si>
  <si>
    <t>Seminars</t>
  </si>
  <si>
    <t>12 to 14 people</t>
  </si>
  <si>
    <t>15 to 19 people</t>
  </si>
  <si>
    <t>20 to 25 people</t>
  </si>
  <si>
    <t>Statement of income</t>
  </si>
  <si>
    <t>Turnover</t>
  </si>
  <si>
    <t>- Operating expense</t>
  </si>
  <si>
    <t>- Depreciation</t>
  </si>
  <si>
    <t>high</t>
  </si>
  <si>
    <t>low</t>
  </si>
  <si>
    <t>- Financial expense</t>
  </si>
  <si>
    <t>= EBT</t>
  </si>
  <si>
    <t>- Tax</t>
  </si>
  <si>
    <t xml:space="preserve"> = Net income</t>
  </si>
  <si>
    <t>NOPAT</t>
  </si>
  <si>
    <t>Operating Expenses</t>
  </si>
  <si>
    <t>Sales and Marketing</t>
  </si>
  <si>
    <t>Car exhibition</t>
  </si>
  <si>
    <t>Direct marketing</t>
  </si>
  <si>
    <t>Inauguration Day</t>
  </si>
  <si>
    <t>Webmarketing</t>
  </si>
  <si>
    <t>Total Sales and Marketing Expenses  [M]</t>
  </si>
  <si>
    <t>Research and Development</t>
  </si>
  <si>
    <t>Technology licenses</t>
  </si>
  <si>
    <t xml:space="preserve">Patents </t>
  </si>
  <si>
    <t>Brand deposit</t>
  </si>
  <si>
    <t>Other expenses (specify)</t>
  </si>
  <si>
    <t>Total Research and Development Expenses  [N]</t>
  </si>
  <si>
    <t>General and Adminstrative</t>
  </si>
  <si>
    <t>Wages and salaries</t>
  </si>
  <si>
    <t>Electricity</t>
  </si>
  <si>
    <t>Rent</t>
  </si>
  <si>
    <t>Phone + Internet</t>
  </si>
  <si>
    <t>Website</t>
  </si>
  <si>
    <t>Office Insurance</t>
  </si>
  <si>
    <t>Hardware</t>
  </si>
  <si>
    <t>Software</t>
  </si>
  <si>
    <t>Two cars for shows</t>
  </si>
  <si>
    <t>Total General and Adminstrative Expenses  [O]</t>
  </si>
  <si>
    <t>Decomposition of costs</t>
  </si>
  <si>
    <t>Fixed Costs</t>
  </si>
  <si>
    <t>Communication</t>
  </si>
  <si>
    <t>Real Estate</t>
  </si>
  <si>
    <t>Office monthly rental</t>
  </si>
  <si>
    <t>Warehouse monthly rental</t>
  </si>
  <si>
    <t>Wages</t>
  </si>
  <si>
    <t>Annual wages/pers</t>
  </si>
  <si>
    <t>Number of employees to be paid</t>
  </si>
  <si>
    <t>Employee contribution (28%)</t>
  </si>
  <si>
    <t>Employer contribution (54%)</t>
  </si>
  <si>
    <t>Production cost/unit</t>
  </si>
  <si>
    <t>Insurance cost/unit</t>
  </si>
  <si>
    <t>Delivering/unit</t>
  </si>
  <si>
    <t>Software (for a new type of cars)</t>
  </si>
  <si>
    <t>Hardware and website</t>
  </si>
  <si>
    <t>printer</t>
  </si>
  <si>
    <t>website</t>
  </si>
  <si>
    <t>computers</t>
  </si>
  <si>
    <t>Others</t>
  </si>
  <si>
    <t>Office electricity</t>
  </si>
  <si>
    <t>Telephone + Internet</t>
  </si>
  <si>
    <t>Matmut insurance (office + warehouse)</t>
  </si>
  <si>
    <t>= Operating Income</t>
  </si>
  <si>
    <t>Full pension for 3 days (per person)</t>
  </si>
  <si>
    <t>decomposition of cost</t>
  </si>
  <si>
    <t>Circuit rental (circuit, room,insurance)</t>
  </si>
  <si>
    <t>professional pilote</t>
  </si>
  <si>
    <t>security pack</t>
  </si>
  <si>
    <t>staff</t>
  </si>
  <si>
    <t>Circuit and teaching (per seminar)</t>
  </si>
  <si>
    <t>Total Operating Expenses  [P=M+N+O]</t>
  </si>
  <si>
    <t>financial analysis</t>
  </si>
  <si>
    <t>Cash flow statement</t>
  </si>
  <si>
    <t>+</t>
  </si>
  <si>
    <t>Depreciation</t>
  </si>
  <si>
    <t>-</t>
  </si>
  <si>
    <t>Change in Working capital</t>
  </si>
  <si>
    <t>=</t>
  </si>
  <si>
    <t>Cash flow from investing (2)</t>
  </si>
  <si>
    <t>Free Cash flow (3) = (1) - (2)</t>
  </si>
  <si>
    <t>Capital increase</t>
  </si>
  <si>
    <t>Dividends</t>
  </si>
  <si>
    <t>New loan</t>
  </si>
  <si>
    <t>Loan repayment</t>
  </si>
  <si>
    <t>Interest charge</t>
  </si>
  <si>
    <t>Tax shield on interest charge</t>
  </si>
  <si>
    <t>Cash flow from financing (4)</t>
  </si>
  <si>
    <t>Cash beginning of year</t>
  </si>
  <si>
    <t>Change in cash position (3) + (4)</t>
  </si>
  <si>
    <t>Cash end of year</t>
  </si>
  <si>
    <t xml:space="preserve">Balance sheet </t>
  </si>
  <si>
    <t>Beginning</t>
  </si>
  <si>
    <t>End Y1</t>
  </si>
  <si>
    <t>End Y2</t>
  </si>
  <si>
    <t>End Y3</t>
  </si>
  <si>
    <t>End Y4</t>
  </si>
  <si>
    <t>End Y5</t>
  </si>
  <si>
    <t>Fixed assets (net)</t>
  </si>
  <si>
    <t>Working capital</t>
  </si>
  <si>
    <t>Cash</t>
  </si>
  <si>
    <t>Capital employed</t>
  </si>
  <si>
    <t>Equity</t>
  </si>
  <si>
    <t>Initial share capital</t>
  </si>
  <si>
    <t>Retained earnings</t>
  </si>
  <si>
    <t>Financial Debt</t>
  </si>
  <si>
    <t>Total CE financing</t>
  </si>
  <si>
    <t>Financial analysis</t>
  </si>
  <si>
    <t>Working capital as % sales</t>
  </si>
  <si>
    <t>Fixed assets as % of sales</t>
  </si>
  <si>
    <t>Capital productivity</t>
  </si>
  <si>
    <t>Operating margin</t>
  </si>
  <si>
    <t>ROCE end of year, before tax</t>
  </si>
  <si>
    <t>HIGH</t>
  </si>
  <si>
    <t>LOW</t>
  </si>
  <si>
    <t>Working cap</t>
  </si>
  <si>
    <t>nb jour</t>
  </si>
  <si>
    <t>Patent filing</t>
  </si>
  <si>
    <t>Operating Cash Flow (1)</t>
  </si>
  <si>
    <t>Total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</si>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</sst>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€&quot;;[Red]\-#,##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&quot;€&quot;"/>
    <numFmt numFmtId="165" formatCode="#,##0\ &quot;€&quot;"/>
    <numFmt numFmtId="166" formatCode="_-* #,##0\ &quot;€&quot;_-;\-* #,##0\ &quot;€&quot;_-;_-* &quot;-&quot;??\ &quot;€&quot;_-;_-@_-"/>
    <numFmt numFmtId="167" formatCode="_-[$€-2]\ * #,##0.00_-;\-[$€-2]\ * #,##0.00_-;_-[$€-2]\ * &quot;-&quot;??_-;_-@"/>
    <numFmt numFmtId="168" formatCode="_-[$€-2]\ * #,##0_-;\-[$€-2]\ * #,##0_-;_-[$€-2]\ * &quot;-&quot;??_-;_-@"/>
    <numFmt numFmtId="169" formatCode="_ [$€-2]\ * #,##0_ ;_ [$€-2]\ * \-#,##0_ ;_ [$€-2]\ * &quot;-&quot;??_ ;_ @_ "/>
    <numFmt numFmtId="170" formatCode="_-* #,##0\ _€_-;\-* #,##0\ _€_-;_-* &quot;-&quot;??\ _€_-;_-@_-"/>
    <numFmt numFmtId="171" formatCode="0.0%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宋体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5B9BD5"/>
        <bgColor rgb="FF5B9BD5"/>
      </patternFill>
    </fill>
    <fill>
      <patternFill patternType="solid">
        <fgColor rgb="FF366092"/>
        <bgColor rgb="FF366092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33CCCC"/>
        <bgColor rgb="FF33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99"/>
      </patternFill>
    </fill>
    <fill>
      <patternFill patternType="solid">
        <fgColor rgb="FF00B0F0"/>
        <bgColor indexed="64"/>
      </patternFill>
    </fill>
  </fills>
  <borders count="9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0" fillId="0" borderId="0" xfId="0" applyBorder="1"/>
    <xf numFmtId="6" fontId="0" fillId="0" borderId="0" xfId="0" applyNumberFormat="1" applyBorder="1"/>
    <xf numFmtId="0" fontId="0" fillId="0" borderId="3" xfId="0" applyBorder="1"/>
    <xf numFmtId="6" fontId="0" fillId="0" borderId="4" xfId="0" applyNumberFormat="1" applyBorder="1"/>
    <xf numFmtId="0" fontId="0" fillId="0" borderId="5" xfId="0" applyBorder="1"/>
    <xf numFmtId="0" fontId="3" fillId="3" borderId="8" xfId="3" applyBorder="1"/>
    <xf numFmtId="0" fontId="3" fillId="3" borderId="9" xfId="3" applyBorder="1"/>
    <xf numFmtId="0" fontId="3" fillId="3" borderId="10" xfId="3" applyBorder="1"/>
    <xf numFmtId="0" fontId="2" fillId="2" borderId="11" xfId="2" applyBorder="1"/>
    <xf numFmtId="6" fontId="2" fillId="2" borderId="1" xfId="2" applyNumberFormat="1" applyBorder="1"/>
    <xf numFmtId="6" fontId="2" fillId="2" borderId="12" xfId="2" applyNumberFormat="1" applyBorder="1"/>
    <xf numFmtId="0" fontId="2" fillId="2" borderId="13" xfId="2" applyBorder="1"/>
    <xf numFmtId="6" fontId="2" fillId="2" borderId="14" xfId="2" applyNumberFormat="1" applyBorder="1"/>
    <xf numFmtId="6" fontId="2" fillId="2" borderId="15" xfId="2" applyNumberFormat="1" applyBorder="1"/>
    <xf numFmtId="0" fontId="0" fillId="0" borderId="4" xfId="0" applyBorder="1"/>
    <xf numFmtId="0" fontId="2" fillId="2" borderId="1" xfId="2" applyBorder="1"/>
    <xf numFmtId="0" fontId="2" fillId="2" borderId="12" xfId="2" applyBorder="1"/>
    <xf numFmtId="0" fontId="2" fillId="2" borderId="14" xfId="2" applyBorder="1"/>
    <xf numFmtId="0" fontId="2" fillId="2" borderId="15" xfId="2" applyBorder="1"/>
    <xf numFmtId="0" fontId="0" fillId="0" borderId="3" xfId="0" quotePrefix="1" applyBorder="1"/>
    <xf numFmtId="0" fontId="3" fillId="4" borderId="3" xfId="4" quotePrefix="1" applyBorder="1"/>
    <xf numFmtId="0" fontId="3" fillId="4" borderId="5" xfId="4" applyBorder="1"/>
    <xf numFmtId="164" fontId="5" fillId="0" borderId="0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right" vertical="center" wrapText="1"/>
    </xf>
    <xf numFmtId="165" fontId="5" fillId="0" borderId="18" xfId="0" applyNumberFormat="1" applyFont="1" applyFill="1" applyBorder="1" applyAlignment="1">
      <alignment horizontal="center" vertical="center" wrapText="1"/>
    </xf>
    <xf numFmtId="165" fontId="5" fillId="0" borderId="19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right" vertical="center" wrapText="1"/>
    </xf>
    <xf numFmtId="165" fontId="5" fillId="0" borderId="21" xfId="0" applyNumberFormat="1" applyFont="1" applyFill="1" applyBorder="1" applyAlignment="1">
      <alignment horizontal="center" vertical="center" wrapText="1"/>
    </xf>
    <xf numFmtId="165" fontId="5" fillId="0" borderId="22" xfId="0" applyNumberFormat="1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/>
    </xf>
    <xf numFmtId="165" fontId="6" fillId="5" borderId="24" xfId="0" applyNumberFormat="1" applyFont="1" applyFill="1" applyBorder="1" applyAlignment="1">
      <alignment horizontal="center" vertical="center"/>
    </xf>
    <xf numFmtId="165" fontId="6" fillId="5" borderId="25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5" fontId="5" fillId="0" borderId="9" xfId="0" applyNumberFormat="1" applyFont="1" applyFill="1" applyBorder="1" applyAlignment="1">
      <alignment horizontal="center" vertical="center" wrapText="1"/>
    </xf>
    <xf numFmtId="165" fontId="5" fillId="0" borderId="10" xfId="0" applyNumberFormat="1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165" fontId="5" fillId="0" borderId="4" xfId="0" applyNumberFormat="1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/>
    </xf>
    <xf numFmtId="165" fontId="6" fillId="5" borderId="28" xfId="0" applyNumberFormat="1" applyFont="1" applyFill="1" applyBorder="1" applyAlignment="1">
      <alignment horizontal="center" vertical="center"/>
    </xf>
    <xf numFmtId="165" fontId="6" fillId="5" borderId="29" xfId="0" applyNumberFormat="1" applyFont="1" applyFill="1" applyBorder="1" applyAlignment="1">
      <alignment horizontal="center" vertical="center"/>
    </xf>
    <xf numFmtId="166" fontId="5" fillId="0" borderId="18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0" borderId="22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1" xfId="0" applyFont="1" applyFill="1" applyBorder="1" applyAlignment="1">
      <alignment vertical="center"/>
    </xf>
    <xf numFmtId="0" fontId="6" fillId="5" borderId="32" xfId="0" applyFont="1" applyFill="1" applyBorder="1" applyAlignment="1">
      <alignment vertical="center"/>
    </xf>
    <xf numFmtId="0" fontId="6" fillId="6" borderId="33" xfId="0" applyFont="1" applyFill="1" applyBorder="1" applyAlignment="1">
      <alignment vertical="center"/>
    </xf>
    <xf numFmtId="167" fontId="6" fillId="6" borderId="34" xfId="0" applyNumberFormat="1" applyFont="1" applyFill="1" applyBorder="1" applyAlignment="1">
      <alignment vertical="center"/>
    </xf>
    <xf numFmtId="167" fontId="6" fillId="6" borderId="35" xfId="0" applyNumberFormat="1" applyFont="1" applyFill="1" applyBorder="1" applyAlignment="1">
      <alignment vertical="center"/>
    </xf>
    <xf numFmtId="0" fontId="7" fillId="7" borderId="36" xfId="0" applyFont="1" applyFill="1" applyBorder="1" applyAlignment="1">
      <alignment vertical="center"/>
    </xf>
    <xf numFmtId="168" fontId="7" fillId="7" borderId="37" xfId="0" applyNumberFormat="1" applyFont="1" applyFill="1" applyBorder="1" applyAlignment="1">
      <alignment vertical="center"/>
    </xf>
    <xf numFmtId="168" fontId="7" fillId="7" borderId="38" xfId="0" applyNumberFormat="1" applyFont="1" applyFill="1" applyBorder="1" applyAlignment="1">
      <alignment vertical="center"/>
    </xf>
    <xf numFmtId="0" fontId="8" fillId="8" borderId="39" xfId="0" applyFont="1" applyFill="1" applyBorder="1" applyAlignment="1">
      <alignment vertical="center"/>
    </xf>
    <xf numFmtId="168" fontId="9" fillId="0" borderId="40" xfId="0" applyNumberFormat="1" applyFont="1" applyBorder="1" applyAlignment="1">
      <alignment vertical="center"/>
    </xf>
    <xf numFmtId="168" fontId="9" fillId="0" borderId="41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169" fontId="0" fillId="0" borderId="0" xfId="0" applyNumberFormat="1" applyFont="1" applyBorder="1" applyAlignment="1">
      <alignment vertical="center"/>
    </xf>
    <xf numFmtId="169" fontId="0" fillId="0" borderId="4" xfId="0" applyNumberFormat="1" applyFont="1" applyBorder="1" applyAlignment="1">
      <alignment vertical="center"/>
    </xf>
    <xf numFmtId="0" fontId="7" fillId="7" borderId="39" xfId="0" applyFont="1" applyFill="1" applyBorder="1" applyAlignment="1">
      <alignment vertical="center"/>
    </xf>
    <xf numFmtId="168" fontId="7" fillId="7" borderId="40" xfId="0" applyNumberFormat="1" applyFont="1" applyFill="1" applyBorder="1" applyAlignment="1">
      <alignment vertical="center"/>
    </xf>
    <xf numFmtId="168" fontId="7" fillId="7" borderId="41" xfId="0" applyNumberFormat="1" applyFont="1" applyFill="1" applyBorder="1" applyAlignment="1">
      <alignment vertical="center"/>
    </xf>
    <xf numFmtId="0" fontId="9" fillId="0" borderId="40" xfId="0" applyNumberFormat="1" applyFont="1" applyBorder="1" applyAlignment="1">
      <alignment vertical="center"/>
    </xf>
    <xf numFmtId="170" fontId="9" fillId="0" borderId="41" xfId="1" applyNumberFormat="1" applyFont="1" applyBorder="1" applyAlignment="1">
      <alignment vertical="center"/>
    </xf>
    <xf numFmtId="0" fontId="8" fillId="8" borderId="42" xfId="0" applyFont="1" applyFill="1" applyBorder="1" applyAlignment="1">
      <alignment vertical="center"/>
    </xf>
    <xf numFmtId="168" fontId="9" fillId="0" borderId="43" xfId="0" applyNumberFormat="1" applyFont="1" applyBorder="1" applyAlignment="1">
      <alignment vertical="center"/>
    </xf>
    <xf numFmtId="168" fontId="9" fillId="0" borderId="44" xfId="0" applyNumberFormat="1" applyFont="1" applyBorder="1" applyAlignment="1">
      <alignment vertical="center"/>
    </xf>
    <xf numFmtId="165" fontId="0" fillId="0" borderId="0" xfId="0" applyNumberFormat="1"/>
    <xf numFmtId="165" fontId="0" fillId="0" borderId="0" xfId="0" applyNumberFormat="1" applyBorder="1"/>
    <xf numFmtId="6" fontId="3" fillId="4" borderId="0" xfId="4" applyNumberFormat="1" applyBorder="1"/>
    <xf numFmtId="6" fontId="0" fillId="0" borderId="0" xfId="0" applyNumberFormat="1" applyFill="1" applyBorder="1"/>
    <xf numFmtId="6" fontId="3" fillId="4" borderId="6" xfId="4" applyNumberFormat="1" applyBorder="1"/>
    <xf numFmtId="165" fontId="0" fillId="0" borderId="4" xfId="0" applyNumberFormat="1" applyBorder="1"/>
    <xf numFmtId="6" fontId="3" fillId="4" borderId="4" xfId="4" applyNumberFormat="1" applyBorder="1"/>
    <xf numFmtId="6" fontId="3" fillId="4" borderId="7" xfId="4" applyNumberFormat="1" applyBorder="1"/>
    <xf numFmtId="165" fontId="3" fillId="4" borderId="0" xfId="4" applyNumberFormat="1" applyBorder="1"/>
    <xf numFmtId="165" fontId="3" fillId="4" borderId="6" xfId="4" applyNumberFormat="1" applyBorder="1"/>
    <xf numFmtId="0" fontId="0" fillId="0" borderId="8" xfId="0" applyBorder="1"/>
    <xf numFmtId="165" fontId="3" fillId="4" borderId="4" xfId="4" applyNumberFormat="1" applyBorder="1"/>
    <xf numFmtId="165" fontId="3" fillId="4" borderId="7" xfId="4" applyNumberFormat="1" applyBorder="1"/>
    <xf numFmtId="165" fontId="2" fillId="2" borderId="12" xfId="2" applyNumberFormat="1" applyBorder="1"/>
    <xf numFmtId="165" fontId="2" fillId="2" borderId="15" xfId="2" applyNumberFormat="1" applyBorder="1"/>
    <xf numFmtId="165" fontId="0" fillId="0" borderId="6" xfId="0" applyNumberFormat="1" applyBorder="1"/>
    <xf numFmtId="0" fontId="4" fillId="0" borderId="2" xfId="0" applyFont="1" applyBorder="1" applyAlignment="1">
      <alignment vertical="center"/>
    </xf>
    <xf numFmtId="165" fontId="5" fillId="0" borderId="46" xfId="0" applyNumberFormat="1" applyFont="1" applyFill="1" applyBorder="1" applyAlignment="1">
      <alignment horizontal="center" vertical="center" wrapText="1"/>
    </xf>
    <xf numFmtId="165" fontId="5" fillId="0" borderId="47" xfId="0" applyNumberFormat="1" applyFont="1" applyFill="1" applyBorder="1" applyAlignment="1">
      <alignment horizontal="center" vertical="center" wrapText="1"/>
    </xf>
    <xf numFmtId="165" fontId="5" fillId="0" borderId="48" xfId="0" applyNumberFormat="1" applyFont="1" applyFill="1" applyBorder="1" applyAlignment="1">
      <alignment horizontal="center" vertical="center" wrapText="1"/>
    </xf>
    <xf numFmtId="164" fontId="5" fillId="0" borderId="46" xfId="0" applyNumberFormat="1" applyFont="1" applyFill="1" applyBorder="1" applyAlignment="1">
      <alignment horizontal="center" vertical="center" wrapText="1"/>
    </xf>
    <xf numFmtId="164" fontId="5" fillId="0" borderId="47" xfId="0" applyNumberFormat="1" applyFont="1" applyFill="1" applyBorder="1" applyAlignment="1">
      <alignment horizontal="center" vertical="center" wrapText="1"/>
    </xf>
    <xf numFmtId="164" fontId="5" fillId="0" borderId="48" xfId="0" applyNumberFormat="1" applyFont="1" applyFill="1" applyBorder="1" applyAlignment="1">
      <alignment horizontal="center" vertical="center" wrapText="1"/>
    </xf>
    <xf numFmtId="165" fontId="5" fillId="0" borderId="46" xfId="0" applyNumberFormat="1" applyFont="1" applyBorder="1" applyAlignment="1">
      <alignment horizontal="center" vertical="center" wrapText="1"/>
    </xf>
    <xf numFmtId="165" fontId="5" fillId="0" borderId="47" xfId="0" applyNumberFormat="1" applyFont="1" applyBorder="1" applyAlignment="1">
      <alignment horizontal="center" vertical="center" wrapText="1"/>
    </xf>
    <xf numFmtId="165" fontId="5" fillId="0" borderId="48" xfId="0" applyNumberFormat="1" applyFont="1" applyBorder="1" applyAlignment="1">
      <alignment horizontal="center" vertical="center" wrapText="1"/>
    </xf>
    <xf numFmtId="166" fontId="5" fillId="0" borderId="19" xfId="0" applyNumberFormat="1" applyFont="1" applyFill="1" applyBorder="1" applyAlignment="1">
      <alignment horizontal="center" vertical="center" wrapText="1"/>
    </xf>
    <xf numFmtId="0" fontId="6" fillId="5" borderId="49" xfId="0" applyFont="1" applyFill="1" applyBorder="1" applyAlignment="1">
      <alignment horizontal="center" vertical="center"/>
    </xf>
    <xf numFmtId="165" fontId="6" fillId="5" borderId="50" xfId="0" applyNumberFormat="1" applyFont="1" applyFill="1" applyBorder="1" applyAlignment="1">
      <alignment horizontal="center" vertical="center"/>
    </xf>
    <xf numFmtId="165" fontId="6" fillId="5" borderId="51" xfId="0" applyNumberFormat="1" applyFont="1" applyFill="1" applyBorder="1" applyAlignment="1">
      <alignment horizontal="center" vertical="center"/>
    </xf>
    <xf numFmtId="165" fontId="11" fillId="9" borderId="21" xfId="5" applyNumberFormat="1" applyFont="1" applyFill="1" applyBorder="1"/>
    <xf numFmtId="165" fontId="11" fillId="9" borderId="65" xfId="5" applyNumberFormat="1" applyFont="1" applyFill="1" applyBorder="1"/>
    <xf numFmtId="165" fontId="11" fillId="13" borderId="82" xfId="5" applyNumberFormat="1" applyFont="1" applyFill="1" applyBorder="1"/>
    <xf numFmtId="165" fontId="11" fillId="13" borderId="66" xfId="5" applyNumberFormat="1" applyFont="1" applyFill="1" applyBorder="1"/>
    <xf numFmtId="165" fontId="11" fillId="13" borderId="59" xfId="5" applyNumberFormat="1" applyFont="1" applyFill="1" applyBorder="1"/>
    <xf numFmtId="165" fontId="11" fillId="9" borderId="74" xfId="5" applyNumberFormat="1" applyFont="1" applyFill="1" applyBorder="1"/>
    <xf numFmtId="165" fontId="11" fillId="9" borderId="68" xfId="5" applyNumberFormat="1" applyFont="1" applyFill="1" applyBorder="1"/>
    <xf numFmtId="165" fontId="11" fillId="0" borderId="22" xfId="5" applyNumberFormat="1" applyFont="1" applyBorder="1"/>
    <xf numFmtId="165" fontId="11" fillId="0" borderId="21" xfId="5" applyNumberFormat="1" applyFont="1" applyBorder="1"/>
    <xf numFmtId="165" fontId="11" fillId="0" borderId="73" xfId="5" applyNumberFormat="1" applyFont="1" applyBorder="1"/>
    <xf numFmtId="165" fontId="11" fillId="0" borderId="65" xfId="5" applyNumberFormat="1" applyFont="1" applyBorder="1"/>
    <xf numFmtId="165" fontId="11" fillId="9" borderId="22" xfId="5" applyNumberFormat="1" applyFont="1" applyFill="1" applyBorder="1"/>
    <xf numFmtId="165" fontId="11" fillId="13" borderId="21" xfId="5" applyNumberFormat="1" applyFont="1" applyFill="1" applyBorder="1"/>
    <xf numFmtId="0" fontId="11" fillId="0" borderId="0" xfId="5" applyFont="1" applyBorder="1"/>
    <xf numFmtId="0" fontId="14" fillId="10" borderId="46" xfId="5" applyFont="1" applyFill="1" applyBorder="1"/>
    <xf numFmtId="0" fontId="14" fillId="10" borderId="47" xfId="5" applyFont="1" applyFill="1" applyBorder="1"/>
    <xf numFmtId="0" fontId="14" fillId="10" borderId="48" xfId="5" applyFont="1" applyFill="1" applyBorder="1"/>
    <xf numFmtId="165" fontId="11" fillId="13" borderId="22" xfId="5" applyNumberFormat="1" applyFont="1" applyFill="1" applyBorder="1"/>
    <xf numFmtId="165" fontId="11" fillId="13" borderId="65" xfId="5" applyNumberFormat="1" applyFont="1" applyFill="1" applyBorder="1"/>
    <xf numFmtId="0" fontId="6" fillId="5" borderId="31" xfId="5" applyFont="1" applyFill="1" applyBorder="1" applyAlignment="1">
      <alignment horizontal="center" vertical="center"/>
    </xf>
    <xf numFmtId="0" fontId="6" fillId="5" borderId="32" xfId="5" applyFont="1" applyFill="1" applyBorder="1" applyAlignment="1">
      <alignment horizontal="center" vertical="center"/>
    </xf>
    <xf numFmtId="0" fontId="11" fillId="0" borderId="8" xfId="5" applyFont="1" applyBorder="1"/>
    <xf numFmtId="0" fontId="11" fillId="0" borderId="9" xfId="5" applyFont="1" applyBorder="1"/>
    <xf numFmtId="0" fontId="11" fillId="0" borderId="0" xfId="5" applyFont="1" applyBorder="1"/>
    <xf numFmtId="0" fontId="11" fillId="0" borderId="6" xfId="5" applyFont="1" applyBorder="1"/>
    <xf numFmtId="0" fontId="11" fillId="0" borderId="8" xfId="5" applyFont="1" applyBorder="1" applyAlignment="1">
      <alignment horizontal="center"/>
    </xf>
    <xf numFmtId="0" fontId="11" fillId="0" borderId="10" xfId="5" applyFont="1" applyBorder="1"/>
    <xf numFmtId="0" fontId="11" fillId="0" borderId="3" xfId="5" applyFont="1" applyBorder="1" applyAlignment="1">
      <alignment horizontal="center"/>
    </xf>
    <xf numFmtId="0" fontId="11" fillId="0" borderId="4" xfId="5" applyFont="1" applyBorder="1"/>
    <xf numFmtId="0" fontId="11" fillId="0" borderId="5" xfId="5" applyFont="1" applyBorder="1" applyAlignment="1">
      <alignment horizontal="center"/>
    </xf>
    <xf numFmtId="0" fontId="11" fillId="0" borderId="57" xfId="5" applyFont="1" applyBorder="1"/>
    <xf numFmtId="0" fontId="11" fillId="0" borderId="56" xfId="5" applyFont="1" applyBorder="1"/>
    <xf numFmtId="0" fontId="11" fillId="0" borderId="62" xfId="5" applyFont="1" applyBorder="1"/>
    <xf numFmtId="0" fontId="11" fillId="0" borderId="63" xfId="5" applyFont="1" applyBorder="1"/>
    <xf numFmtId="0" fontId="11" fillId="0" borderId="64" xfId="5" applyFont="1" applyBorder="1"/>
    <xf numFmtId="0" fontId="11" fillId="0" borderId="65" xfId="5" applyFont="1" applyBorder="1"/>
    <xf numFmtId="0" fontId="11" fillId="9" borderId="64" xfId="5" applyFont="1" applyFill="1" applyBorder="1"/>
    <xf numFmtId="0" fontId="11" fillId="9" borderId="67" xfId="5" applyFont="1" applyFill="1" applyBorder="1"/>
    <xf numFmtId="0" fontId="11" fillId="9" borderId="68" xfId="5" applyFont="1" applyFill="1" applyBorder="1"/>
    <xf numFmtId="0" fontId="11" fillId="14" borderId="0" xfId="5" applyFont="1" applyFill="1" applyBorder="1"/>
    <xf numFmtId="0" fontId="11" fillId="13" borderId="0" xfId="5" applyFont="1" applyFill="1" applyBorder="1"/>
    <xf numFmtId="0" fontId="14" fillId="10" borderId="46" xfId="5" applyFont="1" applyFill="1" applyBorder="1"/>
    <xf numFmtId="0" fontId="14" fillId="10" borderId="47" xfId="5" applyFont="1" applyFill="1" applyBorder="1"/>
    <xf numFmtId="0" fontId="14" fillId="10" borderId="48" xfId="5" applyFont="1" applyFill="1" applyBorder="1"/>
    <xf numFmtId="0" fontId="11" fillId="0" borderId="47" xfId="5" applyFont="1" applyBorder="1"/>
    <xf numFmtId="0" fontId="11" fillId="0" borderId="48" xfId="5" applyFont="1" applyBorder="1"/>
    <xf numFmtId="0" fontId="6" fillId="5" borderId="70" xfId="5" applyFont="1" applyFill="1" applyBorder="1" applyAlignment="1">
      <alignment horizontal="center" vertical="center"/>
    </xf>
    <xf numFmtId="0" fontId="11" fillId="0" borderId="46" xfId="5" applyFont="1" applyBorder="1" applyAlignment="1">
      <alignment horizontal="center"/>
    </xf>
    <xf numFmtId="0" fontId="11" fillId="0" borderId="71" xfId="5" applyFont="1" applyBorder="1" applyAlignment="1">
      <alignment horizontal="center"/>
    </xf>
    <xf numFmtId="0" fontId="11" fillId="0" borderId="72" xfId="5" applyFont="1" applyBorder="1"/>
    <xf numFmtId="0" fontId="11" fillId="0" borderId="54" xfId="5" applyFont="1" applyBorder="1" applyAlignment="1">
      <alignment horizontal="center"/>
    </xf>
    <xf numFmtId="0" fontId="11" fillId="0" borderId="73" xfId="5" applyFont="1" applyBorder="1"/>
    <xf numFmtId="0" fontId="11" fillId="9" borderId="60" xfId="5" applyFont="1" applyFill="1" applyBorder="1"/>
    <xf numFmtId="0" fontId="11" fillId="9" borderId="74" xfId="5" applyFont="1" applyFill="1" applyBorder="1"/>
    <xf numFmtId="0" fontId="11" fillId="13" borderId="3" xfId="5" applyFont="1" applyFill="1" applyBorder="1" applyAlignment="1">
      <alignment horizontal="center"/>
    </xf>
    <xf numFmtId="0" fontId="11" fillId="14" borderId="4" xfId="5" applyFont="1" applyFill="1" applyBorder="1"/>
    <xf numFmtId="0" fontId="11" fillId="9" borderId="73" xfId="5" applyFont="1" applyFill="1" applyBorder="1"/>
    <xf numFmtId="0" fontId="11" fillId="13" borderId="76" xfId="5" applyFont="1" applyFill="1" applyBorder="1" applyAlignment="1">
      <alignment horizontal="center"/>
    </xf>
    <xf numFmtId="0" fontId="11" fillId="13" borderId="4" xfId="5" applyFont="1" applyFill="1" applyBorder="1"/>
    <xf numFmtId="0" fontId="11" fillId="0" borderId="77" xfId="5" applyFont="1" applyBorder="1" applyAlignment="1">
      <alignment horizontal="center"/>
    </xf>
    <xf numFmtId="0" fontId="11" fillId="0" borderId="78" xfId="5" applyFont="1" applyBorder="1"/>
    <xf numFmtId="0" fontId="11" fillId="9" borderId="54" xfId="5" applyFont="1" applyFill="1" applyBorder="1"/>
    <xf numFmtId="0" fontId="11" fillId="13" borderId="71" xfId="5" applyFont="1" applyFill="1" applyBorder="1" applyAlignment="1">
      <alignment horizontal="center"/>
    </xf>
    <xf numFmtId="0" fontId="11" fillId="13" borderId="56" xfId="5" applyFont="1" applyFill="1" applyBorder="1"/>
    <xf numFmtId="0" fontId="11" fillId="13" borderId="72" xfId="5" applyFont="1" applyFill="1" applyBorder="1"/>
    <xf numFmtId="0" fontId="11" fillId="0" borderId="75" xfId="5" applyFont="1" applyBorder="1" applyAlignment="1">
      <alignment horizontal="center"/>
    </xf>
    <xf numFmtId="0" fontId="11" fillId="0" borderId="79" xfId="5" applyFont="1" applyBorder="1"/>
    <xf numFmtId="0" fontId="12" fillId="11" borderId="46" xfId="5" applyFont="1" applyFill="1" applyBorder="1"/>
    <xf numFmtId="0" fontId="12" fillId="11" borderId="47" xfId="5" applyFont="1" applyFill="1" applyBorder="1"/>
    <xf numFmtId="0" fontId="12" fillId="11" borderId="48" xfId="5" applyFont="1" applyFill="1" applyBorder="1"/>
    <xf numFmtId="0" fontId="13" fillId="5" borderId="31" xfId="5" applyFont="1" applyFill="1" applyBorder="1" applyAlignment="1">
      <alignment horizontal="center" vertical="center"/>
    </xf>
    <xf numFmtId="0" fontId="13" fillId="5" borderId="32" xfId="5" applyFont="1" applyFill="1" applyBorder="1" applyAlignment="1">
      <alignment horizontal="center" vertical="center"/>
    </xf>
    <xf numFmtId="0" fontId="13" fillId="5" borderId="70" xfId="5" applyFont="1" applyFill="1" applyBorder="1" applyAlignment="1">
      <alignment horizontal="center" vertical="center"/>
    </xf>
    <xf numFmtId="0" fontId="11" fillId="11" borderId="16" xfId="5" applyFont="1" applyFill="1" applyBorder="1" applyAlignment="1">
      <alignment horizontal="center"/>
    </xf>
    <xf numFmtId="0" fontId="11" fillId="9" borderId="46" xfId="5" applyFont="1" applyFill="1" applyBorder="1"/>
    <xf numFmtId="0" fontId="11" fillId="0" borderId="46" xfId="5" applyFont="1" applyBorder="1"/>
    <xf numFmtId="0" fontId="15" fillId="0" borderId="48" xfId="5" applyFont="1" applyBorder="1"/>
    <xf numFmtId="0" fontId="11" fillId="0" borderId="7" xfId="5" applyFont="1" applyBorder="1"/>
    <xf numFmtId="0" fontId="11" fillId="9" borderId="48" xfId="5" applyFont="1" applyFill="1" applyBorder="1"/>
    <xf numFmtId="0" fontId="17" fillId="0" borderId="4" xfId="5" applyFont="1" applyBorder="1" applyAlignment="1">
      <alignment horizontal="left"/>
    </xf>
    <xf numFmtId="0" fontId="17" fillId="0" borderId="7" xfId="5" applyFont="1" applyBorder="1" applyAlignment="1">
      <alignment horizontal="left"/>
    </xf>
    <xf numFmtId="0" fontId="13" fillId="5" borderId="9" xfId="5" applyFont="1" applyFill="1" applyBorder="1" applyAlignment="1">
      <alignment horizontal="center" vertical="center"/>
    </xf>
    <xf numFmtId="0" fontId="13" fillId="5" borderId="10" xfId="5" applyFont="1" applyFill="1" applyBorder="1" applyAlignment="1">
      <alignment horizontal="center" vertical="center"/>
    </xf>
    <xf numFmtId="171" fontId="11" fillId="0" borderId="21" xfId="5" applyNumberFormat="1" applyFont="1" applyBorder="1" applyAlignment="1">
      <alignment horizontal="center"/>
    </xf>
    <xf numFmtId="171" fontId="11" fillId="0" borderId="18" xfId="5" applyNumberFormat="1" applyFont="1" applyBorder="1" applyAlignment="1">
      <alignment horizontal="center"/>
    </xf>
    <xf numFmtId="171" fontId="11" fillId="0" borderId="19" xfId="5" applyNumberFormat="1" applyFont="1" applyBorder="1" applyAlignment="1">
      <alignment horizontal="center"/>
    </xf>
    <xf numFmtId="171" fontId="11" fillId="0" borderId="22" xfId="5" applyNumberFormat="1" applyFont="1" applyBorder="1" applyAlignment="1">
      <alignment horizontal="center"/>
    </xf>
    <xf numFmtId="2" fontId="11" fillId="9" borderId="69" xfId="5" applyNumberFormat="1" applyFont="1" applyFill="1" applyBorder="1" applyAlignment="1">
      <alignment horizontal="center"/>
    </xf>
    <xf numFmtId="2" fontId="11" fillId="9" borderId="81" xfId="5" applyNumberFormat="1" applyFont="1" applyFill="1" applyBorder="1" applyAlignment="1">
      <alignment horizontal="center"/>
    </xf>
    <xf numFmtId="0" fontId="11" fillId="0" borderId="83" xfId="5" applyFont="1" applyBorder="1"/>
    <xf numFmtId="171" fontId="11" fillId="9" borderId="34" xfId="5" applyNumberFormat="1" applyFont="1" applyFill="1" applyBorder="1" applyAlignment="1">
      <alignment horizontal="center"/>
    </xf>
    <xf numFmtId="171" fontId="11" fillId="9" borderId="35" xfId="5" applyNumberFormat="1" applyFont="1" applyFill="1" applyBorder="1" applyAlignment="1">
      <alignment horizontal="center"/>
    </xf>
    <xf numFmtId="171" fontId="14" fillId="9" borderId="34" xfId="5" applyNumberFormat="1" applyFont="1" applyFill="1" applyBorder="1" applyAlignment="1">
      <alignment horizontal="center"/>
    </xf>
    <xf numFmtId="171" fontId="14" fillId="9" borderId="35" xfId="5" applyNumberFormat="1" applyFont="1" applyFill="1" applyBorder="1" applyAlignment="1">
      <alignment horizontal="center"/>
    </xf>
    <xf numFmtId="0" fontId="11" fillId="0" borderId="85" xfId="5" applyFont="1" applyBorder="1"/>
    <xf numFmtId="0" fontId="11" fillId="0" borderId="84" xfId="5" applyFont="1" applyBorder="1"/>
    <xf numFmtId="0" fontId="11" fillId="0" borderId="55" xfId="5" applyFont="1" applyBorder="1"/>
    <xf numFmtId="0" fontId="11" fillId="0" borderId="54" xfId="5" applyFont="1" applyBorder="1"/>
    <xf numFmtId="0" fontId="11" fillId="9" borderId="80" xfId="5" applyFont="1" applyFill="1" applyBorder="1"/>
    <xf numFmtId="0" fontId="14" fillId="9" borderId="80" xfId="5" applyFont="1" applyFill="1" applyBorder="1"/>
    <xf numFmtId="0" fontId="14" fillId="9" borderId="46" xfId="5" applyFont="1" applyFill="1" applyBorder="1"/>
    <xf numFmtId="165" fontId="11" fillId="9" borderId="73" xfId="5" applyNumberFormat="1" applyFont="1" applyFill="1" applyBorder="1"/>
    <xf numFmtId="165" fontId="11" fillId="0" borderId="65" xfId="6" applyNumberFormat="1" applyFont="1" applyBorder="1" applyAlignment="1"/>
    <xf numFmtId="165" fontId="11" fillId="0" borderId="21" xfId="6" applyNumberFormat="1" applyFont="1" applyBorder="1"/>
    <xf numFmtId="165" fontId="11" fillId="0" borderId="22" xfId="6" applyNumberFormat="1" applyFont="1" applyBorder="1"/>
    <xf numFmtId="165" fontId="11" fillId="0" borderId="65" xfId="6" applyNumberFormat="1" applyFont="1" applyBorder="1"/>
    <xf numFmtId="165" fontId="11" fillId="0" borderId="65" xfId="5" applyNumberFormat="1" applyFont="1" applyBorder="1" applyAlignment="1"/>
    <xf numFmtId="165" fontId="11" fillId="0" borderId="58" xfId="5" applyNumberFormat="1" applyFont="1" applyBorder="1"/>
    <xf numFmtId="165" fontId="11" fillId="0" borderId="79" xfId="5" applyNumberFormat="1" applyFont="1" applyBorder="1"/>
    <xf numFmtId="165" fontId="12" fillId="11" borderId="80" xfId="5" applyNumberFormat="1" applyFont="1" applyFill="1" applyBorder="1"/>
    <xf numFmtId="165" fontId="12" fillId="11" borderId="48" xfId="5" applyNumberFormat="1" applyFont="1" applyFill="1" applyBorder="1"/>
    <xf numFmtId="165" fontId="11" fillId="0" borderId="73" xfId="6" applyNumberFormat="1" applyFont="1" applyBorder="1"/>
    <xf numFmtId="165" fontId="11" fillId="11" borderId="53" xfId="5" applyNumberFormat="1" applyFont="1" applyFill="1" applyBorder="1"/>
    <xf numFmtId="165" fontId="11" fillId="0" borderId="84" xfId="5" applyNumberFormat="1" applyFont="1" applyBorder="1"/>
    <xf numFmtId="165" fontId="11" fillId="0" borderId="18" xfId="5" applyNumberFormat="1" applyFont="1" applyBorder="1"/>
    <xf numFmtId="165" fontId="11" fillId="0" borderId="19" xfId="5" applyNumberFormat="1" applyFont="1" applyBorder="1"/>
    <xf numFmtId="165" fontId="11" fillId="11" borderId="52" xfId="5" applyNumberFormat="1" applyFont="1" applyFill="1" applyBorder="1"/>
    <xf numFmtId="165" fontId="11" fillId="11" borderId="61" xfId="5" applyNumberFormat="1" applyFont="1" applyFill="1" applyBorder="1"/>
    <xf numFmtId="165" fontId="11" fillId="0" borderId="68" xfId="5" applyNumberFormat="1" applyFont="1" applyBorder="1"/>
    <xf numFmtId="165" fontId="11" fillId="0" borderId="74" xfId="5" applyNumberFormat="1" applyFont="1" applyBorder="1"/>
    <xf numFmtId="165" fontId="11" fillId="11" borderId="26" xfId="5" applyNumberFormat="1" applyFont="1" applyFill="1" applyBorder="1"/>
    <xf numFmtId="165" fontId="11" fillId="0" borderId="62" xfId="5" applyNumberFormat="1" applyFont="1" applyBorder="1"/>
    <xf numFmtId="165" fontId="11" fillId="0" borderId="83" xfId="5" applyNumberFormat="1" applyFont="1" applyBorder="1"/>
    <xf numFmtId="165" fontId="11" fillId="0" borderId="85" xfId="5" applyNumberFormat="1" applyFont="1" applyBorder="1"/>
    <xf numFmtId="165" fontId="16" fillId="12" borderId="2" xfId="5" applyNumberFormat="1" applyFont="1" applyFill="1" applyBorder="1"/>
    <xf numFmtId="165" fontId="11" fillId="9" borderId="80" xfId="5" applyNumberFormat="1" applyFont="1" applyFill="1" applyBorder="1"/>
    <xf numFmtId="165" fontId="11" fillId="9" borderId="48" xfId="5" applyNumberFormat="1" applyFont="1" applyFill="1" applyBorder="1"/>
    <xf numFmtId="165" fontId="11" fillId="0" borderId="87" xfId="5" applyNumberFormat="1" applyFont="1" applyBorder="1"/>
    <xf numFmtId="165" fontId="17" fillId="11" borderId="52" xfId="5" applyNumberFormat="1" applyFont="1" applyFill="1" applyBorder="1" applyAlignment="1">
      <alignment horizontal="right"/>
    </xf>
    <xf numFmtId="165" fontId="17" fillId="0" borderId="65" xfId="5" applyNumberFormat="1" applyFont="1" applyBorder="1"/>
    <xf numFmtId="165" fontId="17" fillId="0" borderId="21" xfId="5" applyNumberFormat="1" applyFont="1" applyBorder="1"/>
    <xf numFmtId="165" fontId="17" fillId="0" borderId="22" xfId="5" applyNumberFormat="1" applyFont="1" applyBorder="1"/>
    <xf numFmtId="165" fontId="17" fillId="11" borderId="61" xfId="5" applyNumberFormat="1" applyFont="1" applyFill="1" applyBorder="1" applyAlignment="1">
      <alignment horizontal="left"/>
    </xf>
    <xf numFmtId="165" fontId="17" fillId="0" borderId="68" xfId="5" applyNumberFormat="1" applyFont="1" applyBorder="1"/>
    <xf numFmtId="165" fontId="17" fillId="0" borderId="69" xfId="5" applyNumberFormat="1" applyFont="1" applyBorder="1"/>
    <xf numFmtId="165" fontId="17" fillId="0" borderId="81" xfId="5" applyNumberFormat="1" applyFont="1" applyBorder="1"/>
    <xf numFmtId="165" fontId="11" fillId="11" borderId="2" xfId="5" applyNumberFormat="1" applyFont="1" applyFill="1" applyBorder="1"/>
    <xf numFmtId="165" fontId="11" fillId="0" borderId="80" xfId="5" applyNumberFormat="1" applyFont="1" applyBorder="1"/>
    <xf numFmtId="165" fontId="11" fillId="0" borderId="34" xfId="5" applyNumberFormat="1" applyFont="1" applyBorder="1"/>
    <xf numFmtId="165" fontId="11" fillId="0" borderId="35" xfId="5" applyNumberFormat="1" applyFont="1" applyBorder="1"/>
    <xf numFmtId="165" fontId="11" fillId="11" borderId="45" xfId="5" applyNumberFormat="1" applyFont="1" applyFill="1" applyBorder="1"/>
    <xf numFmtId="165" fontId="11" fillId="0" borderId="86" xfId="5" applyNumberFormat="1" applyFont="1" applyBorder="1"/>
    <xf numFmtId="165" fontId="11" fillId="0" borderId="7" xfId="5" applyNumberFormat="1" applyFont="1" applyBorder="1"/>
    <xf numFmtId="0" fontId="2" fillId="2" borderId="88" xfId="2" applyBorder="1"/>
    <xf numFmtId="0" fontId="2" fillId="2" borderId="89" xfId="2" applyBorder="1"/>
    <xf numFmtId="0" fontId="2" fillId="2" borderId="90" xfId="2" applyBorder="1"/>
    <xf numFmtId="0" fontId="0" fillId="13" borderId="33" xfId="0" applyFill="1" applyBorder="1"/>
    <xf numFmtId="0" fontId="0" fillId="13" borderId="34" xfId="0" applyFill="1" applyBorder="1"/>
    <xf numFmtId="0" fontId="2" fillId="13" borderId="33" xfId="2" applyFill="1" applyBorder="1"/>
    <xf numFmtId="0" fontId="2" fillId="13" borderId="34" xfId="2" applyFill="1" applyBorder="1"/>
    <xf numFmtId="0" fontId="2" fillId="13" borderId="48" xfId="2" applyFill="1" applyBorder="1"/>
    <xf numFmtId="165" fontId="0" fillId="0" borderId="7" xfId="0" applyNumberFormat="1" applyBorder="1"/>
    <xf numFmtId="0" fontId="18" fillId="0" borderId="0" xfId="0" applyFont="1" applyFill="1"/>
    <xf numFmtId="0" fontId="18" fillId="0" borderId="0" xfId="3" applyFont="1" applyFill="1" applyBorder="1"/>
    <xf numFmtId="0" fontId="19" fillId="0" borderId="0" xfId="2" applyFont="1" applyFill="1" applyBorder="1"/>
    <xf numFmtId="0" fontId="0" fillId="0" borderId="0" xfId="0" applyFill="1" applyBorder="1"/>
    <xf numFmtId="0" fontId="2" fillId="0" borderId="0" xfId="2" applyFill="1" applyBorder="1"/>
    <xf numFmtId="1" fontId="0" fillId="0" borderId="0" xfId="0" applyNumberFormat="1" applyBorder="1"/>
    <xf numFmtId="9" fontId="0" fillId="0" borderId="0" xfId="9" applyFont="1" applyBorder="1"/>
    <xf numFmtId="6" fontId="2" fillId="0" borderId="0" xfId="2" applyNumberFormat="1" applyFill="1" applyBorder="1"/>
    <xf numFmtId="6" fontId="2" fillId="2" borderId="21" xfId="2" applyNumberFormat="1" applyBorder="1"/>
    <xf numFmtId="0" fontId="3" fillId="3" borderId="17" xfId="3" applyBorder="1"/>
    <xf numFmtId="0" fontId="3" fillId="3" borderId="18" xfId="3" applyBorder="1"/>
    <xf numFmtId="0" fontId="3" fillId="3" borderId="19" xfId="3" applyBorder="1"/>
    <xf numFmtId="0" fontId="2" fillId="2" borderId="20" xfId="2" applyBorder="1"/>
    <xf numFmtId="6" fontId="2" fillId="2" borderId="22" xfId="2" applyNumberFormat="1" applyBorder="1"/>
    <xf numFmtId="0" fontId="2" fillId="2" borderId="91" xfId="2" applyBorder="1"/>
    <xf numFmtId="6" fontId="2" fillId="2" borderId="69" xfId="2" applyNumberFormat="1" applyBorder="1"/>
    <xf numFmtId="6" fontId="2" fillId="2" borderId="81" xfId="2" applyNumberFormat="1" applyBorder="1"/>
    <xf numFmtId="0" fontId="0" fillId="15" borderId="0" xfId="0" applyFill="1"/>
    <xf numFmtId="0" fontId="18" fillId="15" borderId="9" xfId="3" applyFont="1" applyFill="1" applyBorder="1"/>
    <xf numFmtId="0" fontId="3" fillId="3" borderId="2" xfId="3" applyBorder="1"/>
    <xf numFmtId="0" fontId="14" fillId="10" borderId="46" xfId="5" applyFont="1" applyFill="1" applyBorder="1" applyAlignment="1">
      <alignment horizontal="center"/>
    </xf>
    <xf numFmtId="0" fontId="14" fillId="10" borderId="48" xfId="5" applyFont="1" applyFill="1" applyBorder="1" applyAlignment="1">
      <alignment horizontal="center"/>
    </xf>
    <xf numFmtId="0" fontId="14" fillId="10" borderId="47" xfId="5" applyFont="1" applyFill="1" applyBorder="1" applyAlignment="1">
      <alignment horizontal="center"/>
    </xf>
  </cellXfs>
  <cellStyles count="10">
    <cellStyle name="Accent1" xfId="3" builtinId="29"/>
    <cellStyle name="Accent5" xfId="4" builtinId="45"/>
    <cellStyle name="Milliers" xfId="1" builtinId="3"/>
    <cellStyle name="Milliers 2" xfId="6" xr:uid="{00000000-0005-0000-0000-00002F000000}"/>
    <cellStyle name="Monétaire 2" xfId="7" xr:uid="{00000000-0005-0000-0000-000030000000}"/>
    <cellStyle name="Normal" xfId="0" builtinId="0"/>
    <cellStyle name="Normal 2" xfId="5" xr:uid="{00000000-0005-0000-0000-000031000000}"/>
    <cellStyle name="Pourcentage" xfId="9" builtinId="5"/>
    <cellStyle name="Pourcentage 2" xfId="8" xr:uid="{00000000-0005-0000-0000-000032000000}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 - Low Hypothesis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Feuil1!$O$125:$S$125</c:f>
              <c:numCache>
                <c:formatCode>#\ ##0\ "€"</c:formatCode>
                <c:ptCount val="5"/>
                <c:pt idx="0">
                  <c:v>-73140.760000000024</c:v>
                </c:pt>
                <c:pt idx="1">
                  <c:v>55157.652000000009</c:v>
                </c:pt>
                <c:pt idx="2">
                  <c:v>143532.73704000001</c:v>
                </c:pt>
                <c:pt idx="3">
                  <c:v>194452.82398079996</c:v>
                </c:pt>
                <c:pt idx="4">
                  <c:v>294145.12851239997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B-4D92-A89F-2297B9F2064A}"/>
            </c:ext>
          </c:extLst>
        </c:ser>
        <c:ser>
          <c:idx val="1"/>
          <c:order val="1"/>
          <c:tx>
            <c:v>FCF - High Hypothesis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Feuil1!$E$124:$I$124</c:f>
              <c:numCache>
                <c:formatCode>#\ ##0\ "€"</c:formatCode>
                <c:ptCount val="5"/>
                <c:pt idx="0">
                  <c:v>21019.239999999951</c:v>
                </c:pt>
                <c:pt idx="1">
                  <c:v>183593.652</c:v>
                </c:pt>
                <c:pt idx="2">
                  <c:v>354066.13704000018</c:v>
                </c:pt>
                <c:pt idx="3">
                  <c:v>420097.08898079989</c:v>
                </c:pt>
                <c:pt idx="4">
                  <c:v>584019.05901239999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B-4D92-A89F-2297B9F20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442736"/>
        <c:axId val="-2133439728"/>
      </c:lineChart>
      <c:catAx>
        <c:axId val="-213344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33439728"/>
        <c:crosses val="autoZero"/>
        <c:auto val="1"/>
        <c:lblAlgn val="ctr"/>
        <c:lblOffset val="100"/>
        <c:noMultiLvlLbl val="0"/>
      </c:catAx>
      <c:valAx>
        <c:axId val="-21334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33442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Statement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Cash Flow - Low Hypothesis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Feuil1!$O$137:$S$137</c:f>
              <c:numCache>
                <c:formatCode>#\ ##0\ "€"</c:formatCode>
                <c:ptCount val="5"/>
                <c:pt idx="0">
                  <c:v>42059.239999999976</c:v>
                </c:pt>
                <c:pt idx="1">
                  <c:v>70356.822399999975</c:v>
                </c:pt>
                <c:pt idx="2">
                  <c:v>151159.78924799999</c:v>
                </c:pt>
                <c:pt idx="3">
                  <c:v>262222.70167295996</c:v>
                </c:pt>
                <c:pt idx="4">
                  <c:v>432513.35767183994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A-4188-90B3-EE41A40D29C5}"/>
            </c:ext>
          </c:extLst>
        </c:ser>
        <c:ser>
          <c:idx val="1"/>
          <c:order val="1"/>
          <c:tx>
            <c:v>Cash Flow - High Hypothesis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Feuil1!$E$136:$I$136</c:f>
              <c:numCache>
                <c:formatCode>#\ ##0\ "€"</c:formatCode>
                <c:ptCount val="5"/>
                <c:pt idx="0">
                  <c:v>128005.75466666663</c:v>
                </c:pt>
                <c:pt idx="1">
                  <c:v>232586.53706666664</c:v>
                </c:pt>
                <c:pt idx="2">
                  <c:v>438433.58391466673</c:v>
                </c:pt>
                <c:pt idx="3">
                  <c:v>683515.51433962665</c:v>
                </c:pt>
                <c:pt idx="4">
                  <c:v>1025973.7169385067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A-4188-90B3-EE41A40D2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561248"/>
        <c:axId val="-2132558224"/>
      </c:lineChart>
      <c:catAx>
        <c:axId val="-213256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32558224"/>
        <c:crosses val="autoZero"/>
        <c:auto val="1"/>
        <c:lblAlgn val="ctr"/>
        <c:lblOffset val="100"/>
        <c:noMultiLvlLbl val="0"/>
      </c:catAx>
      <c:valAx>
        <c:axId val="-213255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32561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776648"/>
        <c:axId val="551773040"/>
      </c:barChart>
      <c:catAx>
        <c:axId val="551776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1773040"/>
        <c:crosses val="autoZero"/>
        <c:auto val="1"/>
        <c:lblAlgn val="ctr"/>
        <c:lblOffset val="100"/>
        <c:noMultiLvlLbl val="0"/>
      </c:catAx>
      <c:valAx>
        <c:axId val="5517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177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CD84F3-FE1F-4557-8C2D-76B683FE337E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164353</xdr:colOff>
      <xdr:row>171</xdr:row>
      <xdr:rowOff>97117</xdr:rowOff>
    </xdr:from>
    <xdr:to>
      <xdr:col>10</xdr:col>
      <xdr:colOff>44823</xdr:colOff>
      <xdr:row>192</xdr:row>
      <xdr:rowOff>14942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C0FA2E-0BBB-4F97-9E72-B94B7059C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694764</xdr:colOff>
      <xdr:row>170</xdr:row>
      <xdr:rowOff>141940</xdr:rowOff>
    </xdr:from>
    <xdr:to>
      <xdr:col>20</xdr:col>
      <xdr:colOff>224118</xdr:colOff>
      <xdr:row>192</xdr:row>
      <xdr:rowOff>89646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2D6C74D-818B-4332-89FF-BB89187016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349" cy="6074434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FF47A5-2374-4CC7-9E0E-F9753EEE10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"/>
  <sheetViews>
    <sheetView tabSelected="1" topLeftCell="A133" zoomScaleNormal="100" workbookViewId="0">
      <selection activeCell="J156" sqref="J156"/>
    </sheetView>
  </sheetViews>
  <sheetFormatPr baseColWidth="10" defaultRowHeight="14.5"/>
  <cols>
    <col min="1" max="1" width="11.54296875" customWidth="1"/>
    <col min="2" max="2" width="20.26953125" customWidth="1"/>
    <col min="3" max="3" width="15" customWidth="1"/>
    <col min="4" max="4" width="12.54296875" customWidth="1"/>
    <col min="5" max="5" width="14.1796875" customWidth="1"/>
    <col min="6" max="6" width="11.7265625" customWidth="1"/>
    <col min="7" max="7" width="12.81640625" customWidth="1"/>
    <col min="8" max="8" width="12.453125" customWidth="1"/>
    <col min="9" max="9" width="11.7265625" customWidth="1"/>
    <col min="10" max="10" width="18" customWidth="1"/>
    <col min="11" max="11" width="13.453125" customWidth="1"/>
    <col min="12" max="12" width="26.1796875" bestFit="1" customWidth="1"/>
    <col min="13" max="13" width="14.81640625" customWidth="1"/>
    <col min="14" max="15" width="13.1796875" bestFit="1" customWidth="1"/>
    <col min="17" max="17" width="12.7265625" customWidth="1"/>
    <col min="18" max="18" width="12.453125" customWidth="1"/>
    <col min="19" max="19" width="12.81640625" customWidth="1"/>
  </cols>
  <sheetData>
    <row r="1" spans="2:28" ht="15" thickBot="1">
      <c r="B1" s="271" t="s">
        <v>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15" thickBot="1">
      <c r="B2" s="262" t="s">
        <v>5</v>
      </c>
      <c r="C2" s="263" t="s">
        <v>0</v>
      </c>
      <c r="D2" s="263" t="s">
        <v>1</v>
      </c>
      <c r="E2" s="263" t="s">
        <v>2</v>
      </c>
      <c r="F2" s="263" t="s">
        <v>3</v>
      </c>
      <c r="G2" s="264" t="s">
        <v>4</v>
      </c>
      <c r="I2" t="s">
        <v>15</v>
      </c>
      <c r="J2" s="272" t="s">
        <v>11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>
      <c r="B3" s="265">
        <v>12</v>
      </c>
      <c r="C3" s="261">
        <v>8000</v>
      </c>
      <c r="D3" s="261">
        <f>C3*1.05</f>
        <v>8400</v>
      </c>
      <c r="E3" s="261">
        <f t="shared" ref="E3:G3" si="0">D3*1.05</f>
        <v>8820</v>
      </c>
      <c r="F3" s="261">
        <f t="shared" si="0"/>
        <v>9261</v>
      </c>
      <c r="G3" s="266">
        <f t="shared" si="0"/>
        <v>9724.0500000000011</v>
      </c>
      <c r="J3" s="81"/>
      <c r="K3" s="7" t="s">
        <v>0</v>
      </c>
      <c r="L3" s="7" t="s">
        <v>1</v>
      </c>
      <c r="M3" s="7" t="s">
        <v>2</v>
      </c>
      <c r="N3" s="7" t="s">
        <v>3</v>
      </c>
      <c r="O3" s="8" t="s">
        <v>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>
      <c r="B4" s="265">
        <v>13</v>
      </c>
      <c r="C4" s="261">
        <f>C3*B4/B3</f>
        <v>8666.6666666666661</v>
      </c>
      <c r="D4" s="261">
        <f t="shared" ref="D4:G4" si="1">C4*1.05</f>
        <v>9100</v>
      </c>
      <c r="E4" s="261">
        <f t="shared" si="1"/>
        <v>9555</v>
      </c>
      <c r="F4" s="261">
        <f t="shared" si="1"/>
        <v>10032.75</v>
      </c>
      <c r="G4" s="266">
        <f t="shared" si="1"/>
        <v>10534.387500000001</v>
      </c>
      <c r="J4" s="3" t="s">
        <v>12</v>
      </c>
      <c r="K4" s="2">
        <f>C33*C39+C38*C27+C37*C22</f>
        <v>496533.33333333326</v>
      </c>
      <c r="L4" s="2">
        <f>D33*D39+D38*D27+D37*D22</f>
        <v>712770</v>
      </c>
      <c r="M4" s="2">
        <f t="shared" ref="M4:N4" si="2">E33*E39+E38*E27+E37*E22</f>
        <v>1166053.2000000002</v>
      </c>
      <c r="N4" s="2">
        <f t="shared" si="2"/>
        <v>1308467.4879999999</v>
      </c>
      <c r="O4" s="4">
        <f>G33*G39+G38*G27+G37*G22</f>
        <v>1847505.1811799998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>
      <c r="B5" s="265">
        <v>14</v>
      </c>
      <c r="C5" s="261">
        <f t="shared" ref="C5:C16" si="3">C4*B5/B4</f>
        <v>9333.3333333333321</v>
      </c>
      <c r="D5" s="261">
        <f t="shared" ref="D5:G5" si="4">C5*1.05</f>
        <v>9800</v>
      </c>
      <c r="E5" s="261">
        <f t="shared" si="4"/>
        <v>10290</v>
      </c>
      <c r="F5" s="261">
        <f t="shared" si="4"/>
        <v>10804.5</v>
      </c>
      <c r="G5" s="266">
        <f t="shared" si="4"/>
        <v>11344.725</v>
      </c>
      <c r="J5" s="20" t="s">
        <v>13</v>
      </c>
      <c r="K5" s="72">
        <f>C83+(C37*$C$90*$B$22+$C$91*$B$27*C38+C39*$C$92*$B$33)+(C37+C38+C39)*C96</f>
        <v>464686</v>
      </c>
      <c r="L5" s="72">
        <f t="shared" ref="L5:N5" si="5">D83+(D37*$C$90*$B$22+$C$91*$B$27*D38+D39*$C$92*$B$33)+(D37+D38+D39)*D96</f>
        <v>434597.8</v>
      </c>
      <c r="M5" s="72">
        <f t="shared" si="5"/>
        <v>629589.35599999991</v>
      </c>
      <c r="N5" s="72">
        <f t="shared" si="5"/>
        <v>671956.74712000007</v>
      </c>
      <c r="O5" s="72">
        <f>G83+(G37*$C$90*$B$22+$C$91*$B$27*G38+G39*$C$92*$B$33)+(G37+G38+G39)*G96</f>
        <v>962627.81903999997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>
      <c r="B6" s="265">
        <v>15</v>
      </c>
      <c r="C6" s="261">
        <f t="shared" si="3"/>
        <v>9999.9999999999982</v>
      </c>
      <c r="D6" s="261">
        <f t="shared" ref="D6:G6" si="6">C6*1.05</f>
        <v>10499.999999999998</v>
      </c>
      <c r="E6" s="261">
        <f t="shared" si="6"/>
        <v>11024.999999999998</v>
      </c>
      <c r="F6" s="261">
        <f t="shared" si="6"/>
        <v>11576.249999999998</v>
      </c>
      <c r="G6" s="266">
        <f t="shared" si="6"/>
        <v>12155.062499999998</v>
      </c>
      <c r="J6" s="20" t="s">
        <v>14</v>
      </c>
      <c r="K6" s="2">
        <v>0</v>
      </c>
      <c r="L6" s="2">
        <v>0</v>
      </c>
      <c r="M6" s="2">
        <v>0</v>
      </c>
      <c r="N6" s="2">
        <v>0</v>
      </c>
      <c r="O6" s="4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>
      <c r="B7" s="265">
        <v>16</v>
      </c>
      <c r="C7" s="261">
        <f t="shared" si="3"/>
        <v>10666.666666666664</v>
      </c>
      <c r="D7" s="261">
        <f t="shared" ref="D7:G7" si="7">C7*1.05</f>
        <v>11199.999999999998</v>
      </c>
      <c r="E7" s="261">
        <f t="shared" si="7"/>
        <v>11759.999999999998</v>
      </c>
      <c r="F7" s="261">
        <f t="shared" si="7"/>
        <v>12347.999999999998</v>
      </c>
      <c r="G7" s="266">
        <f t="shared" si="7"/>
        <v>12965.399999999998</v>
      </c>
      <c r="J7" s="21" t="s">
        <v>69</v>
      </c>
      <c r="K7" s="73">
        <f>K4-K5-K6</f>
        <v>31847.333333333256</v>
      </c>
      <c r="L7" s="73">
        <f t="shared" ref="L7:O7" si="8">L4-L5-L6</f>
        <v>278172.2</v>
      </c>
      <c r="M7" s="73">
        <f t="shared" si="8"/>
        <v>536463.84400000027</v>
      </c>
      <c r="N7" s="73">
        <f t="shared" si="8"/>
        <v>636510.74087999982</v>
      </c>
      <c r="O7" s="77">
        <f t="shared" si="8"/>
        <v>884877.36213999987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>
      <c r="B8" s="265">
        <v>17</v>
      </c>
      <c r="C8" s="261">
        <f t="shared" si="3"/>
        <v>11333.33333333333</v>
      </c>
      <c r="D8" s="261">
        <f t="shared" ref="D8:G8" si="9">C8*1.05</f>
        <v>11899.999999999998</v>
      </c>
      <c r="E8" s="261">
        <f t="shared" si="9"/>
        <v>12494.999999999998</v>
      </c>
      <c r="F8" s="261">
        <f t="shared" si="9"/>
        <v>13119.749999999998</v>
      </c>
      <c r="G8" s="266">
        <f t="shared" si="9"/>
        <v>13775.737499999999</v>
      </c>
      <c r="J8" s="20" t="s">
        <v>17</v>
      </c>
      <c r="K8" s="2">
        <v>1200</v>
      </c>
      <c r="L8" s="2">
        <v>960</v>
      </c>
      <c r="M8" s="2">
        <v>715</v>
      </c>
      <c r="N8" s="74">
        <v>466</v>
      </c>
      <c r="O8" s="4">
        <v>211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>
      <c r="B9" s="265">
        <v>18</v>
      </c>
      <c r="C9" s="261">
        <f t="shared" si="3"/>
        <v>11999.999999999996</v>
      </c>
      <c r="D9" s="261">
        <f t="shared" ref="D9:G9" si="10">C9*1.05</f>
        <v>12599.999999999996</v>
      </c>
      <c r="E9" s="261">
        <f t="shared" si="10"/>
        <v>13229.999999999996</v>
      </c>
      <c r="F9" s="261">
        <f t="shared" si="10"/>
        <v>13891.499999999996</v>
      </c>
      <c r="G9" s="266">
        <f t="shared" si="10"/>
        <v>14586.074999999997</v>
      </c>
      <c r="J9" s="20" t="s">
        <v>18</v>
      </c>
      <c r="K9" s="2">
        <f>K7-K8</f>
        <v>30647.333333333256</v>
      </c>
      <c r="L9" s="2">
        <f t="shared" ref="L9:O9" si="11">L7-L8</f>
        <v>277212.2</v>
      </c>
      <c r="M9" s="2">
        <f t="shared" si="11"/>
        <v>535748.84400000027</v>
      </c>
      <c r="N9" s="2">
        <f t="shared" si="11"/>
        <v>636044.74087999982</v>
      </c>
      <c r="O9" s="4">
        <f t="shared" si="11"/>
        <v>884666.36213999987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>
      <c r="B10" s="265">
        <v>19</v>
      </c>
      <c r="C10" s="261">
        <f t="shared" si="3"/>
        <v>12666.666666666664</v>
      </c>
      <c r="D10" s="261">
        <f t="shared" ref="D10:G10" si="12">C10*1.05</f>
        <v>13299.999999999998</v>
      </c>
      <c r="E10" s="261">
        <f t="shared" si="12"/>
        <v>13964.999999999998</v>
      </c>
      <c r="F10" s="261">
        <f t="shared" si="12"/>
        <v>14663.249999999998</v>
      </c>
      <c r="G10" s="266">
        <f t="shared" si="12"/>
        <v>15396.412499999999</v>
      </c>
      <c r="J10" s="20" t="s">
        <v>19</v>
      </c>
      <c r="K10" s="2">
        <f>K9*0.33</f>
        <v>10113.619999999975</v>
      </c>
      <c r="L10" s="2">
        <f>0.33*L9</f>
        <v>91480.026000000013</v>
      </c>
      <c r="M10" s="2">
        <f t="shared" ref="M10:O10" si="13">0.33*M9</f>
        <v>176797.11852000011</v>
      </c>
      <c r="N10" s="2">
        <f t="shared" si="13"/>
        <v>209894.76449039995</v>
      </c>
      <c r="O10" s="4">
        <f t="shared" si="13"/>
        <v>291939.89950619999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>
      <c r="B11" s="265">
        <v>20</v>
      </c>
      <c r="C11" s="261">
        <f t="shared" si="3"/>
        <v>13333.33333333333</v>
      </c>
      <c r="D11" s="261">
        <f t="shared" ref="D11:G11" si="14">C11*1.05</f>
        <v>13999.999999999998</v>
      </c>
      <c r="E11" s="261">
        <f t="shared" si="14"/>
        <v>14699.999999999998</v>
      </c>
      <c r="F11" s="261">
        <f t="shared" si="14"/>
        <v>15434.999999999998</v>
      </c>
      <c r="G11" s="266">
        <f t="shared" si="14"/>
        <v>16206.749999999998</v>
      </c>
      <c r="J11" s="21" t="s">
        <v>20</v>
      </c>
      <c r="K11" s="73">
        <f>K9-K10</f>
        <v>20533.713333333282</v>
      </c>
      <c r="L11" s="73">
        <f>L9-L10</f>
        <v>185732.174</v>
      </c>
      <c r="M11" s="73">
        <f t="shared" ref="M11:O11" si="15">M9-M10</f>
        <v>358951.72548000014</v>
      </c>
      <c r="N11" s="73">
        <f t="shared" si="15"/>
        <v>426149.97638959985</v>
      </c>
      <c r="O11" s="77">
        <f t="shared" si="15"/>
        <v>592726.46263379988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>
      <c r="B12" s="265">
        <v>21</v>
      </c>
      <c r="C12" s="261">
        <f t="shared" si="3"/>
        <v>13999.999999999996</v>
      </c>
      <c r="D12" s="261">
        <f t="shared" ref="D12:G12" si="16">C12*1.05</f>
        <v>14699.999999999996</v>
      </c>
      <c r="E12" s="261">
        <f t="shared" si="16"/>
        <v>15434.999999999996</v>
      </c>
      <c r="F12" s="261">
        <f t="shared" si="16"/>
        <v>16206.749999999996</v>
      </c>
      <c r="G12" s="266">
        <f t="shared" si="16"/>
        <v>17017.087499999998</v>
      </c>
      <c r="J12" s="3"/>
      <c r="K12" s="1"/>
      <c r="L12" s="1"/>
      <c r="M12" s="1"/>
      <c r="N12" s="1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5" thickBot="1">
      <c r="B13" s="265">
        <v>22</v>
      </c>
      <c r="C13" s="261">
        <f t="shared" si="3"/>
        <v>14666.666666666664</v>
      </c>
      <c r="D13" s="261">
        <f t="shared" ref="D13:G13" si="17">C13*1.05</f>
        <v>15399.999999999998</v>
      </c>
      <c r="E13" s="261">
        <f t="shared" si="17"/>
        <v>16169.999999999998</v>
      </c>
      <c r="F13" s="261">
        <f t="shared" si="17"/>
        <v>16978.5</v>
      </c>
      <c r="G13" s="266">
        <f t="shared" si="17"/>
        <v>17827.424999999999</v>
      </c>
      <c r="J13" s="22" t="s">
        <v>21</v>
      </c>
      <c r="K13" s="75">
        <f>K7*0.66</f>
        <v>21019.239999999951</v>
      </c>
      <c r="L13" s="75">
        <f>L7*0.66</f>
        <v>183593.652</v>
      </c>
      <c r="M13" s="75">
        <f t="shared" ref="M13:O13" si="18">M7*0.66</f>
        <v>354066.13704000018</v>
      </c>
      <c r="N13" s="75">
        <f t="shared" si="18"/>
        <v>420097.08898079989</v>
      </c>
      <c r="O13" s="78">
        <f t="shared" si="18"/>
        <v>584019.05901239999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>
      <c r="B14" s="265">
        <v>23</v>
      </c>
      <c r="C14" s="261">
        <f t="shared" si="3"/>
        <v>15333.33333333333</v>
      </c>
      <c r="D14" s="261">
        <f t="shared" ref="D14:G14" si="19">C14*1.05</f>
        <v>16099.999999999998</v>
      </c>
      <c r="E14" s="261">
        <f t="shared" si="19"/>
        <v>16905</v>
      </c>
      <c r="F14" s="261">
        <f t="shared" si="19"/>
        <v>17750.25</v>
      </c>
      <c r="G14" s="266">
        <f t="shared" si="19"/>
        <v>18637.762500000001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>
      <c r="B15" s="265">
        <v>24</v>
      </c>
      <c r="C15" s="261">
        <f t="shared" si="3"/>
        <v>15999.999999999998</v>
      </c>
      <c r="D15" s="261">
        <f t="shared" ref="D15:G15" si="20">C15*1.05</f>
        <v>16800</v>
      </c>
      <c r="E15" s="261">
        <f t="shared" si="20"/>
        <v>17640</v>
      </c>
      <c r="F15" s="261">
        <f t="shared" si="20"/>
        <v>18522</v>
      </c>
      <c r="G15" s="266">
        <f t="shared" si="20"/>
        <v>19448.100000000002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5" thickBot="1">
      <c r="B16" s="267">
        <v>25</v>
      </c>
      <c r="C16" s="261">
        <f t="shared" si="3"/>
        <v>16666.666666666664</v>
      </c>
      <c r="D16" s="268">
        <f t="shared" ref="D16:G16" si="21">C16*1.05</f>
        <v>17500</v>
      </c>
      <c r="E16" s="268">
        <f t="shared" si="21"/>
        <v>18375</v>
      </c>
      <c r="F16" s="268">
        <f t="shared" si="21"/>
        <v>19293.75</v>
      </c>
      <c r="G16" s="269">
        <f t="shared" si="21"/>
        <v>20258.4375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>
      <c r="B17" s="257"/>
      <c r="C17" s="260"/>
      <c r="D17" s="260"/>
      <c r="E17" s="25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5" thickBot="1">
      <c r="B18" s="270" t="s">
        <v>126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5" thickBot="1">
      <c r="B19" s="262" t="s">
        <v>5</v>
      </c>
      <c r="C19" s="263" t="s">
        <v>0</v>
      </c>
      <c r="D19" s="263" t="s">
        <v>1</v>
      </c>
      <c r="E19" s="263" t="s">
        <v>2</v>
      </c>
      <c r="F19" s="263" t="s">
        <v>3</v>
      </c>
      <c r="G19" s="264" t="s">
        <v>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5" thickBot="1">
      <c r="B20" s="9">
        <v>12</v>
      </c>
      <c r="C20" s="10">
        <f>C3+$C$90*$B20+C$96</f>
        <v>12780</v>
      </c>
      <c r="D20" s="10">
        <f t="shared" ref="D20:G20" si="22">D3+$C$90*$B20+D$96</f>
        <v>13192</v>
      </c>
      <c r="E20" s="10">
        <f t="shared" si="22"/>
        <v>13624.24</v>
      </c>
      <c r="F20" s="10">
        <f t="shared" si="22"/>
        <v>14077.7248</v>
      </c>
      <c r="G20" s="11">
        <f t="shared" si="22"/>
        <v>14553.509296</v>
      </c>
      <c r="I20" t="s">
        <v>16</v>
      </c>
      <c r="J20" s="272" t="s">
        <v>11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>
      <c r="B21" s="9">
        <v>13</v>
      </c>
      <c r="C21" s="10">
        <f t="shared" ref="C21:G22" si="23">C4+$C$90*$B21+C$96</f>
        <v>13746.666666666666</v>
      </c>
      <c r="D21" s="10">
        <f t="shared" si="23"/>
        <v>14192</v>
      </c>
      <c r="E21" s="10">
        <f t="shared" si="23"/>
        <v>14659.24</v>
      </c>
      <c r="F21" s="10">
        <f t="shared" si="23"/>
        <v>15149.4748</v>
      </c>
      <c r="G21" s="11">
        <f t="shared" si="23"/>
        <v>15663.846796000002</v>
      </c>
      <c r="I21" s="1"/>
      <c r="J21" s="81"/>
      <c r="K21" s="7" t="s">
        <v>0</v>
      </c>
      <c r="L21" s="7" t="s">
        <v>1</v>
      </c>
      <c r="M21" s="7" t="s">
        <v>2</v>
      </c>
      <c r="N21" s="7" t="s">
        <v>3</v>
      </c>
      <c r="O21" s="8" t="s">
        <v>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>
      <c r="B22" s="9">
        <v>14</v>
      </c>
      <c r="C22" s="10">
        <f t="shared" si="23"/>
        <v>14713.333333333332</v>
      </c>
      <c r="D22" s="10">
        <f t="shared" si="23"/>
        <v>15192</v>
      </c>
      <c r="E22" s="10">
        <f t="shared" si="23"/>
        <v>15694.24</v>
      </c>
      <c r="F22" s="10">
        <f t="shared" si="23"/>
        <v>16221.2248</v>
      </c>
      <c r="G22" s="11">
        <f t="shared" si="23"/>
        <v>16774.184295999999</v>
      </c>
      <c r="J22" s="3" t="s">
        <v>12</v>
      </c>
      <c r="K22" s="2">
        <f>C28*C47+C46*C23+C45*C20</f>
        <v>286276.66666666663</v>
      </c>
      <c r="L22" s="2">
        <f t="shared" ref="L22:O22" si="24">D28*D47+D46*D23+D45*D20</f>
        <v>430425</v>
      </c>
      <c r="M22" s="2">
        <f t="shared" si="24"/>
        <v>711499.6</v>
      </c>
      <c r="N22" s="2">
        <f t="shared" si="24"/>
        <v>827581.36599999992</v>
      </c>
      <c r="O22" s="2">
        <f t="shared" si="24"/>
        <v>1244535.36674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>
      <c r="B23" s="9">
        <v>15</v>
      </c>
      <c r="C23" s="10">
        <f>C6+$C$91*$B23+C$96</f>
        <v>15304.999999999998</v>
      </c>
      <c r="D23" s="10">
        <f t="shared" ref="D23:G23" si="25">D6+$C$91*$B23+D$96</f>
        <v>15816.999999999998</v>
      </c>
      <c r="E23" s="10">
        <f t="shared" si="25"/>
        <v>16354.239999999998</v>
      </c>
      <c r="F23" s="10">
        <f t="shared" si="25"/>
        <v>16917.974799999996</v>
      </c>
      <c r="G23" s="11">
        <f t="shared" si="25"/>
        <v>17509.521795999997</v>
      </c>
      <c r="J23" s="20" t="s">
        <v>13</v>
      </c>
      <c r="K23" s="72">
        <f>C83+(C45*$C$90*$B$20+$C$91*$B$23*C46+C47*$C$92*$B$28)+(C45+C46+C47)*C96</f>
        <v>397096</v>
      </c>
      <c r="L23" s="72">
        <f t="shared" ref="L23:N23" si="26">D83+(D45*$C$90*$B$20+$C$91*$B$23*D46+D47*$C$92*$B$28)+(D45+D46+D47)*D96</f>
        <v>346852.8</v>
      </c>
      <c r="M23" s="72">
        <f t="shared" si="26"/>
        <v>494025.75599999999</v>
      </c>
      <c r="N23" s="72">
        <f t="shared" si="26"/>
        <v>532955.87511999998</v>
      </c>
      <c r="O23" s="72">
        <f>G83+(G45*$C$90*$B$20+$C$91*$B$23*G46+G47*$C$92*$B$28)+(G45+G46+G47)*G96</f>
        <v>798860.92960000003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>
      <c r="B24" s="9">
        <v>16</v>
      </c>
      <c r="C24" s="10">
        <f t="shared" ref="C24:G27" si="27">C7+$C$91*$B24+C$96</f>
        <v>16246.666666666664</v>
      </c>
      <c r="D24" s="10">
        <f t="shared" si="27"/>
        <v>16792</v>
      </c>
      <c r="E24" s="10">
        <f t="shared" si="27"/>
        <v>17364.239999999998</v>
      </c>
      <c r="F24" s="10">
        <f t="shared" si="27"/>
        <v>17964.7248</v>
      </c>
      <c r="G24" s="11">
        <f t="shared" si="27"/>
        <v>18594.859295999999</v>
      </c>
      <c r="J24" s="20" t="s">
        <v>14</v>
      </c>
      <c r="K24" s="72">
        <v>0</v>
      </c>
      <c r="L24" s="72">
        <v>0</v>
      </c>
      <c r="M24" s="72">
        <v>0</v>
      </c>
      <c r="N24" s="72">
        <v>0</v>
      </c>
      <c r="O24" s="76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>
      <c r="B25" s="9">
        <v>17</v>
      </c>
      <c r="C25" s="10">
        <f t="shared" si="27"/>
        <v>17188.333333333328</v>
      </c>
      <c r="D25" s="10">
        <f t="shared" si="27"/>
        <v>17767</v>
      </c>
      <c r="E25" s="10">
        <f t="shared" si="27"/>
        <v>18374.240000000002</v>
      </c>
      <c r="F25" s="10">
        <f t="shared" si="27"/>
        <v>19011.4748</v>
      </c>
      <c r="G25" s="11">
        <f t="shared" si="27"/>
        <v>19680.196796</v>
      </c>
      <c r="J25" s="21" t="s">
        <v>69</v>
      </c>
      <c r="K25" s="79">
        <f>K22-K23</f>
        <v>-110819.33333333337</v>
      </c>
      <c r="L25" s="79">
        <f t="shared" ref="L25:O25" si="28">L22-L23</f>
        <v>83572.200000000012</v>
      </c>
      <c r="M25" s="79">
        <f t="shared" si="28"/>
        <v>217473.84399999998</v>
      </c>
      <c r="N25" s="79">
        <f t="shared" si="28"/>
        <v>294625.49087999994</v>
      </c>
      <c r="O25" s="82">
        <f t="shared" si="28"/>
        <v>445674.43713999994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>
      <c r="B26" s="9">
        <v>18</v>
      </c>
      <c r="C26" s="10">
        <f t="shared" si="27"/>
        <v>18129.999999999996</v>
      </c>
      <c r="D26" s="10">
        <f t="shared" si="27"/>
        <v>18741.999999999996</v>
      </c>
      <c r="E26" s="10">
        <f t="shared" si="27"/>
        <v>19384.239999999998</v>
      </c>
      <c r="F26" s="10">
        <f t="shared" si="27"/>
        <v>20058.224799999996</v>
      </c>
      <c r="G26" s="11">
        <f t="shared" si="27"/>
        <v>20765.534295999998</v>
      </c>
      <c r="J26" s="20" t="s">
        <v>17</v>
      </c>
      <c r="K26" s="2">
        <f>K8</f>
        <v>1200</v>
      </c>
      <c r="L26" s="2">
        <f>L8</f>
        <v>960</v>
      </c>
      <c r="M26" s="2">
        <f>M8</f>
        <v>715</v>
      </c>
      <c r="N26" s="2">
        <f>N8</f>
        <v>466</v>
      </c>
      <c r="O26" s="4">
        <f>O8</f>
        <v>211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>
      <c r="B27" s="9">
        <v>19</v>
      </c>
      <c r="C27" s="10">
        <f t="shared" si="27"/>
        <v>19071.666666666664</v>
      </c>
      <c r="D27" s="10">
        <f t="shared" si="27"/>
        <v>19717</v>
      </c>
      <c r="E27" s="10">
        <f t="shared" si="27"/>
        <v>20394.240000000002</v>
      </c>
      <c r="F27" s="10">
        <f t="shared" si="27"/>
        <v>21104.9748</v>
      </c>
      <c r="G27" s="11">
        <f t="shared" si="27"/>
        <v>21850.871795999999</v>
      </c>
      <c r="J27" s="20" t="s">
        <v>18</v>
      </c>
      <c r="K27" s="72">
        <f>K25-K26</f>
        <v>-112019.33333333337</v>
      </c>
      <c r="L27" s="72">
        <f t="shared" ref="L27:O27" si="29">L25-L26</f>
        <v>82612.200000000012</v>
      </c>
      <c r="M27" s="72">
        <f t="shared" si="29"/>
        <v>216758.84399999998</v>
      </c>
      <c r="N27" s="72">
        <f t="shared" si="29"/>
        <v>294159.49087999994</v>
      </c>
      <c r="O27" s="76">
        <f t="shared" si="29"/>
        <v>445463.43713999994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>
      <c r="B28" s="9">
        <v>20</v>
      </c>
      <c r="C28" s="10">
        <f>C11+$C$92*$B28+C$96</f>
        <v>19513.333333333328</v>
      </c>
      <c r="D28" s="10">
        <f t="shared" ref="D28:G28" si="30">D11+$C$92*$B28+D$96</f>
        <v>20192</v>
      </c>
      <c r="E28" s="10">
        <f t="shared" si="30"/>
        <v>20904.240000000002</v>
      </c>
      <c r="F28" s="10">
        <f t="shared" si="30"/>
        <v>21651.7248</v>
      </c>
      <c r="G28" s="11">
        <f t="shared" si="30"/>
        <v>22436.209296000001</v>
      </c>
      <c r="J28" s="20" t="s">
        <v>19</v>
      </c>
      <c r="K28" s="72">
        <v>0</v>
      </c>
      <c r="L28" s="72">
        <f>L27*0.33</f>
        <v>27262.026000000005</v>
      </c>
      <c r="M28" s="72">
        <f t="shared" ref="M28:O28" si="31">M27*0.33</f>
        <v>71530.418519999992</v>
      </c>
      <c r="N28" s="72">
        <f t="shared" si="31"/>
        <v>97072.631990399983</v>
      </c>
      <c r="O28" s="76">
        <f t="shared" si="31"/>
        <v>147002.93425619998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>
      <c r="B29" s="9">
        <v>21</v>
      </c>
      <c r="C29" s="10">
        <f t="shared" ref="C29:G33" si="32">C12+$C$92*$B29+C$96</f>
        <v>20429.999999999996</v>
      </c>
      <c r="D29" s="10">
        <f t="shared" si="32"/>
        <v>21141.999999999996</v>
      </c>
      <c r="E29" s="10">
        <f t="shared" si="32"/>
        <v>21889.239999999998</v>
      </c>
      <c r="F29" s="10">
        <f t="shared" si="32"/>
        <v>22673.474799999996</v>
      </c>
      <c r="G29" s="11">
        <f t="shared" si="32"/>
        <v>23496.546795999999</v>
      </c>
      <c r="J29" s="21" t="s">
        <v>20</v>
      </c>
      <c r="K29" s="79">
        <f>K27-K28</f>
        <v>-112019.33333333337</v>
      </c>
      <c r="L29" s="79">
        <f t="shared" ref="L29:O29" si="33">L27-L28</f>
        <v>55350.174000000006</v>
      </c>
      <c r="M29" s="79">
        <f t="shared" si="33"/>
        <v>145228.42547999998</v>
      </c>
      <c r="N29" s="79">
        <f t="shared" si="33"/>
        <v>197086.85888959997</v>
      </c>
      <c r="O29" s="82">
        <f t="shared" si="33"/>
        <v>298460.50288379996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>
      <c r="B30" s="9">
        <v>22</v>
      </c>
      <c r="C30" s="10">
        <f t="shared" si="32"/>
        <v>21346.666666666664</v>
      </c>
      <c r="D30" s="10">
        <f t="shared" si="32"/>
        <v>22092</v>
      </c>
      <c r="E30" s="10">
        <f t="shared" si="32"/>
        <v>22874.240000000002</v>
      </c>
      <c r="F30" s="10">
        <f t="shared" si="32"/>
        <v>23695.2248</v>
      </c>
      <c r="G30" s="11">
        <f t="shared" si="32"/>
        <v>24556.884296</v>
      </c>
      <c r="J30" s="3"/>
      <c r="K30" s="1"/>
      <c r="L30" s="1"/>
      <c r="M30" s="1"/>
      <c r="N30" s="1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5" thickBot="1">
      <c r="B31" s="9">
        <v>23</v>
      </c>
      <c r="C31" s="10">
        <f t="shared" si="32"/>
        <v>22263.333333333328</v>
      </c>
      <c r="D31" s="10">
        <f t="shared" si="32"/>
        <v>23042</v>
      </c>
      <c r="E31" s="10">
        <f t="shared" si="32"/>
        <v>23859.24</v>
      </c>
      <c r="F31" s="10">
        <f t="shared" si="32"/>
        <v>24716.9748</v>
      </c>
      <c r="G31" s="11">
        <f t="shared" si="32"/>
        <v>25617.221796000002</v>
      </c>
      <c r="J31" s="22" t="s">
        <v>21</v>
      </c>
      <c r="K31" s="80">
        <f>K25*0.66</f>
        <v>-73140.760000000024</v>
      </c>
      <c r="L31" s="80">
        <f t="shared" ref="L31:O31" si="34">L25*0.66</f>
        <v>55157.652000000009</v>
      </c>
      <c r="M31" s="80">
        <f t="shared" si="34"/>
        <v>143532.73704000001</v>
      </c>
      <c r="N31" s="80">
        <f t="shared" si="34"/>
        <v>194452.82398079996</v>
      </c>
      <c r="O31" s="83">
        <f t="shared" si="34"/>
        <v>294145.12851239997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>
      <c r="B32" s="9">
        <v>24</v>
      </c>
      <c r="C32" s="10">
        <f t="shared" si="32"/>
        <v>23180</v>
      </c>
      <c r="D32" s="10">
        <f t="shared" si="32"/>
        <v>23992</v>
      </c>
      <c r="E32" s="10">
        <f t="shared" si="32"/>
        <v>24844.240000000002</v>
      </c>
      <c r="F32" s="10">
        <f t="shared" si="32"/>
        <v>25738.7248</v>
      </c>
      <c r="G32" s="11">
        <f t="shared" si="32"/>
        <v>26677.559296000003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>
      <c r="B33" s="12">
        <v>25</v>
      </c>
      <c r="C33" s="13">
        <f t="shared" si="32"/>
        <v>24096.666666666664</v>
      </c>
      <c r="D33" s="13">
        <f t="shared" si="32"/>
        <v>24942</v>
      </c>
      <c r="E33" s="13">
        <f t="shared" si="32"/>
        <v>25829.24</v>
      </c>
      <c r="F33" s="13">
        <f t="shared" si="32"/>
        <v>26760.4748</v>
      </c>
      <c r="G33" s="14">
        <f t="shared" si="32"/>
        <v>27737.896796000001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B34" s="257"/>
      <c r="C34" s="260"/>
      <c r="D34" s="260"/>
      <c r="E34" s="25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t="s">
        <v>15</v>
      </c>
      <c r="B36" s="6" t="s">
        <v>7</v>
      </c>
      <c r="C36" s="7" t="s">
        <v>0</v>
      </c>
      <c r="D36" s="7" t="s">
        <v>1</v>
      </c>
      <c r="E36" s="7" t="s">
        <v>2</v>
      </c>
      <c r="F36" s="7" t="s">
        <v>3</v>
      </c>
      <c r="G36" s="8" t="s">
        <v>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B37" s="9" t="s">
        <v>8</v>
      </c>
      <c r="C37" s="16">
        <v>7</v>
      </c>
      <c r="D37" s="16">
        <v>10</v>
      </c>
      <c r="E37" s="16">
        <v>16</v>
      </c>
      <c r="F37" s="16">
        <v>18</v>
      </c>
      <c r="G37" s="17">
        <v>21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B38" s="9" t="s">
        <v>9</v>
      </c>
      <c r="C38" s="16">
        <v>8</v>
      </c>
      <c r="D38" s="16">
        <v>12</v>
      </c>
      <c r="E38" s="16">
        <v>17</v>
      </c>
      <c r="F38" s="16">
        <v>19</v>
      </c>
      <c r="G38" s="17">
        <v>24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>
      <c r="B39" s="12" t="s">
        <v>10</v>
      </c>
      <c r="C39" s="18">
        <v>10</v>
      </c>
      <c r="D39" s="18">
        <v>13</v>
      </c>
      <c r="E39" s="18">
        <v>22</v>
      </c>
      <c r="F39" s="18">
        <v>23</v>
      </c>
      <c r="G39" s="19">
        <v>35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>
      <c r="B40" s="249" t="s">
        <v>125</v>
      </c>
      <c r="C40" s="250">
        <f>SUM(C37:C39)</f>
        <v>25</v>
      </c>
      <c r="D40" s="250">
        <f t="shared" ref="D40:G40" si="35">SUM(D37:D39)</f>
        <v>35</v>
      </c>
      <c r="E40" s="250">
        <f t="shared" si="35"/>
        <v>55</v>
      </c>
      <c r="F40" s="250">
        <f t="shared" si="35"/>
        <v>60</v>
      </c>
      <c r="G40" s="251">
        <f t="shared" si="35"/>
        <v>80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t="s">
        <v>16</v>
      </c>
      <c r="B44" s="6" t="s">
        <v>7</v>
      </c>
      <c r="C44" s="7" t="s">
        <v>0</v>
      </c>
      <c r="D44" s="7" t="s">
        <v>1</v>
      </c>
      <c r="E44" s="7" t="s">
        <v>2</v>
      </c>
      <c r="F44" s="7" t="s">
        <v>3</v>
      </c>
      <c r="G44" s="8" t="s">
        <v>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B45" s="9" t="s">
        <v>8</v>
      </c>
      <c r="C45" s="16">
        <v>3</v>
      </c>
      <c r="D45" s="16">
        <v>5</v>
      </c>
      <c r="E45" s="16">
        <v>9</v>
      </c>
      <c r="F45" s="16">
        <v>10</v>
      </c>
      <c r="G45" s="17">
        <v>14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B46" s="9" t="s">
        <v>9</v>
      </c>
      <c r="C46" s="16">
        <v>6</v>
      </c>
      <c r="D46" s="16">
        <v>9</v>
      </c>
      <c r="E46" s="16">
        <v>13</v>
      </c>
      <c r="F46" s="16">
        <v>15</v>
      </c>
      <c r="G46" s="17">
        <v>21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>
      <c r="B47" s="244" t="s">
        <v>10</v>
      </c>
      <c r="C47" s="245">
        <v>8</v>
      </c>
      <c r="D47" s="245">
        <v>11</v>
      </c>
      <c r="E47" s="245">
        <v>18</v>
      </c>
      <c r="F47" s="245">
        <v>20</v>
      </c>
      <c r="G47" s="246">
        <v>30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>
      <c r="B48" s="247" t="s">
        <v>125</v>
      </c>
      <c r="C48" s="248">
        <f>SUM(C45:C47)</f>
        <v>17</v>
      </c>
      <c r="D48" s="248">
        <f t="shared" ref="D48:G48" si="36">SUM(D45:D47)</f>
        <v>25</v>
      </c>
      <c r="E48" s="248">
        <f t="shared" si="36"/>
        <v>40</v>
      </c>
      <c r="F48" s="248">
        <f t="shared" si="36"/>
        <v>45</v>
      </c>
      <c r="G48" s="248">
        <f t="shared" si="36"/>
        <v>65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53" spans="2:7" ht="15" thickBot="1"/>
    <row r="54" spans="2:7" ht="15" thickBot="1">
      <c r="B54" s="87" t="s">
        <v>22</v>
      </c>
      <c r="C54" s="23"/>
      <c r="D54" s="23"/>
      <c r="E54" s="23"/>
      <c r="F54" s="23"/>
      <c r="G54" s="23"/>
    </row>
    <row r="55" spans="2:7" ht="15" thickBot="1">
      <c r="B55" s="24" t="s">
        <v>23</v>
      </c>
      <c r="C55" s="91" t="s">
        <v>0</v>
      </c>
      <c r="D55" s="92" t="s">
        <v>1</v>
      </c>
      <c r="E55" s="92" t="s">
        <v>2</v>
      </c>
      <c r="F55" s="92" t="s">
        <v>3</v>
      </c>
      <c r="G55" s="93" t="s">
        <v>4</v>
      </c>
    </row>
    <row r="56" spans="2:7">
      <c r="B56" s="25" t="s">
        <v>24</v>
      </c>
      <c r="C56" s="26">
        <v>30000</v>
      </c>
      <c r="D56" s="26">
        <v>20000</v>
      </c>
      <c r="E56" s="26">
        <v>20000</v>
      </c>
      <c r="F56" s="26">
        <v>30000</v>
      </c>
      <c r="G56" s="27">
        <v>30000</v>
      </c>
    </row>
    <row r="57" spans="2:7">
      <c r="B57" s="28" t="s">
        <v>25</v>
      </c>
      <c r="C57" s="29">
        <v>20000</v>
      </c>
      <c r="D57" s="29">
        <v>20000</v>
      </c>
      <c r="E57" s="29">
        <v>30000</v>
      </c>
      <c r="F57" s="29">
        <v>30000</v>
      </c>
      <c r="G57" s="30">
        <v>40000</v>
      </c>
    </row>
    <row r="58" spans="2:7">
      <c r="B58" s="28" t="s">
        <v>26</v>
      </c>
      <c r="C58" s="29">
        <v>30000</v>
      </c>
      <c r="D58" s="29">
        <v>0</v>
      </c>
      <c r="E58" s="29">
        <v>0</v>
      </c>
      <c r="F58" s="29">
        <v>0</v>
      </c>
      <c r="G58" s="30">
        <v>0</v>
      </c>
    </row>
    <row r="59" spans="2:7">
      <c r="B59" s="28" t="s">
        <v>27</v>
      </c>
      <c r="C59" s="29">
        <v>20000</v>
      </c>
      <c r="D59" s="29">
        <v>10000</v>
      </c>
      <c r="E59" s="29">
        <v>10000</v>
      </c>
      <c r="F59" s="29">
        <v>10000</v>
      </c>
      <c r="G59" s="30">
        <v>10000</v>
      </c>
    </row>
    <row r="60" spans="2:7" ht="15" thickBot="1">
      <c r="B60" s="31" t="s">
        <v>28</v>
      </c>
      <c r="C60" s="32">
        <f>SUM(C56:C59)</f>
        <v>100000</v>
      </c>
      <c r="D60" s="32">
        <f>SUM(D56:D59)</f>
        <v>50000</v>
      </c>
      <c r="E60" s="32">
        <f>SUM(E56:E59)</f>
        <v>60000</v>
      </c>
      <c r="F60" s="32">
        <f>SUM(F56:F59)</f>
        <v>70000</v>
      </c>
      <c r="G60" s="33">
        <f>SUM(G56:G59)</f>
        <v>80000</v>
      </c>
    </row>
    <row r="62" spans="2:7" ht="15" thickBot="1"/>
    <row r="63" spans="2:7" ht="15" thickBot="1">
      <c r="B63" s="34" t="s">
        <v>29</v>
      </c>
      <c r="C63" s="88" t="s">
        <v>0</v>
      </c>
      <c r="D63" s="89" t="s">
        <v>1</v>
      </c>
      <c r="E63" s="89" t="s">
        <v>2</v>
      </c>
      <c r="F63" s="89" t="s">
        <v>3</v>
      </c>
      <c r="G63" s="90" t="s">
        <v>4</v>
      </c>
    </row>
    <row r="64" spans="2:7" ht="15" thickBot="1">
      <c r="B64" s="36" t="s">
        <v>30</v>
      </c>
      <c r="C64" s="37"/>
      <c r="D64" s="37"/>
      <c r="E64" s="37"/>
      <c r="F64" s="37"/>
      <c r="G64" s="38"/>
    </row>
    <row r="65" spans="2:7">
      <c r="B65" s="25" t="s">
        <v>31</v>
      </c>
      <c r="C65" s="26">
        <v>311</v>
      </c>
      <c r="D65" s="26">
        <v>0</v>
      </c>
      <c r="E65" s="26">
        <v>0</v>
      </c>
      <c r="F65" s="26">
        <v>0</v>
      </c>
      <c r="G65" s="27">
        <v>0</v>
      </c>
    </row>
    <row r="66" spans="2:7">
      <c r="B66" s="28" t="s">
        <v>32</v>
      </c>
      <c r="C66" s="29">
        <v>200</v>
      </c>
      <c r="D66" s="29">
        <v>0</v>
      </c>
      <c r="E66" s="29">
        <v>0</v>
      </c>
      <c r="F66" s="29">
        <v>0</v>
      </c>
      <c r="G66" s="30">
        <v>0</v>
      </c>
    </row>
    <row r="67" spans="2:7" ht="15" thickBot="1">
      <c r="B67" s="39" t="s">
        <v>33</v>
      </c>
      <c r="C67" s="35"/>
      <c r="D67" s="35"/>
      <c r="E67" s="35"/>
      <c r="F67" s="35"/>
      <c r="G67" s="40"/>
    </row>
    <row r="68" spans="2:7" ht="15" thickBot="1">
      <c r="B68" s="41" t="s">
        <v>34</v>
      </c>
      <c r="C68" s="42">
        <f>SUM(C64:C67)</f>
        <v>511</v>
      </c>
      <c r="D68" s="42">
        <f>SUM(D64:D67)</f>
        <v>0</v>
      </c>
      <c r="E68" s="42">
        <f>SUM(E64:E67)</f>
        <v>0</v>
      </c>
      <c r="F68" s="42">
        <f>SUM(F64:F67)</f>
        <v>0</v>
      </c>
      <c r="G68" s="43">
        <f>SUM(G64:G67)</f>
        <v>0</v>
      </c>
    </row>
    <row r="70" spans="2:7" ht="15" thickBot="1"/>
    <row r="71" spans="2:7" ht="15" thickBot="1">
      <c r="B71" s="24" t="s">
        <v>35</v>
      </c>
      <c r="C71" s="94" t="s">
        <v>0</v>
      </c>
      <c r="D71" s="95" t="s">
        <v>1</v>
      </c>
      <c r="E71" s="95" t="s">
        <v>2</v>
      </c>
      <c r="F71" s="95" t="s">
        <v>3</v>
      </c>
      <c r="G71" s="96" t="s">
        <v>4</v>
      </c>
    </row>
    <row r="72" spans="2:7">
      <c r="B72" s="25" t="s">
        <v>36</v>
      </c>
      <c r="C72" s="44">
        <f>'cout fixe'!C14</f>
        <v>131040</v>
      </c>
      <c r="D72" s="44">
        <f>'cout fixe'!D14</f>
        <v>131040</v>
      </c>
      <c r="E72" s="44">
        <f>'cout fixe'!E14</f>
        <v>183456</v>
      </c>
      <c r="F72" s="44">
        <f>'cout fixe'!F14</f>
        <v>183456</v>
      </c>
      <c r="G72" s="97">
        <f>'cout fixe'!G14</f>
        <v>262080</v>
      </c>
    </row>
    <row r="73" spans="2:7">
      <c r="B73" s="28" t="s">
        <v>37</v>
      </c>
      <c r="C73" s="45">
        <f>'cout fixe'!C33</f>
        <v>250</v>
      </c>
      <c r="D73" s="45">
        <f>'cout fixe'!D33</f>
        <v>255</v>
      </c>
      <c r="E73" s="45">
        <f>'cout fixe'!E33</f>
        <v>260.10000000000002</v>
      </c>
      <c r="F73" s="45">
        <f>'cout fixe'!F33</f>
        <v>265.30200000000002</v>
      </c>
      <c r="G73" s="46">
        <v>800</v>
      </c>
    </row>
    <row r="74" spans="2:7">
      <c r="B74" s="28" t="s">
        <v>38</v>
      </c>
      <c r="C74" s="45">
        <f>'cout fixe'!C10</f>
        <v>15240</v>
      </c>
      <c r="D74" s="45">
        <f>'cout fixe'!D10</f>
        <v>15544.800000000001</v>
      </c>
      <c r="E74" s="45">
        <f>'cout fixe'!E10</f>
        <v>15855.696</v>
      </c>
      <c r="F74" s="45">
        <f>'cout fixe'!F10</f>
        <v>16172.80992</v>
      </c>
      <c r="G74" s="46">
        <v>63770</v>
      </c>
    </row>
    <row r="75" spans="2:7">
      <c r="B75" s="28" t="s">
        <v>39</v>
      </c>
      <c r="C75" s="45">
        <f>85*12</f>
        <v>1020</v>
      </c>
      <c r="D75" s="45">
        <f>85*12</f>
        <v>1020</v>
      </c>
      <c r="E75" s="45">
        <f>85*12</f>
        <v>1020</v>
      </c>
      <c r="F75" s="45">
        <f>85*12</f>
        <v>1020</v>
      </c>
      <c r="G75" s="46">
        <f>85*12*2</f>
        <v>2040</v>
      </c>
    </row>
    <row r="76" spans="2:7">
      <c r="B76" s="28" t="s">
        <v>40</v>
      </c>
      <c r="C76" s="45">
        <f>'cout fixe'!C29</f>
        <v>2625</v>
      </c>
      <c r="D76" s="45">
        <f>'cout fixe'!D29</f>
        <v>500</v>
      </c>
      <c r="E76" s="45">
        <f>'cout fixe'!E29</f>
        <v>500</v>
      </c>
      <c r="F76" s="45">
        <f>'cout fixe'!F29</f>
        <v>500</v>
      </c>
      <c r="G76" s="46">
        <f>'cout fixe'!G29</f>
        <v>500</v>
      </c>
    </row>
    <row r="77" spans="2:7">
      <c r="B77" s="28" t="s">
        <v>41</v>
      </c>
      <c r="C77" s="45">
        <f>'cout fixe'!C36</f>
        <v>8400</v>
      </c>
      <c r="D77" s="45">
        <f>'cout fixe'!D36</f>
        <v>8568</v>
      </c>
      <c r="E77" s="45">
        <f>'cout fixe'!E36</f>
        <v>8739.36</v>
      </c>
      <c r="F77" s="45">
        <f>'cout fixe'!F36</f>
        <v>8914.1472000000012</v>
      </c>
      <c r="G77" s="46">
        <f>'cout fixe'!G36*2.5</f>
        <v>22731.075360000003</v>
      </c>
    </row>
    <row r="78" spans="2:7">
      <c r="B78" s="28" t="s">
        <v>42</v>
      </c>
      <c r="C78" s="45">
        <v>1500</v>
      </c>
      <c r="D78" s="45">
        <f>'cout fixe'!D28+'cout fixe'!D30</f>
        <v>0</v>
      </c>
      <c r="E78" s="45">
        <f>'cout fixe'!E28+'cout fixe'!E30</f>
        <v>0</v>
      </c>
      <c r="F78" s="45">
        <f>'cout fixe'!F28+'cout fixe'!F30</f>
        <v>0</v>
      </c>
      <c r="G78" s="46">
        <f>'cout fixe'!G28+'cout fixe'!G30</f>
        <v>0</v>
      </c>
    </row>
    <row r="79" spans="2:7">
      <c r="B79" s="28" t="s">
        <v>43</v>
      </c>
      <c r="C79" s="45">
        <v>0</v>
      </c>
      <c r="D79" s="45">
        <v>0</v>
      </c>
      <c r="E79" s="45">
        <v>0</v>
      </c>
      <c r="F79" s="45">
        <v>0</v>
      </c>
      <c r="G79" s="46">
        <v>0</v>
      </c>
    </row>
    <row r="80" spans="2:7">
      <c r="B80" s="28" t="s">
        <v>44</v>
      </c>
      <c r="C80" s="45">
        <f>'cout fixe'!C20</f>
        <v>40900</v>
      </c>
      <c r="D80" s="45">
        <f>'cout fixe'!D20</f>
        <v>0</v>
      </c>
      <c r="E80" s="45">
        <f>'cout fixe'!E20</f>
        <v>0</v>
      </c>
      <c r="F80" s="45">
        <f>'cout fixe'!F20</f>
        <v>0</v>
      </c>
      <c r="G80" s="46">
        <f>'cout fixe'!G20</f>
        <v>0</v>
      </c>
    </row>
    <row r="81" spans="2:9" ht="15" thickBot="1">
      <c r="B81" s="47" t="s">
        <v>45</v>
      </c>
      <c r="C81" s="32">
        <f>SUM(C72:C80)</f>
        <v>200975</v>
      </c>
      <c r="D81" s="32">
        <f t="shared" ref="D81:G81" si="37">SUM(D72:D80)</f>
        <v>156927.79999999999</v>
      </c>
      <c r="E81" s="32">
        <f t="shared" si="37"/>
        <v>209831.15600000002</v>
      </c>
      <c r="F81" s="32">
        <f t="shared" si="37"/>
        <v>210328.25912</v>
      </c>
      <c r="G81" s="33">
        <f t="shared" si="37"/>
        <v>351921.07536000002</v>
      </c>
    </row>
    <row r="82" spans="2:9" ht="15" thickBot="1"/>
    <row r="83" spans="2:9" ht="15" thickBot="1">
      <c r="B83" s="98" t="s">
        <v>77</v>
      </c>
      <c r="C83" s="99">
        <f>C81+C68+C60</f>
        <v>301486</v>
      </c>
      <c r="D83" s="99">
        <f t="shared" ref="D83:G83" si="38">D81+D68+D60</f>
        <v>206927.8</v>
      </c>
      <c r="E83" s="99">
        <f t="shared" si="38"/>
        <v>269831.15600000002</v>
      </c>
      <c r="F83" s="99">
        <f t="shared" si="38"/>
        <v>280328.25912</v>
      </c>
      <c r="G83" s="100">
        <f t="shared" si="38"/>
        <v>431921.07536000002</v>
      </c>
    </row>
    <row r="86" spans="2:9">
      <c r="C86" s="71"/>
      <c r="D86" s="71"/>
      <c r="E86" s="71"/>
      <c r="F86" s="71"/>
      <c r="G86" s="71"/>
    </row>
    <row r="88" spans="2:9" ht="15" thickBot="1"/>
    <row r="89" spans="2:9">
      <c r="B89" s="6" t="s">
        <v>7</v>
      </c>
      <c r="C89" s="8" t="s">
        <v>70</v>
      </c>
    </row>
    <row r="90" spans="2:9">
      <c r="B90" s="9" t="s">
        <v>8</v>
      </c>
      <c r="C90" s="84">
        <v>300</v>
      </c>
      <c r="I90" s="253"/>
    </row>
    <row r="91" spans="2:9">
      <c r="B91" s="9" t="s">
        <v>9</v>
      </c>
      <c r="C91" s="84">
        <v>275</v>
      </c>
      <c r="I91" s="253"/>
    </row>
    <row r="92" spans="2:9" ht="15" thickBot="1">
      <c r="B92" s="12" t="s">
        <v>10</v>
      </c>
      <c r="C92" s="85">
        <v>250</v>
      </c>
      <c r="I92" s="254"/>
    </row>
    <row r="93" spans="2:9">
      <c r="I93" s="255"/>
    </row>
    <row r="94" spans="2:9" ht="15" thickBot="1">
      <c r="I94" s="255"/>
    </row>
    <row r="95" spans="2:9">
      <c r="B95" s="6" t="s">
        <v>71</v>
      </c>
      <c r="C95" s="7" t="s">
        <v>0</v>
      </c>
      <c r="D95" s="7" t="s">
        <v>1</v>
      </c>
      <c r="E95" s="7" t="s">
        <v>2</v>
      </c>
      <c r="F95" s="7" t="s">
        <v>3</v>
      </c>
      <c r="G95" s="8" t="s">
        <v>4</v>
      </c>
      <c r="I95" s="255"/>
    </row>
    <row r="96" spans="2:9">
      <c r="B96" s="9" t="s">
        <v>76</v>
      </c>
      <c r="C96" s="10">
        <f>SUM(C97:C100)</f>
        <v>1180</v>
      </c>
      <c r="D96" s="10">
        <f t="shared" ref="D96:G96" si="39">SUM(D97:D100)</f>
        <v>1192</v>
      </c>
      <c r="E96" s="10">
        <f t="shared" si="39"/>
        <v>1204.24</v>
      </c>
      <c r="F96" s="10">
        <f t="shared" si="39"/>
        <v>1216.7248</v>
      </c>
      <c r="G96" s="10">
        <f t="shared" si="39"/>
        <v>1229.459296</v>
      </c>
      <c r="H96" s="1"/>
    </row>
    <row r="97" spans="1:13">
      <c r="A97" s="1"/>
      <c r="B97" s="3" t="s">
        <v>72</v>
      </c>
      <c r="C97" s="1">
        <v>600</v>
      </c>
      <c r="D97" s="1">
        <f>C97*1.02</f>
        <v>612</v>
      </c>
      <c r="E97" s="258">
        <f t="shared" ref="E97:G97" si="40">D97*1.02</f>
        <v>624.24</v>
      </c>
      <c r="F97" s="258">
        <f t="shared" si="40"/>
        <v>636.72480000000007</v>
      </c>
      <c r="G97" s="258">
        <f t="shared" si="40"/>
        <v>649.45929600000011</v>
      </c>
      <c r="H97" s="1"/>
    </row>
    <row r="98" spans="1:13">
      <c r="B98" s="3" t="s">
        <v>73</v>
      </c>
      <c r="C98" s="72">
        <v>360</v>
      </c>
      <c r="D98" s="72">
        <v>360</v>
      </c>
      <c r="E98" s="72">
        <v>360</v>
      </c>
      <c r="F98" s="72">
        <v>360</v>
      </c>
      <c r="G98" s="76">
        <v>360</v>
      </c>
      <c r="H98" s="1"/>
    </row>
    <row r="99" spans="1:13">
      <c r="B99" s="3" t="s">
        <v>74</v>
      </c>
      <c r="C99" s="72">
        <v>130</v>
      </c>
      <c r="D99" s="72">
        <v>130</v>
      </c>
      <c r="E99" s="72">
        <v>130</v>
      </c>
      <c r="F99" s="72">
        <v>130</v>
      </c>
      <c r="G99" s="76">
        <v>130</v>
      </c>
      <c r="H99" s="1"/>
    </row>
    <row r="100" spans="1:13" ht="15" thickBot="1">
      <c r="B100" s="5" t="s">
        <v>75</v>
      </c>
      <c r="C100" s="86">
        <v>90</v>
      </c>
      <c r="D100" s="86">
        <v>90</v>
      </c>
      <c r="E100" s="86">
        <v>90</v>
      </c>
      <c r="F100" s="86">
        <v>90</v>
      </c>
      <c r="G100" s="252">
        <v>90</v>
      </c>
      <c r="H100" s="1"/>
    </row>
    <row r="101" spans="1:13">
      <c r="H101" s="1"/>
    </row>
    <row r="104" spans="1:13">
      <c r="E104" s="256"/>
      <c r="F104" s="256"/>
      <c r="G104" s="256"/>
      <c r="H104" s="256"/>
      <c r="I104" s="256"/>
      <c r="J104" s="256"/>
    </row>
    <row r="105" spans="1:13">
      <c r="E105" s="256"/>
      <c r="F105" s="256"/>
      <c r="G105" s="256"/>
      <c r="H105" s="256"/>
      <c r="I105" s="256"/>
      <c r="J105" s="256"/>
    </row>
    <row r="106" spans="1:13">
      <c r="E106" s="257"/>
      <c r="F106" s="257"/>
      <c r="G106" s="257"/>
      <c r="H106" s="257"/>
      <c r="I106" s="257"/>
      <c r="J106" s="257"/>
    </row>
    <row r="107" spans="1:13">
      <c r="E107" s="256"/>
      <c r="F107" s="256"/>
      <c r="G107" s="256"/>
      <c r="H107" s="256"/>
      <c r="I107" s="256"/>
      <c r="J107" s="256"/>
    </row>
    <row r="108" spans="1:13">
      <c r="E108" s="256"/>
      <c r="F108" s="256"/>
      <c r="G108" s="256"/>
      <c r="H108" s="256"/>
      <c r="I108" s="256"/>
      <c r="J108" s="256"/>
    </row>
    <row r="109" spans="1:13">
      <c r="E109" s="256"/>
      <c r="F109" s="256"/>
      <c r="G109" s="256"/>
      <c r="H109" s="256"/>
      <c r="I109" s="256"/>
      <c r="J109" s="256"/>
    </row>
    <row r="110" spans="1:13">
      <c r="B110" t="s">
        <v>78</v>
      </c>
      <c r="E110" s="256"/>
      <c r="F110" s="256"/>
      <c r="G110" s="256"/>
      <c r="H110" s="256"/>
      <c r="I110" s="256"/>
      <c r="J110" s="256"/>
    </row>
    <row r="112" spans="1:13">
      <c r="C112" t="s">
        <v>119</v>
      </c>
      <c r="M112" t="s">
        <v>120</v>
      </c>
    </row>
    <row r="114" spans="2:19" ht="15" thickBot="1"/>
    <row r="115" spans="2:19" ht="15" thickBot="1">
      <c r="B115" s="115"/>
      <c r="C115" s="116" t="s">
        <v>79</v>
      </c>
      <c r="D115" s="117"/>
      <c r="E115" s="114"/>
      <c r="F115" s="114"/>
      <c r="G115" s="114"/>
      <c r="H115" s="114"/>
      <c r="I115" s="114"/>
    </row>
    <row r="116" spans="2:19" ht="15" thickBot="1">
      <c r="B116" s="148"/>
      <c r="C116" s="145"/>
      <c r="D116" s="146"/>
      <c r="E116" s="147" t="s">
        <v>0</v>
      </c>
      <c r="F116" s="120" t="s">
        <v>1</v>
      </c>
      <c r="G116" s="120" t="s">
        <v>2</v>
      </c>
      <c r="H116" s="120" t="s">
        <v>3</v>
      </c>
      <c r="I116" s="121" t="s">
        <v>4</v>
      </c>
      <c r="L116" s="142"/>
      <c r="M116" s="143" t="s">
        <v>79</v>
      </c>
      <c r="N116" s="144"/>
      <c r="O116" s="124"/>
      <c r="P116" s="124"/>
      <c r="Q116" s="124"/>
      <c r="R116" s="124"/>
      <c r="S116" s="124"/>
    </row>
    <row r="117" spans="2:19" ht="15" thickBot="1">
      <c r="B117" s="149"/>
      <c r="C117" s="132" t="s">
        <v>21</v>
      </c>
      <c r="D117" s="150"/>
      <c r="E117" s="111">
        <f>K13</f>
        <v>21019.239999999951</v>
      </c>
      <c r="F117" s="111">
        <f>L13</f>
        <v>183593.652</v>
      </c>
      <c r="G117" s="111">
        <f>M13</f>
        <v>354066.13704000018</v>
      </c>
      <c r="H117" s="111">
        <f>N13</f>
        <v>420097.08898079989</v>
      </c>
      <c r="I117" s="110">
        <f>O13</f>
        <v>584019.05901239999</v>
      </c>
      <c r="L117" s="148"/>
      <c r="M117" s="145"/>
      <c r="N117" s="146"/>
      <c r="O117" s="147" t="s">
        <v>0</v>
      </c>
      <c r="P117" s="120" t="s">
        <v>1</v>
      </c>
      <c r="Q117" s="120" t="s">
        <v>2</v>
      </c>
      <c r="R117" s="120" t="s">
        <v>3</v>
      </c>
      <c r="S117" s="121" t="s">
        <v>4</v>
      </c>
    </row>
    <row r="118" spans="2:19">
      <c r="B118" s="151" t="s">
        <v>80</v>
      </c>
      <c r="C118" s="135" t="s">
        <v>81</v>
      </c>
      <c r="D118" s="152"/>
      <c r="E118" s="111">
        <v>0</v>
      </c>
      <c r="F118" s="109">
        <v>0</v>
      </c>
      <c r="G118" s="109">
        <v>0</v>
      </c>
      <c r="H118" s="109">
        <v>0</v>
      </c>
      <c r="I118" s="108">
        <v>0</v>
      </c>
      <c r="L118" s="149"/>
      <c r="M118" s="132" t="s">
        <v>21</v>
      </c>
      <c r="N118" s="150"/>
      <c r="O118" s="111">
        <f>K31</f>
        <v>-73140.760000000024</v>
      </c>
      <c r="P118" s="111">
        <f>L31</f>
        <v>55157.652000000009</v>
      </c>
      <c r="Q118" s="111">
        <f>M31</f>
        <v>143532.73704000001</v>
      </c>
      <c r="R118" s="111">
        <f>N31</f>
        <v>194452.82398079996</v>
      </c>
      <c r="S118" s="110">
        <f>O31</f>
        <v>294145.12851239997</v>
      </c>
    </row>
    <row r="119" spans="2:19">
      <c r="B119" s="151" t="s">
        <v>82</v>
      </c>
      <c r="C119" s="135" t="s">
        <v>83</v>
      </c>
      <c r="D119" s="152"/>
      <c r="E119" s="111">
        <v>0</v>
      </c>
      <c r="F119" s="109">
        <v>0</v>
      </c>
      <c r="G119" s="109">
        <v>0</v>
      </c>
      <c r="H119" s="109">
        <v>0</v>
      </c>
      <c r="I119" s="108">
        <v>0</v>
      </c>
      <c r="L119" s="151" t="s">
        <v>80</v>
      </c>
      <c r="M119" s="135" t="s">
        <v>81</v>
      </c>
      <c r="N119" s="152"/>
      <c r="O119" s="111">
        <v>0</v>
      </c>
      <c r="P119" s="109">
        <v>0</v>
      </c>
      <c r="Q119" s="109">
        <v>0</v>
      </c>
      <c r="R119" s="109">
        <v>0</v>
      </c>
      <c r="S119" s="108">
        <v>0</v>
      </c>
    </row>
    <row r="120" spans="2:19" ht="15" thickBot="1">
      <c r="B120" s="153" t="s">
        <v>84</v>
      </c>
      <c r="C120" s="138" t="s">
        <v>124</v>
      </c>
      <c r="D120" s="154"/>
      <c r="E120" s="107">
        <f>E117+E118-E119</f>
        <v>21019.239999999951</v>
      </c>
      <c r="F120" s="107">
        <f t="shared" ref="F120:I120" si="41">F117+F118-F119</f>
        <v>183593.652</v>
      </c>
      <c r="G120" s="107">
        <f t="shared" si="41"/>
        <v>354066.13704000018</v>
      </c>
      <c r="H120" s="107">
        <f t="shared" si="41"/>
        <v>420097.08898079989</v>
      </c>
      <c r="I120" s="106">
        <f t="shared" si="41"/>
        <v>584019.05901239999</v>
      </c>
      <c r="L120" s="151" t="s">
        <v>82</v>
      </c>
      <c r="M120" s="135" t="s">
        <v>83</v>
      </c>
      <c r="N120" s="152"/>
      <c r="O120" s="111">
        <v>0</v>
      </c>
      <c r="P120" s="109">
        <v>0</v>
      </c>
      <c r="Q120" s="109">
        <v>0</v>
      </c>
      <c r="R120" s="109">
        <v>0</v>
      </c>
      <c r="S120" s="108">
        <v>0</v>
      </c>
    </row>
    <row r="121" spans="2:19" ht="15" thickBot="1">
      <c r="B121" s="155"/>
      <c r="C121" s="140"/>
      <c r="D121" s="156"/>
      <c r="E121" s="105"/>
      <c r="F121" s="104"/>
      <c r="G121" s="104"/>
      <c r="H121" s="104"/>
      <c r="I121" s="103"/>
      <c r="L121" s="153" t="s">
        <v>84</v>
      </c>
      <c r="M121" s="138" t="s">
        <v>124</v>
      </c>
      <c r="N121" s="154"/>
      <c r="O121" s="107">
        <f>O118+O119-O120</f>
        <v>-73140.760000000024</v>
      </c>
      <c r="P121" s="107">
        <f t="shared" ref="P121:S121" si="42">P118+P119-P120</f>
        <v>55157.652000000009</v>
      </c>
      <c r="Q121" s="107">
        <f t="shared" si="42"/>
        <v>143532.73704000001</v>
      </c>
      <c r="R121" s="107">
        <f t="shared" si="42"/>
        <v>194452.82398079996</v>
      </c>
      <c r="S121" s="106">
        <f t="shared" si="42"/>
        <v>294145.12851239997</v>
      </c>
    </row>
    <row r="122" spans="2:19">
      <c r="B122" s="162"/>
      <c r="C122" s="137" t="s">
        <v>85</v>
      </c>
      <c r="D122" s="157"/>
      <c r="E122" s="102">
        <v>0</v>
      </c>
      <c r="F122" s="101">
        <v>0</v>
      </c>
      <c r="G122" s="101">
        <v>0</v>
      </c>
      <c r="H122" s="101">
        <v>0</v>
      </c>
      <c r="I122" s="112">
        <v>0</v>
      </c>
      <c r="L122" s="155"/>
      <c r="M122" s="140"/>
      <c r="N122" s="156"/>
      <c r="O122" s="105"/>
      <c r="P122" s="104"/>
      <c r="Q122" s="104"/>
      <c r="R122" s="104"/>
      <c r="S122" s="103"/>
    </row>
    <row r="123" spans="2:19">
      <c r="B123" s="163"/>
      <c r="C123" s="164"/>
      <c r="D123" s="165"/>
      <c r="E123" s="119"/>
      <c r="F123" s="113"/>
      <c r="G123" s="113"/>
      <c r="H123" s="113"/>
      <c r="I123" s="118"/>
      <c r="L123" s="162"/>
      <c r="M123" s="137" t="s">
        <v>85</v>
      </c>
      <c r="N123" s="157"/>
      <c r="O123" s="102">
        <v>0</v>
      </c>
      <c r="P123" s="101">
        <v>0</v>
      </c>
      <c r="Q123" s="101">
        <v>0</v>
      </c>
      <c r="R123" s="101">
        <v>0</v>
      </c>
      <c r="S123" s="112">
        <v>0</v>
      </c>
    </row>
    <row r="124" spans="2:19">
      <c r="B124" s="162"/>
      <c r="C124" s="137" t="s">
        <v>86</v>
      </c>
      <c r="D124" s="157"/>
      <c r="E124" s="102">
        <f>E120-E122</f>
        <v>21019.239999999951</v>
      </c>
      <c r="F124" s="102">
        <f t="shared" ref="F124:I124" si="43">F120-F122</f>
        <v>183593.652</v>
      </c>
      <c r="G124" s="102">
        <f t="shared" si="43"/>
        <v>354066.13704000018</v>
      </c>
      <c r="H124" s="102">
        <f t="shared" si="43"/>
        <v>420097.08898079989</v>
      </c>
      <c r="I124" s="202">
        <f t="shared" si="43"/>
        <v>584019.05901239999</v>
      </c>
      <c r="L124" s="163"/>
      <c r="M124" s="164"/>
      <c r="N124" s="165"/>
      <c r="O124" s="119"/>
      <c r="P124" s="113"/>
      <c r="Q124" s="113"/>
      <c r="R124" s="113"/>
      <c r="S124" s="118"/>
    </row>
    <row r="125" spans="2:19">
      <c r="B125" s="158"/>
      <c r="C125" s="141"/>
      <c r="D125" s="159"/>
      <c r="E125" s="119"/>
      <c r="F125" s="113"/>
      <c r="G125" s="113"/>
      <c r="H125" s="113"/>
      <c r="I125" s="118"/>
      <c r="L125" s="162"/>
      <c r="M125" s="137" t="s">
        <v>86</v>
      </c>
      <c r="N125" s="157"/>
      <c r="O125" s="102">
        <f>O121-O123</f>
        <v>-73140.760000000024</v>
      </c>
      <c r="P125" s="102">
        <f t="shared" ref="P125:S125" si="44">P121-P123</f>
        <v>55157.652000000009</v>
      </c>
      <c r="Q125" s="102">
        <f t="shared" si="44"/>
        <v>143532.73704000001</v>
      </c>
      <c r="R125" s="102">
        <f t="shared" si="44"/>
        <v>194452.82398079996</v>
      </c>
      <c r="S125" s="202">
        <f t="shared" si="44"/>
        <v>294145.12851239997</v>
      </c>
    </row>
    <row r="126" spans="2:19">
      <c r="B126" s="160"/>
      <c r="C126" s="134" t="s">
        <v>87</v>
      </c>
      <c r="D126" s="161"/>
      <c r="E126" s="203">
        <v>100000</v>
      </c>
      <c r="F126" s="204">
        <v>0</v>
      </c>
      <c r="G126" s="204">
        <v>0</v>
      </c>
      <c r="H126" s="204">
        <v>0</v>
      </c>
      <c r="I126" s="205">
        <v>0</v>
      </c>
      <c r="L126" s="158"/>
      <c r="M126" s="141"/>
      <c r="N126" s="159"/>
      <c r="O126" s="119"/>
      <c r="P126" s="113"/>
      <c r="Q126" s="113"/>
      <c r="R126" s="113"/>
      <c r="S126" s="118"/>
    </row>
    <row r="127" spans="2:19">
      <c r="B127" s="151" t="s">
        <v>82</v>
      </c>
      <c r="C127" s="135" t="s">
        <v>88</v>
      </c>
      <c r="D127" s="152"/>
      <c r="E127" s="206">
        <f>0.4*K11</f>
        <v>8213.485333333314</v>
      </c>
      <c r="F127" s="206">
        <f>0.4*L11</f>
        <v>74292.869600000005</v>
      </c>
      <c r="G127" s="206">
        <f>0.4*M11</f>
        <v>143580.69019200007</v>
      </c>
      <c r="H127" s="206">
        <f>0.4*N11</f>
        <v>170459.99055583996</v>
      </c>
      <c r="I127" s="212">
        <f>0.4*O11</f>
        <v>237090.58505351996</v>
      </c>
      <c r="L127" s="160"/>
      <c r="M127" s="134" t="s">
        <v>87</v>
      </c>
      <c r="N127" s="161"/>
      <c r="O127" s="203">
        <v>100000</v>
      </c>
      <c r="P127" s="204">
        <v>0</v>
      </c>
      <c r="Q127" s="204">
        <v>0</v>
      </c>
      <c r="R127" s="204">
        <v>0</v>
      </c>
      <c r="S127" s="205">
        <v>0</v>
      </c>
    </row>
    <row r="128" spans="2:19">
      <c r="B128" s="149" t="s">
        <v>80</v>
      </c>
      <c r="C128" s="132" t="s">
        <v>89</v>
      </c>
      <c r="D128" s="150"/>
      <c r="E128" s="207">
        <v>20000</v>
      </c>
      <c r="F128" s="109">
        <v>0</v>
      </c>
      <c r="G128" s="109">
        <v>0</v>
      </c>
      <c r="H128" s="109">
        <v>0</v>
      </c>
      <c r="I128" s="108">
        <v>0</v>
      </c>
      <c r="L128" s="151" t="s">
        <v>82</v>
      </c>
      <c r="M128" s="135" t="s">
        <v>88</v>
      </c>
      <c r="N128" s="152"/>
      <c r="O128" s="206">
        <v>0</v>
      </c>
      <c r="P128" s="204">
        <f>0.4*L29</f>
        <v>22140.069600000003</v>
      </c>
      <c r="Q128" s="204">
        <f>0.4*M29</f>
        <v>58091.370191999995</v>
      </c>
      <c r="R128" s="204">
        <f>0.4*N29</f>
        <v>78834.743555839988</v>
      </c>
      <c r="S128" s="205">
        <f>0.4*O29</f>
        <v>119384.20115351999</v>
      </c>
    </row>
    <row r="129" spans="2:19">
      <c r="B129" s="151" t="s">
        <v>82</v>
      </c>
      <c r="C129" s="135" t="s">
        <v>90</v>
      </c>
      <c r="D129" s="152"/>
      <c r="E129" s="111">
        <v>4000</v>
      </c>
      <c r="F129" s="109">
        <v>4080</v>
      </c>
      <c r="G129" s="109">
        <v>4161.6000000000004</v>
      </c>
      <c r="H129" s="109">
        <v>4244.8320000000003</v>
      </c>
      <c r="I129" s="108">
        <v>4329.7286400000003</v>
      </c>
      <c r="L129" s="149" t="s">
        <v>80</v>
      </c>
      <c r="M129" s="132" t="s">
        <v>89</v>
      </c>
      <c r="N129" s="150"/>
      <c r="O129" s="207">
        <v>20000</v>
      </c>
      <c r="P129" s="109">
        <v>0</v>
      </c>
      <c r="Q129" s="109">
        <v>0</v>
      </c>
      <c r="R129" s="109">
        <v>0</v>
      </c>
      <c r="S129" s="108">
        <v>0</v>
      </c>
    </row>
    <row r="130" spans="2:19">
      <c r="B130" s="151" t="s">
        <v>82</v>
      </c>
      <c r="C130" s="135" t="s">
        <v>91</v>
      </c>
      <c r="D130" s="152"/>
      <c r="E130" s="111">
        <v>1200</v>
      </c>
      <c r="F130" s="109">
        <v>960</v>
      </c>
      <c r="G130" s="109">
        <v>715.19999999999993</v>
      </c>
      <c r="H130" s="109">
        <v>465.50399999999996</v>
      </c>
      <c r="I130" s="108">
        <v>210.81407999999996</v>
      </c>
      <c r="L130" s="151" t="s">
        <v>82</v>
      </c>
      <c r="M130" s="135" t="s">
        <v>90</v>
      </c>
      <c r="N130" s="152"/>
      <c r="O130" s="111">
        <v>4000</v>
      </c>
      <c r="P130" s="109">
        <v>4080</v>
      </c>
      <c r="Q130" s="109">
        <v>4161.6000000000004</v>
      </c>
      <c r="R130" s="109">
        <v>4244.8320000000003</v>
      </c>
      <c r="S130" s="108">
        <v>4329.7286400000003</v>
      </c>
    </row>
    <row r="131" spans="2:19">
      <c r="B131" s="151" t="s">
        <v>80</v>
      </c>
      <c r="C131" s="135" t="s">
        <v>92</v>
      </c>
      <c r="D131" s="152"/>
      <c r="E131" s="111">
        <v>400</v>
      </c>
      <c r="F131" s="109">
        <v>320</v>
      </c>
      <c r="G131" s="109">
        <v>238.39999999999998</v>
      </c>
      <c r="H131" s="109">
        <v>155.16799999999998</v>
      </c>
      <c r="I131" s="108">
        <v>70.271359999999987</v>
      </c>
      <c r="L131" s="151" t="s">
        <v>82</v>
      </c>
      <c r="M131" s="135" t="s">
        <v>91</v>
      </c>
      <c r="N131" s="152"/>
      <c r="O131" s="111">
        <v>1200</v>
      </c>
      <c r="P131" s="109">
        <v>960</v>
      </c>
      <c r="Q131" s="109">
        <v>715.19999999999993</v>
      </c>
      <c r="R131" s="109">
        <v>465.50399999999996</v>
      </c>
      <c r="S131" s="108">
        <v>210.81407999999996</v>
      </c>
    </row>
    <row r="132" spans="2:19">
      <c r="B132" s="162" t="s">
        <v>84</v>
      </c>
      <c r="C132" s="137" t="s">
        <v>93</v>
      </c>
      <c r="D132" s="157"/>
      <c r="E132" s="102">
        <f>E126-E127+E128-E129-E130+E131</f>
        <v>106986.51466666668</v>
      </c>
      <c r="F132" s="102">
        <f t="shared" ref="F132:I132" si="45">F126-F127+F128-F129-F130+F131</f>
        <v>-79012.869600000005</v>
      </c>
      <c r="G132" s="102">
        <f t="shared" si="45"/>
        <v>-148219.09019200009</v>
      </c>
      <c r="H132" s="102">
        <f t="shared" si="45"/>
        <v>-175015.15855583994</v>
      </c>
      <c r="I132" s="202">
        <f t="shared" si="45"/>
        <v>-241560.85641351994</v>
      </c>
      <c r="L132" s="151" t="s">
        <v>80</v>
      </c>
      <c r="M132" s="135" t="s">
        <v>92</v>
      </c>
      <c r="N132" s="152"/>
      <c r="O132" s="111">
        <v>400</v>
      </c>
      <c r="P132" s="109">
        <v>320</v>
      </c>
      <c r="Q132" s="109">
        <v>238.39999999999998</v>
      </c>
      <c r="R132" s="109">
        <v>155.16799999999998</v>
      </c>
      <c r="S132" s="108">
        <v>70.271359999999987</v>
      </c>
    </row>
    <row r="133" spans="2:19">
      <c r="B133" s="155"/>
      <c r="C133" s="141"/>
      <c r="D133" s="159"/>
      <c r="E133" s="119"/>
      <c r="F133" s="113"/>
      <c r="G133" s="113"/>
      <c r="H133" s="113"/>
      <c r="I133" s="118"/>
      <c r="L133" s="162" t="s">
        <v>84</v>
      </c>
      <c r="M133" s="137" t="s">
        <v>93</v>
      </c>
      <c r="N133" s="157"/>
      <c r="O133" s="102">
        <f>O127-O128+O129-O130-O131+O132</f>
        <v>115200</v>
      </c>
      <c r="P133" s="102">
        <f t="shared" ref="P133:S133" si="46">P127-P128+P129-P130-P131+P132</f>
        <v>-26860.069600000003</v>
      </c>
      <c r="Q133" s="102">
        <f t="shared" si="46"/>
        <v>-62729.770191999989</v>
      </c>
      <c r="R133" s="102">
        <f t="shared" si="46"/>
        <v>-83389.911555839979</v>
      </c>
      <c r="S133" s="202">
        <f t="shared" si="46"/>
        <v>-123854.47251351998</v>
      </c>
    </row>
    <row r="134" spans="2:19">
      <c r="B134" s="160"/>
      <c r="C134" s="134" t="s">
        <v>94</v>
      </c>
      <c r="D134" s="161"/>
      <c r="E134" s="111"/>
      <c r="F134" s="109">
        <f>E136</f>
        <v>128005.75466666663</v>
      </c>
      <c r="G134" s="109">
        <f t="shared" ref="G134:I134" si="47">F136</f>
        <v>232586.53706666664</v>
      </c>
      <c r="H134" s="109">
        <f t="shared" si="47"/>
        <v>438433.58391466673</v>
      </c>
      <c r="I134" s="108">
        <f t="shared" si="47"/>
        <v>683515.51433962665</v>
      </c>
      <c r="L134" s="155"/>
      <c r="M134" s="141"/>
      <c r="N134" s="159"/>
      <c r="O134" s="119"/>
      <c r="P134" s="113"/>
      <c r="Q134" s="113"/>
      <c r="R134" s="113"/>
      <c r="S134" s="118"/>
    </row>
    <row r="135" spans="2:19" ht="15" thickBot="1">
      <c r="B135" s="166" t="s">
        <v>80</v>
      </c>
      <c r="C135" s="131" t="s">
        <v>95</v>
      </c>
      <c r="D135" s="167"/>
      <c r="E135" s="208">
        <f>E124+E132</f>
        <v>128005.75466666663</v>
      </c>
      <c r="F135" s="208">
        <f t="shared" ref="F135:I135" si="48">F124+F132</f>
        <v>104580.7824</v>
      </c>
      <c r="G135" s="208">
        <f t="shared" si="48"/>
        <v>205847.04684800009</v>
      </c>
      <c r="H135" s="208">
        <f t="shared" si="48"/>
        <v>245081.93042495995</v>
      </c>
      <c r="I135" s="209">
        <f t="shared" si="48"/>
        <v>342458.20259888005</v>
      </c>
      <c r="L135" s="160"/>
      <c r="M135" s="134" t="s">
        <v>94</v>
      </c>
      <c r="N135" s="161"/>
      <c r="O135" s="111"/>
      <c r="P135" s="109">
        <f>O137</f>
        <v>42059.239999999976</v>
      </c>
      <c r="Q135" s="109">
        <f t="shared" ref="Q135:S135" si="49">P137</f>
        <v>70356.822399999975</v>
      </c>
      <c r="R135" s="109">
        <f t="shared" si="49"/>
        <v>151159.78924799999</v>
      </c>
      <c r="S135" s="108">
        <f t="shared" si="49"/>
        <v>262222.70167295996</v>
      </c>
    </row>
    <row r="136" spans="2:19" ht="15" thickBot="1">
      <c r="B136" s="168" t="s">
        <v>84</v>
      </c>
      <c r="C136" s="169" t="s">
        <v>96</v>
      </c>
      <c r="D136" s="170"/>
      <c r="E136" s="210">
        <f>E135+E134</f>
        <v>128005.75466666663</v>
      </c>
      <c r="F136" s="210">
        <f t="shared" ref="F136:I136" si="50">F135+F134</f>
        <v>232586.53706666664</v>
      </c>
      <c r="G136" s="210">
        <f t="shared" si="50"/>
        <v>438433.58391466673</v>
      </c>
      <c r="H136" s="210">
        <f t="shared" si="50"/>
        <v>683515.51433962665</v>
      </c>
      <c r="I136" s="211">
        <f t="shared" si="50"/>
        <v>1025973.7169385067</v>
      </c>
      <c r="L136" s="166" t="s">
        <v>80</v>
      </c>
      <c r="M136" s="131" t="s">
        <v>95</v>
      </c>
      <c r="N136" s="167"/>
      <c r="O136" s="208">
        <f>O133+O125</f>
        <v>42059.239999999976</v>
      </c>
      <c r="P136" s="208">
        <f t="shared" ref="P136:S136" si="51">P133+P125</f>
        <v>28297.582400000007</v>
      </c>
      <c r="Q136" s="208">
        <f t="shared" si="51"/>
        <v>80802.966848000011</v>
      </c>
      <c r="R136" s="208">
        <f t="shared" si="51"/>
        <v>111062.91242495998</v>
      </c>
      <c r="S136" s="209">
        <f t="shared" si="51"/>
        <v>170290.65599887999</v>
      </c>
    </row>
    <row r="137" spans="2:19" ht="15" thickBot="1">
      <c r="L137" s="168" t="s">
        <v>84</v>
      </c>
      <c r="M137" s="169" t="s">
        <v>96</v>
      </c>
      <c r="N137" s="170"/>
      <c r="O137" s="210">
        <f>O136+O135</f>
        <v>42059.239999999976</v>
      </c>
      <c r="P137" s="210">
        <f t="shared" ref="P137:S137" si="52">P136+P135</f>
        <v>70356.822399999975</v>
      </c>
      <c r="Q137" s="210">
        <f t="shared" si="52"/>
        <v>151159.78924799999</v>
      </c>
      <c r="R137" s="210">
        <f t="shared" si="52"/>
        <v>262222.70167295996</v>
      </c>
      <c r="S137" s="211">
        <f t="shared" si="52"/>
        <v>432513.35767183994</v>
      </c>
    </row>
    <row r="140" spans="2:19" ht="15" thickBot="1">
      <c r="E140" s="1"/>
      <c r="F140" s="1"/>
      <c r="G140" s="1"/>
      <c r="H140" s="1"/>
      <c r="I140" s="1"/>
    </row>
    <row r="141" spans="2:19" ht="15" thickBot="1">
      <c r="B141" s="273" t="s">
        <v>97</v>
      </c>
      <c r="C141" s="275"/>
      <c r="D141" s="274"/>
      <c r="E141" s="124"/>
      <c r="F141" s="124"/>
      <c r="G141" s="124"/>
      <c r="H141" s="124"/>
      <c r="I141" s="125"/>
      <c r="J141" s="1"/>
    </row>
    <row r="142" spans="2:19" ht="15" thickBot="1">
      <c r="B142" s="148"/>
      <c r="C142" s="146"/>
      <c r="D142" s="174" t="s">
        <v>98</v>
      </c>
      <c r="E142" s="173" t="s">
        <v>99</v>
      </c>
      <c r="F142" s="171" t="s">
        <v>100</v>
      </c>
      <c r="G142" s="171" t="s">
        <v>101</v>
      </c>
      <c r="H142" s="171" t="s">
        <v>102</v>
      </c>
      <c r="I142" s="172" t="s">
        <v>103</v>
      </c>
      <c r="L142" s="273" t="s">
        <v>97</v>
      </c>
      <c r="M142" s="275"/>
      <c r="N142" s="274"/>
      <c r="O142" s="124"/>
      <c r="P142" s="124"/>
      <c r="Q142" s="124"/>
      <c r="R142" s="124"/>
      <c r="S142" s="125"/>
    </row>
    <row r="143" spans="2:19" ht="15" thickBot="1">
      <c r="B143" s="126"/>
      <c r="C143" s="127" t="s">
        <v>104</v>
      </c>
      <c r="D143" s="213">
        <v>0</v>
      </c>
      <c r="E143" s="214">
        <v>0</v>
      </c>
      <c r="F143" s="215">
        <v>0</v>
      </c>
      <c r="G143" s="215">
        <v>0</v>
      </c>
      <c r="H143" s="215">
        <v>0</v>
      </c>
      <c r="I143" s="216">
        <v>0</v>
      </c>
      <c r="L143" s="148"/>
      <c r="M143" s="146"/>
      <c r="N143" s="174" t="s">
        <v>98</v>
      </c>
      <c r="O143" s="173" t="s">
        <v>99</v>
      </c>
      <c r="P143" s="171" t="s">
        <v>100</v>
      </c>
      <c r="Q143" s="171" t="s">
        <v>101</v>
      </c>
      <c r="R143" s="171" t="s">
        <v>102</v>
      </c>
      <c r="S143" s="172" t="s">
        <v>103</v>
      </c>
    </row>
    <row r="144" spans="2:19">
      <c r="B144" s="128"/>
      <c r="C144" s="129" t="s">
        <v>105</v>
      </c>
      <c r="D144" s="217"/>
      <c r="E144" s="111">
        <f>$C$168*K4/$C$169</f>
        <v>31288.401826484012</v>
      </c>
      <c r="F144" s="111">
        <f>$C$168*L4/$C$169</f>
        <v>44914.273972602743</v>
      </c>
      <c r="G144" s="111">
        <f>$C$168*M4/$C$169</f>
        <v>73477.324931506868</v>
      </c>
      <c r="H144" s="111">
        <f>$C$168*N4/$C$169</f>
        <v>82451.375956164382</v>
      </c>
      <c r="I144" s="110">
        <f>$C$168*O4/$C$169</f>
        <v>116418.13470449315</v>
      </c>
      <c r="L144" s="126"/>
      <c r="M144" s="127" t="s">
        <v>104</v>
      </c>
      <c r="N144" s="213">
        <v>0</v>
      </c>
      <c r="O144" s="214">
        <v>0</v>
      </c>
      <c r="P144" s="215">
        <v>0</v>
      </c>
      <c r="Q144" s="215">
        <v>0</v>
      </c>
      <c r="R144" s="215">
        <v>0</v>
      </c>
      <c r="S144" s="216">
        <v>0</v>
      </c>
    </row>
    <row r="145" spans="2:19" ht="15" thickBot="1">
      <c r="B145" s="130"/>
      <c r="C145" s="178" t="s">
        <v>106</v>
      </c>
      <c r="D145" s="218">
        <f>D147-D143</f>
        <v>200000</v>
      </c>
      <c r="E145" s="219">
        <f>E136</f>
        <v>128005.75466666663</v>
      </c>
      <c r="F145" s="219">
        <f t="shared" ref="F145:I145" si="53">F136</f>
        <v>232586.53706666664</v>
      </c>
      <c r="G145" s="219">
        <f t="shared" si="53"/>
        <v>438433.58391466673</v>
      </c>
      <c r="H145" s="219">
        <f t="shared" si="53"/>
        <v>683515.51433962665</v>
      </c>
      <c r="I145" s="220">
        <f t="shared" si="53"/>
        <v>1025973.7169385067</v>
      </c>
      <c r="L145" s="128"/>
      <c r="M145" s="129" t="s">
        <v>105</v>
      </c>
      <c r="N145" s="217"/>
      <c r="O145" s="111">
        <f>$N$167*K22/$N$168</f>
        <v>29804.146118721459</v>
      </c>
      <c r="P145" s="111">
        <f>$N$167*L22/$N$168</f>
        <v>44811.369863013701</v>
      </c>
      <c r="Q145" s="111">
        <f>$N$167*M22/$N$168</f>
        <v>74073.930958904108</v>
      </c>
      <c r="R145" s="111">
        <f>$N$167*N22/$N$168</f>
        <v>86159.155912328759</v>
      </c>
      <c r="S145" s="110">
        <f>$N$167*O22/$N$168</f>
        <v>129568.06557841095</v>
      </c>
    </row>
    <row r="146" spans="2:19" ht="15" thickBot="1">
      <c r="B146" s="128"/>
      <c r="C146" s="129"/>
      <c r="D146" s="221"/>
      <c r="E146" s="222"/>
      <c r="F146" s="223"/>
      <c r="G146" s="223"/>
      <c r="H146" s="223"/>
      <c r="I146" s="224"/>
      <c r="L146" s="130"/>
      <c r="M146" s="178" t="s">
        <v>106</v>
      </c>
      <c r="N146" s="218">
        <f>N148-N144</f>
        <v>200000</v>
      </c>
      <c r="O146" s="219">
        <f>O137</f>
        <v>42059.239999999976</v>
      </c>
      <c r="P146" s="219">
        <f t="shared" ref="P146:S146" si="54">P137</f>
        <v>70356.822399999975</v>
      </c>
      <c r="Q146" s="219">
        <f t="shared" si="54"/>
        <v>151159.78924799999</v>
      </c>
      <c r="R146" s="219">
        <f t="shared" si="54"/>
        <v>262222.70167295996</v>
      </c>
      <c r="S146" s="220">
        <f t="shared" si="54"/>
        <v>432513.35767183994</v>
      </c>
    </row>
    <row r="147" spans="2:19" ht="15" thickBot="1">
      <c r="B147" s="175"/>
      <c r="C147" s="179" t="s">
        <v>107</v>
      </c>
      <c r="D147" s="225">
        <f>D153</f>
        <v>200000</v>
      </c>
      <c r="E147" s="226">
        <f>E145+E144+E143</f>
        <v>159294.15649315063</v>
      </c>
      <c r="F147" s="226">
        <f t="shared" ref="F147:I147" si="55">F145+F144+F143</f>
        <v>277500.81103926938</v>
      </c>
      <c r="G147" s="226">
        <f t="shared" si="55"/>
        <v>511910.90884617361</v>
      </c>
      <c r="H147" s="226">
        <f t="shared" si="55"/>
        <v>765966.89029579097</v>
      </c>
      <c r="I147" s="227">
        <f t="shared" si="55"/>
        <v>1142391.8516429998</v>
      </c>
      <c r="L147" s="128"/>
      <c r="M147" s="129"/>
      <c r="N147" s="221"/>
      <c r="O147" s="222"/>
      <c r="P147" s="223"/>
      <c r="Q147" s="223"/>
      <c r="R147" s="223"/>
      <c r="S147" s="224"/>
    </row>
    <row r="148" spans="2:19" ht="15" thickBot="1">
      <c r="B148" s="128"/>
      <c r="C148" s="129"/>
      <c r="D148" s="221"/>
      <c r="E148" s="222"/>
      <c r="F148" s="223"/>
      <c r="G148" s="223"/>
      <c r="H148" s="223"/>
      <c r="I148" s="224"/>
      <c r="L148" s="175"/>
      <c r="M148" s="179" t="s">
        <v>107</v>
      </c>
      <c r="N148" s="225">
        <f>N154</f>
        <v>200000</v>
      </c>
      <c r="O148" s="226">
        <f>O146+O145+O144</f>
        <v>71863.386118721435</v>
      </c>
      <c r="P148" s="226">
        <f t="shared" ref="P148:S148" si="56">P146+P145+P144</f>
        <v>115168.19226301368</v>
      </c>
      <c r="Q148" s="226">
        <f t="shared" si="56"/>
        <v>225233.72020690411</v>
      </c>
      <c r="R148" s="226">
        <f t="shared" si="56"/>
        <v>348381.8575852887</v>
      </c>
      <c r="S148" s="227">
        <f t="shared" si="56"/>
        <v>562081.42325025087</v>
      </c>
    </row>
    <row r="149" spans="2:19" ht="15" thickBot="1">
      <c r="B149" s="126"/>
      <c r="C149" s="127" t="s">
        <v>108</v>
      </c>
      <c r="D149" s="213">
        <f>D150+D151</f>
        <v>100000</v>
      </c>
      <c r="E149" s="214">
        <f>E150+E151</f>
        <v>120533.71333333329</v>
      </c>
      <c r="F149" s="214">
        <f t="shared" ref="F149:I149" si="57">F150+F151</f>
        <v>306265.88733333326</v>
      </c>
      <c r="G149" s="214">
        <f t="shared" si="57"/>
        <v>665217.6128133334</v>
      </c>
      <c r="H149" s="214">
        <f t="shared" si="57"/>
        <v>1091367.5892029332</v>
      </c>
      <c r="I149" s="228">
        <f t="shared" si="57"/>
        <v>1684094.0518367332</v>
      </c>
      <c r="L149" s="128"/>
      <c r="M149" s="129"/>
      <c r="N149" s="221"/>
      <c r="O149" s="222"/>
      <c r="P149" s="223"/>
      <c r="Q149" s="223"/>
      <c r="R149" s="223"/>
      <c r="S149" s="224"/>
    </row>
    <row r="150" spans="2:19">
      <c r="B150" s="128"/>
      <c r="C150" s="180" t="s">
        <v>109</v>
      </c>
      <c r="D150" s="229">
        <f>E150</f>
        <v>100000</v>
      </c>
      <c r="E150" s="230">
        <f>E126</f>
        <v>100000</v>
      </c>
      <c r="F150" s="231">
        <f>E150</f>
        <v>100000</v>
      </c>
      <c r="G150" s="231">
        <f>F150</f>
        <v>100000</v>
      </c>
      <c r="H150" s="231">
        <f t="shared" ref="H150:I150" si="58">G150</f>
        <v>100000</v>
      </c>
      <c r="I150" s="232">
        <f t="shared" si="58"/>
        <v>100000</v>
      </c>
      <c r="L150" s="126"/>
      <c r="M150" s="127" t="s">
        <v>108</v>
      </c>
      <c r="N150" s="213">
        <f>N151+N152</f>
        <v>100000</v>
      </c>
      <c r="O150" s="214">
        <f>O151+O152</f>
        <v>-12019.333333333372</v>
      </c>
      <c r="P150" s="214">
        <f t="shared" ref="P150:S150" si="59">P151+P152</f>
        <v>43330.840666666634</v>
      </c>
      <c r="Q150" s="214">
        <f t="shared" si="59"/>
        <v>188559.2661466666</v>
      </c>
      <c r="R150" s="214">
        <f t="shared" si="59"/>
        <v>385646.12503626657</v>
      </c>
      <c r="S150" s="228">
        <f t="shared" si="59"/>
        <v>684106.62792006647</v>
      </c>
    </row>
    <row r="151" spans="2:19" ht="15" thickBot="1">
      <c r="B151" s="130"/>
      <c r="C151" s="181" t="s">
        <v>110</v>
      </c>
      <c r="D151" s="233"/>
      <c r="E151" s="234">
        <f>K11</f>
        <v>20533.713333333282</v>
      </c>
      <c r="F151" s="235">
        <f>L11+E151</f>
        <v>206265.88733333329</v>
      </c>
      <c r="G151" s="235">
        <f>M11+F151</f>
        <v>565217.6128133334</v>
      </c>
      <c r="H151" s="235">
        <f>N11+G151</f>
        <v>991367.58920293325</v>
      </c>
      <c r="I151" s="236">
        <f>O11+H151</f>
        <v>1584094.0518367332</v>
      </c>
      <c r="L151" s="128"/>
      <c r="M151" s="180" t="s">
        <v>109</v>
      </c>
      <c r="N151" s="229">
        <f>O151</f>
        <v>100000</v>
      </c>
      <c r="O151" s="230">
        <f>O127</f>
        <v>100000</v>
      </c>
      <c r="P151" s="231">
        <f>O151</f>
        <v>100000</v>
      </c>
      <c r="Q151" s="231">
        <f t="shared" ref="Q151:S151" si="60">P151</f>
        <v>100000</v>
      </c>
      <c r="R151" s="231">
        <f t="shared" si="60"/>
        <v>100000</v>
      </c>
      <c r="S151" s="232">
        <f t="shared" si="60"/>
        <v>100000</v>
      </c>
    </row>
    <row r="152" spans="2:19" ht="15" thickBot="1">
      <c r="B152" s="148"/>
      <c r="C152" s="146" t="s">
        <v>111</v>
      </c>
      <c r="D152" s="237">
        <f>D149</f>
        <v>100000</v>
      </c>
      <c r="E152" s="238">
        <f>E128-E129</f>
        <v>16000</v>
      </c>
      <c r="F152" s="239">
        <f>E152-F129</f>
        <v>11920</v>
      </c>
      <c r="G152" s="239">
        <f t="shared" ref="G152:I152" si="61">F152-G129</f>
        <v>7758.4</v>
      </c>
      <c r="H152" s="239">
        <f t="shared" si="61"/>
        <v>3513.5679999999993</v>
      </c>
      <c r="I152" s="240">
        <f t="shared" si="61"/>
        <v>-816.16064000000097</v>
      </c>
      <c r="L152" s="130"/>
      <c r="M152" s="181" t="s">
        <v>110</v>
      </c>
      <c r="N152" s="233"/>
      <c r="O152" s="234">
        <f>K29</f>
        <v>-112019.33333333337</v>
      </c>
      <c r="P152" s="235">
        <f>L29+O152</f>
        <v>-56669.159333333366</v>
      </c>
      <c r="Q152" s="235">
        <f>M29+P152</f>
        <v>88559.266146666603</v>
      </c>
      <c r="R152" s="235">
        <f>N29+Q152</f>
        <v>285646.12503626657</v>
      </c>
      <c r="S152" s="236">
        <f>O29+R152</f>
        <v>584106.62792006647</v>
      </c>
    </row>
    <row r="153" spans="2:19" ht="15" thickBot="1">
      <c r="B153" s="148"/>
      <c r="C153" s="177" t="s">
        <v>112</v>
      </c>
      <c r="D153" s="241">
        <f>D149+D152</f>
        <v>200000</v>
      </c>
      <c r="E153" s="242">
        <f>E149+E152</f>
        <v>136533.71333333329</v>
      </c>
      <c r="F153" s="242">
        <f t="shared" ref="F153:I153" si="62">F149+F152</f>
        <v>318185.88733333326</v>
      </c>
      <c r="G153" s="242">
        <f t="shared" si="62"/>
        <v>672976.01281333342</v>
      </c>
      <c r="H153" s="242">
        <f t="shared" si="62"/>
        <v>1094881.1572029332</v>
      </c>
      <c r="I153" s="243">
        <f t="shared" si="62"/>
        <v>1683277.8911967333</v>
      </c>
      <c r="L153" s="148"/>
      <c r="M153" s="146" t="s">
        <v>111</v>
      </c>
      <c r="N153" s="237">
        <f>N150</f>
        <v>100000</v>
      </c>
      <c r="O153" s="238">
        <f>O129-O130</f>
        <v>16000</v>
      </c>
      <c r="P153" s="239">
        <f>O153-P130</f>
        <v>11920</v>
      </c>
      <c r="Q153" s="239">
        <f t="shared" ref="Q153:S153" si="63">P153-Q130</f>
        <v>7758.4</v>
      </c>
      <c r="R153" s="239">
        <f t="shared" si="63"/>
        <v>3513.5679999999993</v>
      </c>
      <c r="S153" s="240">
        <f t="shared" si="63"/>
        <v>-816.16064000000097</v>
      </c>
    </row>
    <row r="154" spans="2:19" ht="15" thickBot="1">
      <c r="L154" s="148"/>
      <c r="M154" s="177" t="s">
        <v>112</v>
      </c>
      <c r="N154" s="241">
        <f>N150+N153</f>
        <v>200000</v>
      </c>
      <c r="O154" s="242">
        <f>O150+O153</f>
        <v>3980.6666666666279</v>
      </c>
      <c r="P154" s="242">
        <f t="shared" ref="P154:S154" si="64">P150+P153</f>
        <v>55250.840666666634</v>
      </c>
      <c r="Q154" s="242">
        <f t="shared" si="64"/>
        <v>196317.6661466666</v>
      </c>
      <c r="R154" s="242">
        <f t="shared" si="64"/>
        <v>389159.6930362666</v>
      </c>
      <c r="S154" s="243">
        <f t="shared" si="64"/>
        <v>683290.46728006646</v>
      </c>
    </row>
    <row r="155" spans="2:19" ht="15" thickBot="1"/>
    <row r="156" spans="2:19" ht="15" thickBot="1">
      <c r="B156" s="273" t="s">
        <v>113</v>
      </c>
      <c r="C156" s="274"/>
      <c r="D156" s="124"/>
      <c r="E156" s="124"/>
      <c r="F156" s="124"/>
      <c r="G156" s="124"/>
      <c r="H156" s="124"/>
    </row>
    <row r="157" spans="2:19" ht="15" thickBot="1">
      <c r="B157" s="122"/>
      <c r="C157" s="123"/>
      <c r="D157" s="182" t="s">
        <v>0</v>
      </c>
      <c r="E157" s="182" t="s">
        <v>1</v>
      </c>
      <c r="F157" s="182" t="s">
        <v>2</v>
      </c>
      <c r="G157" s="182" t="s">
        <v>3</v>
      </c>
      <c r="H157" s="183" t="s">
        <v>4</v>
      </c>
      <c r="L157" s="273" t="s">
        <v>113</v>
      </c>
      <c r="M157" s="274"/>
      <c r="N157" s="124"/>
      <c r="O157" s="124"/>
      <c r="P157" s="124"/>
      <c r="Q157" s="124"/>
      <c r="R157" s="124"/>
    </row>
    <row r="158" spans="2:19" ht="15" thickBot="1">
      <c r="B158" s="197" t="s">
        <v>114</v>
      </c>
      <c r="C158" s="196"/>
      <c r="D158" s="185">
        <f>E144/K4</f>
        <v>6.3013698630136991E-2</v>
      </c>
      <c r="E158" s="185">
        <f>F144/L4</f>
        <v>6.3013698630136991E-2</v>
      </c>
      <c r="F158" s="185">
        <f>G144/M4</f>
        <v>6.3013698630136991E-2</v>
      </c>
      <c r="G158" s="185">
        <f>H144/N4</f>
        <v>6.3013698630136991E-2</v>
      </c>
      <c r="H158" s="186">
        <f>I144/O4</f>
        <v>6.3013698630136991E-2</v>
      </c>
      <c r="L158" s="122"/>
      <c r="M158" s="123"/>
      <c r="N158" s="182" t="s">
        <v>0</v>
      </c>
      <c r="O158" s="182" t="s">
        <v>1</v>
      </c>
      <c r="P158" s="182" t="s">
        <v>2</v>
      </c>
      <c r="Q158" s="182" t="s">
        <v>3</v>
      </c>
      <c r="R158" s="183" t="s">
        <v>4</v>
      </c>
    </row>
    <row r="159" spans="2:19">
      <c r="B159" s="198" t="s">
        <v>115</v>
      </c>
      <c r="C159" s="136"/>
      <c r="D159" s="184">
        <f>E143/K4</f>
        <v>0</v>
      </c>
      <c r="E159" s="184">
        <f>F143/L4</f>
        <v>0</v>
      </c>
      <c r="F159" s="184">
        <f>G143/M4</f>
        <v>0</v>
      </c>
      <c r="G159" s="184">
        <f>H143/N4</f>
        <v>0</v>
      </c>
      <c r="H159" s="187">
        <f>I143/O4</f>
        <v>0</v>
      </c>
      <c r="L159" s="197" t="s">
        <v>114</v>
      </c>
      <c r="M159" s="196"/>
      <c r="N159" s="185">
        <f>O145/K22</f>
        <v>0.10410958904109589</v>
      </c>
      <c r="O159" s="185">
        <f>P145/L22</f>
        <v>0.10410958904109589</v>
      </c>
      <c r="P159" s="185">
        <f>Q145/M22</f>
        <v>0.10410958904109589</v>
      </c>
      <c r="Q159" s="185">
        <f>R145/N22</f>
        <v>0.10410958904109589</v>
      </c>
      <c r="R159" s="186">
        <f>S145/O22</f>
        <v>0.10410958904109589</v>
      </c>
    </row>
    <row r="160" spans="2:19" ht="15" thickBot="1">
      <c r="B160" s="153" t="s">
        <v>116</v>
      </c>
      <c r="C160" s="139"/>
      <c r="D160" s="188">
        <f>K4/E147</f>
        <v>3.1170844195699252</v>
      </c>
      <c r="E160" s="188">
        <f>L4/F147</f>
        <v>2.5685330335814238</v>
      </c>
      <c r="F160" s="188">
        <f>M4/G147</f>
        <v>2.2778440151397374</v>
      </c>
      <c r="G160" s="188">
        <f>N4/H147</f>
        <v>1.708255937139415</v>
      </c>
      <c r="H160" s="189">
        <f>O4/I147</f>
        <v>1.6172254542282483</v>
      </c>
      <c r="L160" s="198" t="s">
        <v>115</v>
      </c>
      <c r="M160" s="136"/>
      <c r="N160" s="184">
        <f>O144/K22</f>
        <v>0</v>
      </c>
      <c r="O160" s="184">
        <f>P144/L22</f>
        <v>0</v>
      </c>
      <c r="P160" s="184">
        <f>Q144/M22</f>
        <v>0</v>
      </c>
      <c r="Q160" s="184">
        <f>R144/N22</f>
        <v>0</v>
      </c>
      <c r="R160" s="187">
        <f>S144/O22</f>
        <v>0</v>
      </c>
    </row>
    <row r="161" spans="2:18" ht="15" thickBot="1">
      <c r="B161" s="176"/>
      <c r="C161" s="133"/>
      <c r="D161" s="190"/>
      <c r="E161" s="190"/>
      <c r="F161" s="190"/>
      <c r="G161" s="190"/>
      <c r="H161" s="195"/>
      <c r="L161" s="153" t="s">
        <v>116</v>
      </c>
      <c r="M161" s="139"/>
      <c r="N161" s="188">
        <f>K22/O148</f>
        <v>3.9836234016822578</v>
      </c>
      <c r="O161" s="188">
        <f>L22/P148</f>
        <v>3.7373600431013378</v>
      </c>
      <c r="P161" s="188">
        <f>M22/Q148</f>
        <v>3.1589390760246845</v>
      </c>
      <c r="Q161" s="188">
        <f>N22/R148</f>
        <v>2.3755007557975274</v>
      </c>
      <c r="R161" s="189">
        <f>O22/S148</f>
        <v>2.2141549520413624</v>
      </c>
    </row>
    <row r="162" spans="2:18" ht="15" thickBot="1">
      <c r="B162" s="175" t="s">
        <v>117</v>
      </c>
      <c r="C162" s="199"/>
      <c r="D162" s="191">
        <f>K7/K4</f>
        <v>6.413936627282478E-2</v>
      </c>
      <c r="E162" s="191">
        <f>L7/L4</f>
        <v>0.39026923130883739</v>
      </c>
      <c r="F162" s="191">
        <f>M7/M4</f>
        <v>0.46006806893544838</v>
      </c>
      <c r="G162" s="191">
        <f>N7/N4</f>
        <v>0.48645514444757826</v>
      </c>
      <c r="H162" s="192">
        <f>O7/O4</f>
        <v>0.47895798677805573</v>
      </c>
      <c r="L162" s="176"/>
      <c r="M162" s="133"/>
      <c r="N162" s="190"/>
      <c r="O162" s="190"/>
      <c r="P162" s="190"/>
      <c r="Q162" s="190"/>
      <c r="R162" s="195"/>
    </row>
    <row r="163" spans="2:18" ht="15" thickBot="1">
      <c r="B163" s="176"/>
      <c r="C163" s="133"/>
      <c r="D163" s="190"/>
      <c r="E163" s="190"/>
      <c r="F163" s="190"/>
      <c r="G163" s="190"/>
      <c r="H163" s="195"/>
      <c r="L163" s="175" t="s">
        <v>117</v>
      </c>
      <c r="M163" s="199"/>
      <c r="N163" s="191">
        <f>K25/K22</f>
        <v>-0.38710571358708962</v>
      </c>
      <c r="O163" s="191">
        <f>L25/L22</f>
        <v>0.19416204913748042</v>
      </c>
      <c r="P163" s="191">
        <f>M25/M22</f>
        <v>0.30565560964475591</v>
      </c>
      <c r="Q163" s="191">
        <f>N25/N22</f>
        <v>0.35600788391844962</v>
      </c>
      <c r="R163" s="192">
        <f>O25/O22</f>
        <v>0.35810508005684283</v>
      </c>
    </row>
    <row r="164" spans="2:18" ht="15" thickBot="1">
      <c r="B164" s="201" t="s">
        <v>118</v>
      </c>
      <c r="C164" s="200"/>
      <c r="D164" s="193">
        <f>D160*D162</f>
        <v>0.19992781929011086</v>
      </c>
      <c r="E164" s="193">
        <f t="shared" ref="E164:H164" si="65">E160*E162</f>
        <v>1.0024194126071786</v>
      </c>
      <c r="F164" s="193">
        <f t="shared" si="65"/>
        <v>1.0479632973815072</v>
      </c>
      <c r="G164" s="193">
        <f t="shared" si="65"/>
        <v>0.83098988865458734</v>
      </c>
      <c r="H164" s="194">
        <f t="shared" si="65"/>
        <v>0.77458304772338848</v>
      </c>
      <c r="L164" s="176"/>
      <c r="M164" s="133"/>
      <c r="N164" s="190"/>
      <c r="O164" s="190"/>
      <c r="P164" s="190"/>
      <c r="Q164" s="190"/>
      <c r="R164" s="195"/>
    </row>
    <row r="165" spans="2:18" ht="15" thickBot="1">
      <c r="L165" s="201" t="s">
        <v>118</v>
      </c>
      <c r="M165" s="200"/>
      <c r="N165" s="193">
        <f>N161*N163</f>
        <v>-1.5420833795704398</v>
      </c>
      <c r="O165" s="193">
        <f t="shared" ref="O165:R165" si="66">O161*O163</f>
        <v>0.72565348433309784</v>
      </c>
      <c r="P165" s="193">
        <f t="shared" si="66"/>
        <v>0.96554744911296686</v>
      </c>
      <c r="Q165" s="193">
        <f t="shared" si="66"/>
        <v>0.84569699731815551</v>
      </c>
      <c r="R165" s="194">
        <f t="shared" si="66"/>
        <v>0.79290013635902712</v>
      </c>
    </row>
    <row r="167" spans="2:18">
      <c r="M167" t="s">
        <v>121</v>
      </c>
      <c r="N167">
        <v>38</v>
      </c>
    </row>
    <row r="168" spans="2:18">
      <c r="B168" t="s">
        <v>121</v>
      </c>
      <c r="C168">
        <v>23</v>
      </c>
      <c r="M168" t="s">
        <v>122</v>
      </c>
      <c r="N168">
        <v>365</v>
      </c>
    </row>
    <row r="169" spans="2:18">
      <c r="B169" t="s">
        <v>122</v>
      </c>
      <c r="C169">
        <v>365</v>
      </c>
    </row>
  </sheetData>
  <mergeCells count="4">
    <mergeCell ref="L157:M157"/>
    <mergeCell ref="L142:N142"/>
    <mergeCell ref="B156:C156"/>
    <mergeCell ref="B141:D14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7"/>
  <sheetViews>
    <sheetView zoomScale="78" zoomScaleNormal="78" workbookViewId="0">
      <selection activeCell="I19" sqref="I19"/>
    </sheetView>
  </sheetViews>
  <sheetFormatPr baseColWidth="10" defaultRowHeight="14.5"/>
  <cols>
    <col min="1" max="1" width="22.453125" customWidth="1"/>
    <col min="2" max="2" width="28" customWidth="1"/>
  </cols>
  <sheetData>
    <row r="1" spans="2:7" ht="15" thickBot="1"/>
    <row r="2" spans="2:7" ht="15" thickBot="1">
      <c r="B2" s="48" t="s">
        <v>46</v>
      </c>
      <c r="C2" s="49" t="s">
        <v>0</v>
      </c>
      <c r="D2" s="49" t="s">
        <v>1</v>
      </c>
      <c r="E2" s="49" t="s">
        <v>2</v>
      </c>
      <c r="F2" s="49" t="s">
        <v>3</v>
      </c>
      <c r="G2" s="50" t="s">
        <v>4</v>
      </c>
    </row>
    <row r="3" spans="2:7" ht="15" thickBot="1">
      <c r="B3" s="51" t="s">
        <v>47</v>
      </c>
      <c r="C3" s="52" t="s">
        <v>0</v>
      </c>
      <c r="D3" s="52" t="s">
        <v>1</v>
      </c>
      <c r="E3" s="52" t="s">
        <v>2</v>
      </c>
      <c r="F3" s="52" t="s">
        <v>3</v>
      </c>
      <c r="G3" s="53" t="s">
        <v>4</v>
      </c>
    </row>
    <row r="4" spans="2:7">
      <c r="B4" s="54" t="s">
        <v>48</v>
      </c>
      <c r="C4" s="55">
        <f>SUM(C5:C8)</f>
        <v>100000</v>
      </c>
      <c r="D4" s="55">
        <f>SUM(D5:D8)</f>
        <v>50000</v>
      </c>
      <c r="E4" s="55">
        <f>SUM(E5:E8)</f>
        <v>60000</v>
      </c>
      <c r="F4" s="55">
        <f>SUM(F5:F8)</f>
        <v>70000</v>
      </c>
      <c r="G4" s="56">
        <f>SUM(G5:G8)</f>
        <v>80000</v>
      </c>
    </row>
    <row r="5" spans="2:7">
      <c r="B5" s="57" t="s">
        <v>24</v>
      </c>
      <c r="C5" s="58">
        <v>30000</v>
      </c>
      <c r="D5" s="58">
        <v>20000</v>
      </c>
      <c r="E5" s="58">
        <v>20000</v>
      </c>
      <c r="F5" s="58">
        <v>30000</v>
      </c>
      <c r="G5" s="59">
        <v>30000</v>
      </c>
    </row>
    <row r="6" spans="2:7">
      <c r="B6" s="57" t="s">
        <v>25</v>
      </c>
      <c r="C6" s="58">
        <v>20000</v>
      </c>
      <c r="D6" s="58">
        <v>20000</v>
      </c>
      <c r="E6" s="58">
        <v>30000</v>
      </c>
      <c r="F6" s="58">
        <v>30000</v>
      </c>
      <c r="G6" s="59">
        <v>40000</v>
      </c>
    </row>
    <row r="7" spans="2:7">
      <c r="B7" s="57" t="s">
        <v>26</v>
      </c>
      <c r="C7" s="58">
        <v>30000</v>
      </c>
      <c r="D7" s="58">
        <v>0</v>
      </c>
      <c r="E7" s="58">
        <v>0</v>
      </c>
      <c r="F7" s="58">
        <v>0</v>
      </c>
      <c r="G7" s="59">
        <v>0</v>
      </c>
    </row>
    <row r="8" spans="2:7">
      <c r="B8" s="57" t="s">
        <v>27</v>
      </c>
      <c r="C8" s="58">
        <v>20000</v>
      </c>
      <c r="D8" s="58">
        <v>10000</v>
      </c>
      <c r="E8" s="58">
        <v>10000</v>
      </c>
      <c r="F8" s="58">
        <v>10000</v>
      </c>
      <c r="G8" s="59">
        <v>10000</v>
      </c>
    </row>
    <row r="9" spans="2:7">
      <c r="B9" s="60"/>
      <c r="C9" s="61"/>
      <c r="D9" s="61"/>
      <c r="E9" s="61"/>
      <c r="F9" s="61"/>
      <c r="G9" s="62"/>
    </row>
    <row r="10" spans="2:7">
      <c r="B10" s="63" t="s">
        <v>49</v>
      </c>
      <c r="C10" s="64">
        <f>12*(C11+C12)</f>
        <v>15240</v>
      </c>
      <c r="D10" s="64">
        <f t="shared" ref="D10:G10" si="0">12*(D11+D12)</f>
        <v>15544.800000000001</v>
      </c>
      <c r="E10" s="64">
        <f t="shared" si="0"/>
        <v>15855.696</v>
      </c>
      <c r="F10" s="64">
        <f t="shared" si="0"/>
        <v>16172.80992</v>
      </c>
      <c r="G10" s="65">
        <f t="shared" si="0"/>
        <v>23770.210233600003</v>
      </c>
    </row>
    <row r="11" spans="2:7">
      <c r="B11" s="57" t="s">
        <v>50</v>
      </c>
      <c r="C11" s="58">
        <v>710</v>
      </c>
      <c r="D11" s="58">
        <f>C11*1.02</f>
        <v>724.2</v>
      </c>
      <c r="E11" s="58">
        <f t="shared" ref="E11:G12" si="1">D11*1.02</f>
        <v>738.68400000000008</v>
      </c>
      <c r="F11" s="58">
        <f t="shared" si="1"/>
        <v>753.4576800000001</v>
      </c>
      <c r="G11" s="59">
        <f t="shared" si="1"/>
        <v>768.52683360000015</v>
      </c>
    </row>
    <row r="12" spans="2:7">
      <c r="B12" s="57" t="s">
        <v>51</v>
      </c>
      <c r="C12" s="58">
        <v>560</v>
      </c>
      <c r="D12" s="58">
        <f>C12*1.02</f>
        <v>571.20000000000005</v>
      </c>
      <c r="E12" s="58">
        <f t="shared" si="1"/>
        <v>582.62400000000002</v>
      </c>
      <c r="F12" s="58">
        <f t="shared" si="1"/>
        <v>594.27647999999999</v>
      </c>
      <c r="G12" s="59">
        <f>F12*1.02*2</f>
        <v>1212.3240192000001</v>
      </c>
    </row>
    <row r="13" spans="2:7">
      <c r="B13" s="60"/>
      <c r="C13" s="61"/>
      <c r="D13" s="61"/>
      <c r="E13" s="61"/>
      <c r="F13" s="61"/>
      <c r="G13" s="62"/>
    </row>
    <row r="14" spans="2:7">
      <c r="B14" s="63" t="s">
        <v>52</v>
      </c>
      <c r="C14" s="64">
        <f>SUM(C15,C17,C18)*C16</f>
        <v>131040</v>
      </c>
      <c r="D14" s="64">
        <f t="shared" ref="D14:G14" si="2">SUM(D15,D17,D18)*D16</f>
        <v>131040</v>
      </c>
      <c r="E14" s="64">
        <f t="shared" si="2"/>
        <v>183456</v>
      </c>
      <c r="F14" s="64">
        <f t="shared" si="2"/>
        <v>183456</v>
      </c>
      <c r="G14" s="65">
        <f t="shared" si="2"/>
        <v>262080</v>
      </c>
    </row>
    <row r="15" spans="2:7">
      <c r="B15" s="57" t="s">
        <v>53</v>
      </c>
      <c r="C15" s="58">
        <f>1200*12</f>
        <v>14400</v>
      </c>
      <c r="D15" s="58">
        <f>C15</f>
        <v>14400</v>
      </c>
      <c r="E15" s="58">
        <f>D15*1</f>
        <v>14400</v>
      </c>
      <c r="F15" s="58">
        <f>E15*1</f>
        <v>14400</v>
      </c>
      <c r="G15" s="59">
        <f>F15*1</f>
        <v>14400</v>
      </c>
    </row>
    <row r="16" spans="2:7">
      <c r="B16" s="57" t="s">
        <v>54</v>
      </c>
      <c r="C16" s="66">
        <v>5</v>
      </c>
      <c r="D16" s="66">
        <v>5</v>
      </c>
      <c r="E16" s="66">
        <v>7</v>
      </c>
      <c r="F16" s="66">
        <v>7</v>
      </c>
      <c r="G16" s="67">
        <v>10</v>
      </c>
    </row>
    <row r="17" spans="2:8">
      <c r="B17" s="57" t="s">
        <v>55</v>
      </c>
      <c r="C17" s="58">
        <f>C15*0.28</f>
        <v>4032.0000000000005</v>
      </c>
      <c r="D17" s="58">
        <f t="shared" ref="D17:G17" si="3">D15*0.28</f>
        <v>4032.0000000000005</v>
      </c>
      <c r="E17" s="58">
        <f t="shared" si="3"/>
        <v>4032.0000000000005</v>
      </c>
      <c r="F17" s="58">
        <f t="shared" si="3"/>
        <v>4032.0000000000005</v>
      </c>
      <c r="G17" s="59">
        <f t="shared" si="3"/>
        <v>4032.0000000000005</v>
      </c>
    </row>
    <row r="18" spans="2:8">
      <c r="B18" s="57" t="s">
        <v>56</v>
      </c>
      <c r="C18" s="58">
        <f>C15*0.54</f>
        <v>7776.0000000000009</v>
      </c>
      <c r="D18" s="58">
        <f t="shared" ref="D18:G18" si="4">D15*0.54</f>
        <v>7776.0000000000009</v>
      </c>
      <c r="E18" s="58">
        <f t="shared" si="4"/>
        <v>7776.0000000000009</v>
      </c>
      <c r="F18" s="58">
        <f t="shared" si="4"/>
        <v>7776.0000000000009</v>
      </c>
      <c r="G18" s="59">
        <f t="shared" si="4"/>
        <v>7776.0000000000009</v>
      </c>
    </row>
    <row r="19" spans="2:8">
      <c r="B19" s="60"/>
      <c r="C19" s="61"/>
      <c r="D19" s="61"/>
      <c r="E19" s="61"/>
      <c r="F19" s="61"/>
      <c r="G19" s="62"/>
    </row>
    <row r="20" spans="2:8">
      <c r="B20" s="63" t="s">
        <v>44</v>
      </c>
      <c r="C20" s="64">
        <f>SUM(C21:C23)*2</f>
        <v>40900</v>
      </c>
      <c r="D20" s="64">
        <f t="shared" ref="D20:G20" si="5">SUM(D21:D23)*2</f>
        <v>0</v>
      </c>
      <c r="E20" s="64">
        <f t="shared" si="5"/>
        <v>0</v>
      </c>
      <c r="F20" s="64">
        <f t="shared" si="5"/>
        <v>0</v>
      </c>
      <c r="G20" s="65">
        <f t="shared" si="5"/>
        <v>0</v>
      </c>
      <c r="H20" s="1"/>
    </row>
    <row r="21" spans="2:8">
      <c r="B21" s="57" t="s">
        <v>57</v>
      </c>
      <c r="C21" s="58">
        <v>18000</v>
      </c>
      <c r="D21" s="58">
        <v>0</v>
      </c>
      <c r="E21" s="58">
        <f t="shared" ref="E21:G23" si="6">D21*1.02</f>
        <v>0</v>
      </c>
      <c r="F21" s="58">
        <f t="shared" si="6"/>
        <v>0</v>
      </c>
      <c r="G21" s="59">
        <f t="shared" si="6"/>
        <v>0</v>
      </c>
    </row>
    <row r="22" spans="2:8">
      <c r="B22" s="57" t="s">
        <v>58</v>
      </c>
      <c r="C22" s="58">
        <v>2000</v>
      </c>
      <c r="D22" s="58">
        <v>0</v>
      </c>
      <c r="E22" s="58">
        <f t="shared" si="6"/>
        <v>0</v>
      </c>
      <c r="F22" s="58">
        <f t="shared" si="6"/>
        <v>0</v>
      </c>
      <c r="G22" s="59">
        <f t="shared" si="6"/>
        <v>0</v>
      </c>
    </row>
    <row r="23" spans="2:8">
      <c r="B23" s="57" t="s">
        <v>59</v>
      </c>
      <c r="C23" s="58">
        <v>450</v>
      </c>
      <c r="D23" s="58">
        <v>0</v>
      </c>
      <c r="E23" s="58">
        <f t="shared" si="6"/>
        <v>0</v>
      </c>
      <c r="F23" s="58">
        <f t="shared" si="6"/>
        <v>0</v>
      </c>
      <c r="G23" s="59">
        <f t="shared" si="6"/>
        <v>0</v>
      </c>
    </row>
    <row r="24" spans="2:8">
      <c r="B24" s="60"/>
      <c r="C24" s="61"/>
      <c r="D24" s="61"/>
      <c r="E24" s="61"/>
      <c r="F24" s="61"/>
      <c r="G24" s="62"/>
    </row>
    <row r="25" spans="2:8">
      <c r="B25" s="63" t="s">
        <v>60</v>
      </c>
      <c r="C25" s="64">
        <v>0</v>
      </c>
      <c r="D25" s="64">
        <v>0</v>
      </c>
      <c r="E25" s="64">
        <v>0</v>
      </c>
      <c r="F25" s="64">
        <v>0</v>
      </c>
      <c r="G25" s="65">
        <v>0</v>
      </c>
    </row>
    <row r="26" spans="2:8">
      <c r="B26" s="60"/>
      <c r="C26" s="61"/>
      <c r="D26" s="61"/>
      <c r="E26" s="61"/>
      <c r="F26" s="61"/>
      <c r="G26" s="62"/>
    </row>
    <row r="27" spans="2:8">
      <c r="B27" s="63" t="s">
        <v>61</v>
      </c>
      <c r="C27" s="64">
        <f>SUM(C28:C30)</f>
        <v>3450</v>
      </c>
      <c r="D27" s="64">
        <f>SUM(D28:D30)</f>
        <v>500</v>
      </c>
      <c r="E27" s="64">
        <f>SUM(E28:E30)</f>
        <v>500</v>
      </c>
      <c r="F27" s="64">
        <f>SUM(F28:F30)</f>
        <v>500</v>
      </c>
      <c r="G27" s="65">
        <f>SUM(G28:G30)</f>
        <v>500</v>
      </c>
    </row>
    <row r="28" spans="2:8">
      <c r="B28" s="57" t="s">
        <v>62</v>
      </c>
      <c r="C28" s="58">
        <v>225</v>
      </c>
      <c r="D28" s="58">
        <v>0</v>
      </c>
      <c r="E28" s="58">
        <v>0</v>
      </c>
      <c r="F28" s="58">
        <v>0</v>
      </c>
      <c r="G28" s="59">
        <v>0</v>
      </c>
    </row>
    <row r="29" spans="2:8">
      <c r="B29" s="57" t="s">
        <v>63</v>
      </c>
      <c r="C29" s="58">
        <v>2625</v>
      </c>
      <c r="D29" s="58">
        <v>500</v>
      </c>
      <c r="E29" s="58">
        <v>500</v>
      </c>
      <c r="F29" s="58">
        <v>500</v>
      </c>
      <c r="G29" s="59">
        <v>500</v>
      </c>
    </row>
    <row r="30" spans="2:8">
      <c r="B30" s="57" t="s">
        <v>64</v>
      </c>
      <c r="C30" s="58">
        <v>600</v>
      </c>
      <c r="D30" s="58">
        <v>0</v>
      </c>
      <c r="E30" s="58">
        <v>0</v>
      </c>
      <c r="F30" s="58">
        <v>0</v>
      </c>
      <c r="G30" s="59">
        <v>0</v>
      </c>
    </row>
    <row r="31" spans="2:8">
      <c r="B31" s="60"/>
      <c r="C31" s="61"/>
      <c r="D31" s="61"/>
      <c r="E31" s="61"/>
      <c r="F31" s="61"/>
      <c r="G31" s="62"/>
    </row>
    <row r="32" spans="2:8">
      <c r="B32" s="63" t="s">
        <v>65</v>
      </c>
      <c r="C32" s="64">
        <f>SUM(C33:C37)</f>
        <v>10181</v>
      </c>
      <c r="D32" s="64">
        <f>SUM(D33:D37)</f>
        <v>9863.4</v>
      </c>
      <c r="E32" s="64">
        <f>SUM(E33:E37)</f>
        <v>10060.668000000001</v>
      </c>
      <c r="F32" s="64">
        <f>SUM(F33:F37)</f>
        <v>10261.881360000001</v>
      </c>
      <c r="G32" s="65">
        <f>SUM(G33:G37)</f>
        <v>10467.118987200001</v>
      </c>
    </row>
    <row r="33" spans="2:7">
      <c r="B33" s="57" t="s">
        <v>66</v>
      </c>
      <c r="C33" s="58">
        <v>250</v>
      </c>
      <c r="D33" s="58">
        <f>C33*1.02</f>
        <v>255</v>
      </c>
      <c r="E33" s="58">
        <f t="shared" ref="E33:G33" si="7">D33*1.02</f>
        <v>260.10000000000002</v>
      </c>
      <c r="F33" s="58">
        <f t="shared" si="7"/>
        <v>265.30200000000002</v>
      </c>
      <c r="G33" s="59">
        <f t="shared" si="7"/>
        <v>270.60804000000002</v>
      </c>
    </row>
    <row r="34" spans="2:7">
      <c r="B34" s="57" t="s">
        <v>123</v>
      </c>
      <c r="C34" s="58">
        <v>311</v>
      </c>
      <c r="D34" s="58">
        <v>0</v>
      </c>
      <c r="E34" s="58">
        <v>0</v>
      </c>
      <c r="F34" s="58">
        <v>0</v>
      </c>
      <c r="G34" s="59">
        <v>0</v>
      </c>
    </row>
    <row r="35" spans="2:7">
      <c r="B35" s="57" t="s">
        <v>67</v>
      </c>
      <c r="C35" s="58">
        <v>1020</v>
      </c>
      <c r="D35" s="58">
        <f>C35*1.02</f>
        <v>1040.4000000000001</v>
      </c>
      <c r="E35" s="58">
        <f t="shared" ref="E35:G36" si="8">D35*1.02</f>
        <v>1061.2080000000001</v>
      </c>
      <c r="F35" s="58">
        <f t="shared" si="8"/>
        <v>1082.4321600000001</v>
      </c>
      <c r="G35" s="59">
        <f t="shared" si="8"/>
        <v>1104.0808032</v>
      </c>
    </row>
    <row r="36" spans="2:7">
      <c r="B36" s="57" t="s">
        <v>68</v>
      </c>
      <c r="C36" s="58">
        <v>8400</v>
      </c>
      <c r="D36" s="58">
        <f>C36*1.02</f>
        <v>8568</v>
      </c>
      <c r="E36" s="58">
        <f t="shared" si="8"/>
        <v>8739.36</v>
      </c>
      <c r="F36" s="58">
        <f t="shared" si="8"/>
        <v>8914.1472000000012</v>
      </c>
      <c r="G36" s="59">
        <f t="shared" si="8"/>
        <v>9092.4301440000017</v>
      </c>
    </row>
    <row r="37" spans="2:7" ht="15" thickBot="1">
      <c r="B37" s="68" t="s">
        <v>32</v>
      </c>
      <c r="C37" s="69">
        <v>200</v>
      </c>
      <c r="D37" s="69">
        <v>0</v>
      </c>
      <c r="E37" s="69">
        <v>0</v>
      </c>
      <c r="F37" s="69">
        <v>0</v>
      </c>
      <c r="G37" s="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Feuil1</vt:lpstr>
      <vt:lpstr>cout fixe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la Salle</dc:creator>
  <cp:lastModifiedBy>Antoine</cp:lastModifiedBy>
  <dcterms:created xsi:type="dcterms:W3CDTF">2018-04-17T15:55:41Z</dcterms:created>
  <dcterms:modified xsi:type="dcterms:W3CDTF">2018-06-14T18:31:51Z</dcterms:modified>
</cp:coreProperties>
</file>