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D27093CD-4CC6-49D1-AF77-A703F21B209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6" l="1"/>
  <c r="J38" i="6" s="1"/>
  <c r="H36" i="6"/>
  <c r="J36" i="6" s="1"/>
  <c r="F5" i="8"/>
  <c r="J35" i="6"/>
  <c r="J34" i="6"/>
  <c r="B5" i="13" l="1"/>
  <c r="H39" i="6"/>
  <c r="Q11" i="6"/>
  <c r="B2" i="4"/>
  <c r="E25" i="5"/>
  <c r="E24" i="5"/>
  <c r="E23" i="5"/>
  <c r="E22" i="5"/>
  <c r="E21" i="5"/>
  <c r="E20" i="5"/>
  <c r="E19" i="5"/>
  <c r="E18" i="5"/>
  <c r="E10" i="5"/>
  <c r="E11" i="5"/>
  <c r="E12" i="5"/>
  <c r="E13" i="5"/>
  <c r="E14" i="5"/>
  <c r="E15" i="5"/>
  <c r="E16" i="5"/>
  <c r="E17" i="5"/>
  <c r="E9" i="5"/>
  <c r="M21" i="6"/>
  <c r="G4" i="5"/>
  <c r="Q19" i="6" s="1"/>
  <c r="Q20" i="6" l="1"/>
  <c r="S20" i="6" s="1"/>
  <c r="S19" i="6"/>
  <c r="Q18" i="6"/>
  <c r="S18" i="6" s="1"/>
  <c r="F13" i="4"/>
  <c r="F14" i="4"/>
  <c r="F12" i="4"/>
  <c r="E12" i="4"/>
  <c r="Q13" i="6"/>
  <c r="S13" i="6" s="1"/>
  <c r="Q12" i="6"/>
  <c r="S12" i="6" s="1"/>
  <c r="B7" i="4"/>
  <c r="S11" i="6"/>
  <c r="M13" i="6"/>
  <c r="M15" i="6"/>
  <c r="M17" i="6" s="1"/>
  <c r="Q14" i="6"/>
  <c r="S14" i="6" s="1"/>
  <c r="Q10" i="6"/>
  <c r="S51" i="6" l="1"/>
  <c r="M16" i="6"/>
  <c r="K36" i="2"/>
  <c r="K35" i="2"/>
  <c r="K34" i="2"/>
  <c r="K33" i="2"/>
  <c r="E34" i="2"/>
  <c r="E35" i="2"/>
  <c r="E33" i="2"/>
  <c r="E40" i="2" s="1"/>
  <c r="E39" i="2"/>
  <c r="E38" i="2"/>
  <c r="E37" i="2"/>
  <c r="E36" i="2"/>
  <c r="E5" i="2"/>
  <c r="E6" i="2"/>
  <c r="E7" i="2"/>
  <c r="E4" i="2"/>
  <c r="W5" i="2"/>
  <c r="W6" i="2"/>
  <c r="W4" i="2"/>
  <c r="W7" i="2" s="1"/>
  <c r="K37" i="2" l="1"/>
  <c r="H37" i="6" l="1"/>
  <c r="H30" i="6"/>
  <c r="H28" i="6"/>
  <c r="Q19" i="2" l="1"/>
  <c r="Q20" i="2"/>
  <c r="Q21" i="2"/>
  <c r="Q18" i="2"/>
  <c r="Q17" i="2"/>
  <c r="E23" i="2"/>
  <c r="E22" i="2"/>
  <c r="E24" i="2"/>
  <c r="E25" i="2"/>
  <c r="E26" i="2"/>
  <c r="E27" i="2"/>
  <c r="E21" i="2"/>
  <c r="Q22" i="2" l="1"/>
  <c r="E28" i="2"/>
  <c r="M5" i="6"/>
  <c r="B6" i="13" l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H20" i="6" s="1"/>
  <c r="J20" i="6" s="1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7" i="6"/>
  <c r="F8" i="8"/>
  <c r="F4" i="8"/>
  <c r="F2" i="8"/>
  <c r="H31" i="6" s="1"/>
  <c r="Q5" i="6"/>
  <c r="S5" i="6" s="1"/>
  <c r="Q4" i="6"/>
  <c r="S4" i="6" s="1"/>
  <c r="J16" i="6"/>
  <c r="J39" i="6"/>
  <c r="J17" i="6"/>
  <c r="J30" i="6"/>
  <c r="J28" i="6"/>
  <c r="J13" i="6"/>
  <c r="J29" i="6"/>
  <c r="J43" i="6" s="1"/>
  <c r="B22" i="3"/>
  <c r="Q3" i="6" s="1"/>
  <c r="B2" i="3"/>
  <c r="J31" i="6" l="1"/>
  <c r="H32" i="6"/>
  <c r="F31" i="3"/>
  <c r="S10" i="6" s="1"/>
  <c r="Q32" i="6"/>
  <c r="S32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5" i="11"/>
  <c r="B16" i="11" s="1"/>
  <c r="C9" i="6" s="1"/>
  <c r="C6" i="6"/>
  <c r="H18" i="6" s="1"/>
  <c r="J18" i="6" s="1"/>
  <c r="C4" i="6"/>
  <c r="C5" i="6"/>
  <c r="C3" i="6"/>
  <c r="H40" i="6" l="1"/>
  <c r="J40" i="6" s="1"/>
  <c r="J32" i="6"/>
  <c r="H33" i="6"/>
  <c r="J33" i="6" s="1"/>
  <c r="Q15" i="6"/>
  <c r="Q21" i="6"/>
  <c r="J26" i="11"/>
  <c r="S39" i="6"/>
  <c r="H22" i="6"/>
  <c r="J22" i="6" s="1"/>
  <c r="Q7" i="6"/>
  <c r="H15" i="6"/>
  <c r="J15" i="6" s="1"/>
  <c r="H19" i="6"/>
  <c r="J19" i="6" s="1"/>
  <c r="C12" i="6"/>
  <c r="F26" i="11"/>
  <c r="B28" i="11"/>
  <c r="H5" i="11" s="1"/>
  <c r="R47" i="6" s="1"/>
  <c r="S47" i="6" s="1"/>
  <c r="G26" i="11"/>
  <c r="B26" i="11"/>
  <c r="C26" i="11"/>
  <c r="E26" i="11"/>
  <c r="D26" i="11"/>
  <c r="H24" i="6"/>
  <c r="J24" i="6" s="1"/>
  <c r="H5" i="6"/>
  <c r="J5" i="6" s="1"/>
  <c r="H7" i="6"/>
  <c r="J7" i="6" s="1"/>
  <c r="H4" i="6"/>
  <c r="J4" i="6" s="1"/>
  <c r="H3" i="6"/>
  <c r="J3" i="6" s="1"/>
  <c r="R44" i="6" l="1"/>
  <c r="S44" i="6" s="1"/>
  <c r="J45" i="6"/>
  <c r="H6" i="11"/>
  <c r="R48" i="6" s="1"/>
  <c r="S48" i="6" s="1"/>
  <c r="H7" i="11"/>
  <c r="R49" i="6" s="1"/>
  <c r="S49" i="6" s="1"/>
  <c r="I25" i="11"/>
  <c r="D25" i="11"/>
  <c r="F25" i="11"/>
  <c r="J25" i="11"/>
  <c r="G25" i="11"/>
  <c r="C25" i="11"/>
  <c r="B25" i="11"/>
  <c r="E25" i="11"/>
  <c r="H25" i="11"/>
  <c r="I26" i="11"/>
  <c r="H26" i="1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9" i="2"/>
  <c r="E10" i="2"/>
  <c r="E11" i="2"/>
  <c r="E12" i="2"/>
  <c r="E13" i="2"/>
  <c r="E14" i="2"/>
  <c r="E15" i="2"/>
  <c r="E8" i="2"/>
  <c r="R59" i="6" l="1"/>
  <c r="S59" i="6" s="1"/>
  <c r="R56" i="6"/>
  <c r="S56" i="6" s="1"/>
  <c r="R45" i="6"/>
  <c r="S45" i="6" s="1"/>
  <c r="J46" i="6"/>
  <c r="R46" i="6"/>
  <c r="S46" i="6" s="1"/>
  <c r="J47" i="6"/>
  <c r="J44" i="6"/>
  <c r="K26" i="11"/>
  <c r="E16" i="2"/>
  <c r="Q11" i="2"/>
  <c r="J12" i="2"/>
  <c r="K25" i="11"/>
  <c r="R58" i="6" l="1"/>
  <c r="S58" i="6" s="1"/>
  <c r="R61" i="6"/>
  <c r="S61" i="6" s="1"/>
  <c r="S40" i="6"/>
  <c r="R50" i="6" s="1"/>
  <c r="S50" i="6" s="1"/>
  <c r="S52" i="6"/>
  <c r="R60" i="6"/>
  <c r="S60" i="6" s="1"/>
  <c r="R57" i="6"/>
  <c r="S57" i="6" s="1"/>
  <c r="S41" i="6" l="1"/>
  <c r="R43" i="6" s="1"/>
  <c r="S43" i="6" s="1"/>
  <c r="S53" i="6"/>
  <c r="R55" i="6" s="1"/>
  <c r="S55" i="6" s="1"/>
  <c r="R62" i="6"/>
  <c r="S62" i="6" s="1"/>
</calcChain>
</file>

<file path=xl/sharedStrings.xml><?xml version="1.0" encoding="utf-8"?>
<sst xmlns="http://schemas.openxmlformats.org/spreadsheetml/2006/main" count="627" uniqueCount="444">
  <si>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</si>
  <si>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</si>
  <si>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</si>
  <si>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</si>
  <si>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</si>
  <si>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</si>
  <si>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</si>
  <si>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</si>
  <si>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</si>
  <si>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</si>
  <si>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</si>
  <si>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</si>
  <si>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</si>
  <si>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</si>
  <si>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</si>
  <si>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</si>
  <si>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</si>
  <si>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</si>
  <si>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</si>
  <si>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</si>
  <si>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</si>
  <si>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</si>
  <si>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</si>
  <si>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</si>
  <si>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</si>
  <si>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</si>
  <si>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</si>
  <si>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</si>
  <si>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</si>
  <si>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</si>
  <si>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</si>
  <si>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</si>
  <si>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</si>
  <si>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</si>
  <si>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</si>
  <si>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</si>
  <si>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</si>
  <si>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</si>
  <si>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</si>
  <si>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</si>
  <si>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</si>
  <si>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</si>
  <si>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</si>
  <si>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</si>
  <si>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</si>
  <si>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</si>
  <si>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</si>
  <si>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</si>
  <si>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</si>
  <si>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</si>
  <si>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</si>
  <si>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</si>
  <si>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</si>
  <si>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</si>
  <si>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</si>
  <si>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Scrap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</si>
  <si>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</si>
  <si>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</si>
  <si>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</si>
  <si>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</si>
  <si>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</si>
  <si>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</si>
  <si>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</si>
  <si>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</si>
  <si>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</si>
  <si>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</si>
  <si>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</si>
  <si>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</si>
  <si>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</si>
  <si>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</si>
  <si>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</si>
  <si>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</si>
  <si>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</si>
  <si>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</si>
  <si>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</si>
  <si>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</si>
  <si>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</si>
  <si>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</si>
  <si>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</si>
  <si>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</si>
  <si>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</si>
  <si>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</si>
  <si>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</si>
  <si>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</si>
  <si>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</si>
  <si>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</si>
  <si>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</si>
  <si>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</si>
  <si>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</si>
  <si>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</si>
  <si>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</si>
  <si>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</si>
  <si>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</si>
  <si>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</si>
  <si>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</si>
  <si>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</si>
  <si>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</si>
  <si>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</si>
  <si>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</si>
  <si>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</si>
  <si>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</si>
  <si>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</si>
  <si>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</si>
  <si>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</si>
  <si>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</si>
  <si>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</si>
  <si>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</si>
  <si>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</si>
  <si>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</si>
  <si>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</si>
  <si>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</si>
  <si>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</si>
  <si>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</si>
  <si>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</si>
  <si>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</si>
  <si>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</si>
  <si>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</si>
  <si>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</si>
  <si>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</si>
  <si>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</si>
  <si>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</si>
  <si>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</si>
  <si>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</si>
  <si>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</si>
  <si>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</si>
  <si>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</si>
  <si>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</si>
  <si>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</si>
  <si>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</si>
  <si>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</si>
  <si>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</si>
  <si>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</si>
  <si>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</si>
  <si>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</si>
  <si>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</si>
  <si>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</si>
  <si>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</si>
  <si>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</si>
  <si>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</si>
  <si>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</si>
  <si>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</si>
  <si>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</si>
  <si>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</si>
  <si>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</si>
  <si>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</si>
  <si>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</si>
  <si>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</si>
  <si>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</si>
  <si>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</si>
  <si>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</si>
  <si>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</si>
  <si>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</si>
  <si>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</si>
  <si>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</si>
  <si>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</si>
  <si>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</si>
  <si>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</si>
  <si>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</si>
  <si>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</si>
  <si>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</si>
  <si>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</si>
  <si>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</si>
  <si>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</si>
  <si>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</si>
  <si>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</si>
  <si>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</si>
  <si>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</si>
  <si>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</si>
  <si>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</si>
  <si>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</si>
  <si>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</si>
  <si>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</si>
  <si>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</si>
  <si>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</si>
  <si>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</si>
  <si>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</si>
  <si>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</si>
  <si>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</si>
  <si>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</si>
  <si>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</si>
  <si>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</si>
  <si>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</si>
  <si>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</si>
  <si>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</si>
  <si>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</si>
  <si>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</si>
  <si>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</si>
  <si>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</si>
  <si>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</si>
  <si>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</si>
  <si>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</si>
  <si>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</si>
  <si>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</si>
  <si>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</si>
  <si>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</si>
  <si>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</si>
  <si>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</si>
  <si>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</si>
  <si>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</si>
  <si>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</si>
  <si>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</si>
  <si>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</si>
  <si>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</si>
  <si>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</si>
  <si>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</si>
  <si>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</si>
  <si>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</si>
  <si>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</si>
  <si>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</si>
  <si>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</si>
  <si>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</si>
  <si>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</si>
  <si>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</si>
  <si>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</si>
  <si>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</si>
  <si>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</si>
  <si>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</si>
  <si>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</si>
  <si>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</si>
  <si>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</si>
  <si>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</si>
  <si>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</si>
  <si>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</si>
  <si>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</si>
  <si>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</si>
  <si>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</si>
  <si>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</si>
  <si>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</si>
  <si>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</si>
  <si>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</si>
  <si>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</si>
  <si>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</si>
  <si>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</si>
  <si>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</si>
  <si>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</si>
  <si>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</si>
  <si>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</si>
  <si>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</si>
  <si>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</si>
  <si>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</si>
  <si>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</si>
  <si>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</si>
  <si>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</si>
  <si>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</si>
  <si>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</si>
  <si>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</si>
  <si>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</si>
  <si>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</si>
  <si>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</si>
  <si>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</si>
  <si>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</si>
  <si>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</si>
  <si>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</si>
  <si>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</si>
  <si>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</si>
  <si>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</si>
  <si>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</si>
  <si>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</si>
  <si>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</si>
  <si>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</si>
  <si>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</si>
  <si>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</si>
  <si>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</si>
  <si>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</si>
  <si>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</si>
  <si>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</si>
  <si>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</si>
  <si>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</si>
  <si>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</si>
  <si>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</si>
  <si>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</si>
  <si>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</si>
  <si>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</si>
  <si>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</si>
  <si>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</si>
  <si>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</si>
  <si>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</si>
  <si>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</si>
  <si>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</si>
  <si>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</si>
  <si>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</si>
  <si>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</si>
  <si>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</si>
  <si>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</si>
  <si>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</si>
  <si>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</si>
  <si>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</si>
  <si>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</si>
  <si>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</si>
  <si>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Programation time / mm^3 (40% of machining time)</t>
  </si>
  <si>
    <t>Setup time (fixture and tools) (min)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</si>
  <si>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</si>
  <si>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</si>
  <si>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</si>
  <si>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</si>
  <si>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</si>
  <si>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</si>
  <si>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</si>
  <si>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</si>
  <si>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</si>
  <si>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</si>
  <si>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</si>
  <si>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</si>
  <si>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</si>
  <si>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</si>
  <si>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</si>
  <si>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</si>
  <si>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</si>
  <si>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</si>
  <si>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</si>
  <si>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</si>
  <si>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</si>
  <si>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</si>
  <si>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</si>
  <si>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</si>
  <si>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</si>
  <si>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</si>
  <si>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</si>
  <si>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</si>
  <si>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</si>
  <si>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</si>
  <si>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</si>
  <si>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</si>
  <si>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</si>
  <si>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</si>
  <si>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</si>
  <si>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</si>
  <si>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</si>
  <si>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</si>
  <si>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</si>
  <si>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</si>
  <si>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</si>
  <si>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</si>
  <si>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</si>
  <si>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</si>
  <si>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</si>
  <si>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</si>
  <si>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</si>
  <si>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</si>
  <si>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</si>
  <si>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</si>
  <si>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</si>
  <si>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</si>
  <si>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</si>
  <si>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</si>
  <si>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</si>
  <si>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</si>
  <si>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</si>
  <si>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</si>
  <si>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</si>
  <si>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</si>
  <si>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</si>
  <si>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</si>
  <si>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</si>
  <si>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</si>
  <si>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</si>
  <si>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</si>
  <si>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</si>
  <si>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</si>
  <si>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</si>
  <si>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</si>
  <si>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</si>
  <si>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</si>
  <si>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</si>
  <si>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</si>
  <si>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</si>
  <si>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</si>
  <si>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</si>
  <si>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</si>
  <si>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</si>
  <si>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>Fixed Cost</t>
  </si>
  <si>
    <t>Manpower cost</t>
  </si>
  <si>
    <t>Operator cost/hour</t>
  </si>
  <si>
    <t>Engineer cost/hour</t>
  </si>
  <si>
    <t>Measuring time / mm^3 (30% of machining time)</t>
  </si>
  <si>
    <t>Cost of measuring part Operator (€/mm^3)</t>
  </si>
  <si>
    <t>Cost of measuring part Technician(€/mm^3)</t>
  </si>
  <si>
    <t>Cost of measuring part Engineer (€/mm^3)</t>
  </si>
  <si>
    <t>Without margin</t>
  </si>
  <si>
    <t>With margin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</si>
  <si>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</si>
  <si>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</si>
  <si>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</si>
  <si>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</si>
  <si>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</si>
  <si>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</si>
  <si>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</si>
  <si>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</si>
  <si>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</si>
  <si>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</si>
  <si>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>Programation time / mm (40% of machining time)</t>
  </si>
  <si>
    <t>Measuring time / mm (30% of machining time)</t>
  </si>
  <si>
    <t>Gas (O2)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</si>
  <si>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</si>
  <si>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</si>
  <si>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</si>
  <si>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</si>
  <si>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</si>
  <si>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</si>
  <si>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</si>
  <si>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</si>
  <si>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</si>
  <si>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</si>
  <si>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</si>
  <si>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</si>
  <si>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</si>
  <si>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</si>
  <si>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</si>
  <si>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</si>
  <si>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</si>
  <si>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</si>
  <si>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</si>
  <si>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</si>
  <si>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</si>
  <si>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</si>
  <si>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</si>
  <si>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</si>
  <si>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</si>
  <si>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</si>
  <si>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</si>
  <si>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</si>
  <si>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</si>
  <si>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</si>
  <si>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</si>
  <si>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Band Saw/Drill Press/Sheet metal bender/Hydraulic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</si>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</sst>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7" borderId="0" xfId="0" applyFill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0" fontId="2" fillId="0" borderId="0" xfId="0" applyFont="1" applyFill="1" applyBorder="1" applyAlignment="1">
      <alignment vertical="center"/>
    </xf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0" fontId="2" fillId="0" borderId="2" xfId="0" applyFont="1" applyFill="1" applyBorder="1" applyAlignment="1">
      <alignment vertical="center"/>
    </xf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11" fontId="0" fillId="0" borderId="0" xfId="0" applyNumberFormat="1" applyFont="1" applyFill="1" applyBorder="1" applyAlignment="1">
      <alignment horizontal="right" vertical="center"/>
    </xf>
    <xf numFmtId="11" fontId="2" fillId="0" borderId="11" xfId="0" applyNumberFormat="1" applyFont="1" applyBorder="1"/>
    <xf numFmtId="0" fontId="0" fillId="11" borderId="4" xfId="0" applyFill="1" applyBorder="1"/>
    <xf numFmtId="0" fontId="0" fillId="11" borderId="5" xfId="0" applyFill="1" applyBorder="1"/>
    <xf numFmtId="44" fontId="0" fillId="0" borderId="5" xfId="0" applyNumberFormat="1" applyFont="1" applyFill="1" applyBorder="1" applyAlignment="1">
      <alignment horizontal="right" vertical="center"/>
    </xf>
    <xf numFmtId="44" fontId="2" fillId="0" borderId="6" xfId="1" applyFont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44" fontId="0" fillId="0" borderId="0" xfId="1" applyFont="1" applyFill="1"/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cutter'!$D$9:$D$17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cutter'!$E$9:$E$17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cutter'!$D$18:$D$22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cutter'!$E$18:$E$22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cutter'!$D$23:$D$25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cutter'!$E$23:$E$25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4</xdr:row>
      <xdr:rowOff>176212</xdr:rowOff>
    </xdr:from>
    <xdr:to>
      <xdr:col>11</xdr:col>
      <xdr:colOff>638175</xdr:colOff>
      <xdr:row>19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H1" workbookViewId="0">
      <selection activeCell="G45" sqref="G45:I45"/>
    </sheetView>
  </sheetViews>
  <sheetFormatPr baseColWidth="10" defaultRowHeight="15" x14ac:dyDescent="0.25"/>
  <cols>
    <col min="2" max="2" width="33" customWidth="1"/>
    <col min="3" max="3" width="11.85546875" bestFit="1" customWidth="1"/>
    <col min="4" max="4" width="57.85546875" customWidth="1"/>
    <col min="5" max="5" width="4.85546875" customWidth="1"/>
    <col min="6" max="6" width="14.5703125" bestFit="1" customWidth="1"/>
    <col min="7" max="7" width="62" bestFit="1" customWidth="1"/>
    <col min="8" max="8" width="11.85546875" bestFit="1" customWidth="1"/>
    <col min="9" max="9" width="14.7109375" bestFit="1" customWidth="1"/>
    <col min="10" max="10" width="11.85546875" customWidth="1"/>
    <col min="11" max="11" width="4.5703125" customWidth="1"/>
    <col min="12" max="12" width="47.5703125" bestFit="1" customWidth="1"/>
    <col min="13" max="13" width="23.85546875" customWidth="1"/>
    <col min="14" max="14" width="31" bestFit="1" customWidth="1"/>
    <col min="15" max="15" width="8.42578125" bestFit="1" customWidth="1"/>
    <col min="16" max="16" width="37.140625" bestFit="1" customWidth="1"/>
    <col min="17" max="17" width="12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07" t="s">
        <v>62</v>
      </c>
      <c r="B1" s="107"/>
      <c r="C1" s="107"/>
      <c r="D1" s="45"/>
      <c r="F1" s="101" t="s">
        <v>14</v>
      </c>
      <c r="G1" s="101"/>
      <c r="H1" s="101"/>
      <c r="I1" s="33"/>
      <c r="J1" s="33"/>
      <c r="L1" s="117" t="s">
        <v>244</v>
      </c>
      <c r="M1" s="117"/>
      <c r="N1" s="117"/>
      <c r="O1" s="117"/>
      <c r="P1" s="117"/>
      <c r="Q1" s="117"/>
      <c r="R1" s="32"/>
      <c r="S1" s="32"/>
      <c r="U1" s="100" t="s">
        <v>26</v>
      </c>
      <c r="V1" s="100"/>
      <c r="W1" s="100"/>
      <c r="Y1" s="102" t="s">
        <v>57</v>
      </c>
      <c r="Z1" s="102"/>
      <c r="AA1" s="102"/>
    </row>
    <row r="2" spans="1:27" ht="30" x14ac:dyDescent="0.25">
      <c r="A2" s="45" t="s">
        <v>35</v>
      </c>
      <c r="B2" s="45" t="s">
        <v>17</v>
      </c>
      <c r="C2" s="45" t="s">
        <v>63</v>
      </c>
      <c r="D2" s="45" t="s">
        <v>266</v>
      </c>
      <c r="F2" s="3" t="s">
        <v>35</v>
      </c>
      <c r="G2" s="3" t="s">
        <v>27</v>
      </c>
      <c r="H2" s="3" t="s">
        <v>18</v>
      </c>
      <c r="I2" s="35" t="s">
        <v>442</v>
      </c>
      <c r="J2" s="33" t="s">
        <v>242</v>
      </c>
      <c r="L2" s="8" t="s">
        <v>16</v>
      </c>
      <c r="M2" s="32"/>
      <c r="N2" s="8" t="s">
        <v>17</v>
      </c>
      <c r="O2" s="32" t="s">
        <v>247</v>
      </c>
      <c r="P2" s="32" t="s">
        <v>253</v>
      </c>
      <c r="Q2" s="8" t="s">
        <v>18</v>
      </c>
      <c r="R2" s="36" t="s">
        <v>442</v>
      </c>
      <c r="S2" s="32" t="s">
        <v>242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49" t="s">
        <v>64</v>
      </c>
      <c r="B3" s="50" t="s">
        <v>29</v>
      </c>
      <c r="C3" s="51">
        <f>'Manpower &amp; time'!C5</f>
        <v>21376</v>
      </c>
      <c r="D3" s="51"/>
      <c r="F3" s="4" t="s">
        <v>36</v>
      </c>
      <c r="G3" t="s">
        <v>233</v>
      </c>
      <c r="H3" s="23">
        <f>SUM(Metrology!E14:E17)</f>
        <v>2320</v>
      </c>
      <c r="I3" s="34">
        <v>10</v>
      </c>
      <c r="J3" s="23">
        <f>H3/I3</f>
        <v>232</v>
      </c>
      <c r="L3" s="103" t="s">
        <v>15</v>
      </c>
      <c r="M3" s="103"/>
      <c r="N3" t="s">
        <v>243</v>
      </c>
      <c r="O3" t="s">
        <v>248</v>
      </c>
      <c r="Q3" s="22">
        <f>'CNC mill'!B22</f>
        <v>108020</v>
      </c>
      <c r="R3">
        <v>10</v>
      </c>
      <c r="S3" s="22">
        <f>Q3/R3</f>
        <v>10802</v>
      </c>
      <c r="U3" s="13" t="s">
        <v>28</v>
      </c>
      <c r="V3" t="s">
        <v>53</v>
      </c>
      <c r="Z3" t="s">
        <v>58</v>
      </c>
    </row>
    <row r="4" spans="1:27" x14ac:dyDescent="0.25">
      <c r="A4" s="49"/>
      <c r="B4" s="50" t="s">
        <v>65</v>
      </c>
      <c r="C4" s="51">
        <f>'Manpower &amp; time'!C6</f>
        <v>39809</v>
      </c>
      <c r="D4" s="51"/>
      <c r="F4" s="4"/>
      <c r="G4" t="s">
        <v>232</v>
      </c>
      <c r="H4" s="23">
        <f>SUM(Metrology!E18:E19)</f>
        <v>1838.4</v>
      </c>
      <c r="I4" s="34">
        <v>10</v>
      </c>
      <c r="J4" s="23">
        <f t="shared" ref="J4:J38" si="0">H4/I4</f>
        <v>183.84</v>
      </c>
      <c r="L4" s="9" t="s">
        <v>314</v>
      </c>
      <c r="M4" s="9">
        <v>22.4</v>
      </c>
      <c r="N4" t="s">
        <v>245</v>
      </c>
      <c r="O4" t="s">
        <v>248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29</v>
      </c>
      <c r="Z4" t="s">
        <v>59</v>
      </c>
    </row>
    <row r="5" spans="1:27" x14ac:dyDescent="0.25">
      <c r="A5" s="49"/>
      <c r="B5" s="50" t="s">
        <v>66</v>
      </c>
      <c r="C5" s="51">
        <f>'Manpower &amp; time'!C7</f>
        <v>69843</v>
      </c>
      <c r="D5" s="51"/>
      <c r="F5" s="4"/>
      <c r="G5" t="s">
        <v>231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264</v>
      </c>
      <c r="M5" s="37">
        <f>C10</f>
        <v>0.75</v>
      </c>
      <c r="N5" t="s">
        <v>246</v>
      </c>
      <c r="O5" t="s">
        <v>248</v>
      </c>
      <c r="Q5" s="22">
        <f>'CNC mill'!B24</f>
        <v>2500</v>
      </c>
      <c r="R5">
        <v>5</v>
      </c>
      <c r="S5" s="22">
        <f t="shared" si="1"/>
        <v>500</v>
      </c>
      <c r="U5" s="14" t="s">
        <v>30</v>
      </c>
      <c r="V5" t="s">
        <v>31</v>
      </c>
    </row>
    <row r="6" spans="1:27" x14ac:dyDescent="0.25">
      <c r="A6" s="49"/>
      <c r="B6" s="50" t="s">
        <v>67</v>
      </c>
      <c r="C6" s="51">
        <f>'Manpower &amp; time'!C6</f>
        <v>39809</v>
      </c>
      <c r="D6" s="51"/>
      <c r="F6" s="4"/>
      <c r="G6" t="s">
        <v>39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265</v>
      </c>
      <c r="M6" s="9">
        <v>5</v>
      </c>
      <c r="N6" t="s">
        <v>23</v>
      </c>
      <c r="O6" t="s">
        <v>248</v>
      </c>
      <c r="P6" t="s">
        <v>257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32</v>
      </c>
    </row>
    <row r="7" spans="1:27" x14ac:dyDescent="0.25">
      <c r="A7" s="49"/>
      <c r="B7" s="50" t="s">
        <v>285</v>
      </c>
      <c r="C7" s="50">
        <v>6</v>
      </c>
      <c r="D7" s="50" t="s">
        <v>287</v>
      </c>
      <c r="F7" s="4"/>
      <c r="G7" t="s">
        <v>234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288</v>
      </c>
      <c r="M7" s="41">
        <f>1/10000</f>
        <v>1E-4</v>
      </c>
      <c r="N7" t="s">
        <v>20</v>
      </c>
      <c r="O7" t="s">
        <v>249</v>
      </c>
      <c r="P7" t="s">
        <v>315</v>
      </c>
      <c r="Q7" s="31">
        <f>M4*0.8*C14</f>
        <v>1.4031359999999997</v>
      </c>
      <c r="U7" s="14"/>
    </row>
    <row r="8" spans="1:27" x14ac:dyDescent="0.25">
      <c r="A8" s="48" t="s">
        <v>68</v>
      </c>
      <c r="B8" t="s">
        <v>69</v>
      </c>
      <c r="C8">
        <v>35</v>
      </c>
      <c r="F8" s="4"/>
      <c r="G8" t="s">
        <v>235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289</v>
      </c>
      <c r="M8" s="41">
        <f>M7*0.4</f>
        <v>4.0000000000000003E-5</v>
      </c>
      <c r="N8" t="s">
        <v>250</v>
      </c>
      <c r="O8" t="s">
        <v>249</v>
      </c>
      <c r="P8" t="s">
        <v>255</v>
      </c>
      <c r="U8" s="14"/>
    </row>
    <row r="9" spans="1:27" x14ac:dyDescent="0.25">
      <c r="A9" s="48"/>
      <c r="B9" t="s">
        <v>70</v>
      </c>
      <c r="C9" s="27">
        <f>'Manpower &amp; time'!B16</f>
        <v>45.6</v>
      </c>
      <c r="D9" s="27"/>
      <c r="F9" s="4"/>
      <c r="G9" t="s">
        <v>275</v>
      </c>
      <c r="H9" s="22">
        <f>Metrology!E25</f>
        <v>5390</v>
      </c>
      <c r="I9" s="34">
        <v>10</v>
      </c>
      <c r="J9" s="23">
        <f t="shared" si="0"/>
        <v>539</v>
      </c>
      <c r="L9" s="46" t="s">
        <v>374</v>
      </c>
      <c r="M9" s="41">
        <f>M7*0.3</f>
        <v>3.0000000000000001E-5</v>
      </c>
      <c r="N9" t="s">
        <v>252</v>
      </c>
      <c r="O9" t="s">
        <v>249</v>
      </c>
      <c r="P9" t="s">
        <v>322</v>
      </c>
      <c r="Q9" s="2">
        <v>20</v>
      </c>
      <c r="U9" s="14"/>
    </row>
    <row r="10" spans="1:27" ht="30" x14ac:dyDescent="0.25">
      <c r="A10" s="48"/>
      <c r="B10" t="s">
        <v>71</v>
      </c>
      <c r="C10" s="26">
        <v>0.75</v>
      </c>
      <c r="D10" s="59" t="s">
        <v>307</v>
      </c>
      <c r="F10" s="5" t="s">
        <v>40</v>
      </c>
      <c r="G10" s="58" t="s">
        <v>41</v>
      </c>
      <c r="J10" s="23"/>
      <c r="L10" s="18" t="s">
        <v>290</v>
      </c>
      <c r="M10" s="18">
        <v>15</v>
      </c>
      <c r="N10" t="s">
        <v>251</v>
      </c>
      <c r="O10" t="s">
        <v>249</v>
      </c>
      <c r="P10" t="s">
        <v>362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29</v>
      </c>
    </row>
    <row r="11" spans="1:27" x14ac:dyDescent="0.25">
      <c r="A11" s="48"/>
      <c r="B11" t="s">
        <v>291</v>
      </c>
      <c r="C11" s="26">
        <v>0.9</v>
      </c>
      <c r="D11" s="26" t="s">
        <v>308</v>
      </c>
      <c r="F11" s="5"/>
      <c r="G11" s="29" t="s">
        <v>43</v>
      </c>
      <c r="J11" s="23"/>
      <c r="L11" s="116" t="s">
        <v>19</v>
      </c>
      <c r="M11" s="116"/>
      <c r="N11" t="s">
        <v>380</v>
      </c>
      <c r="O11" t="s">
        <v>248</v>
      </c>
      <c r="Q11" s="2">
        <f>'CNC lathe'!B2</f>
        <v>133720</v>
      </c>
      <c r="R11">
        <v>10</v>
      </c>
      <c r="S11" s="22">
        <f>Q11/R11</f>
        <v>13372</v>
      </c>
      <c r="U11" s="15" t="s">
        <v>60</v>
      </c>
      <c r="V11" t="s">
        <v>61</v>
      </c>
    </row>
    <row r="12" spans="1:27" ht="30" x14ac:dyDescent="0.25">
      <c r="A12" s="48"/>
      <c r="B12" s="60" t="s">
        <v>286</v>
      </c>
      <c r="C12" s="38">
        <f>C9*C8*C10*C7</f>
        <v>7182</v>
      </c>
      <c r="D12" s="26"/>
      <c r="F12" s="5"/>
      <c r="G12" s="29" t="s">
        <v>48</v>
      </c>
      <c r="I12" s="34"/>
      <c r="J12" s="23"/>
      <c r="L12" s="10" t="s">
        <v>314</v>
      </c>
      <c r="M12" s="10">
        <v>29.8</v>
      </c>
      <c r="N12" t="s">
        <v>363</v>
      </c>
      <c r="O12" t="s">
        <v>248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29</v>
      </c>
    </row>
    <row r="13" spans="1:27" x14ac:dyDescent="0.25">
      <c r="A13" s="52" t="s">
        <v>364</v>
      </c>
      <c r="B13" t="s">
        <v>184</v>
      </c>
      <c r="C13" s="22">
        <f>Energies!B6</f>
        <v>2874.8160000000003</v>
      </c>
      <c r="D13" s="22"/>
      <c r="F13" s="5"/>
      <c r="G13" s="39" t="s">
        <v>49</v>
      </c>
      <c r="I13" s="34">
        <v>1</v>
      </c>
      <c r="J13" s="23">
        <f>H13/I13</f>
        <v>0</v>
      </c>
      <c r="L13" s="10" t="s">
        <v>264</v>
      </c>
      <c r="M13" s="42">
        <f>C10</f>
        <v>0.75</v>
      </c>
      <c r="N13" t="s">
        <v>382</v>
      </c>
      <c r="O13" t="s">
        <v>248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3"/>
      <c r="B14" t="s">
        <v>185</v>
      </c>
      <c r="C14" s="31">
        <f>Energies!B7</f>
        <v>7.8299999999999995E-2</v>
      </c>
      <c r="D14" s="34"/>
      <c r="F14" s="5"/>
      <c r="G14" s="40" t="s">
        <v>318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265</v>
      </c>
      <c r="M14" s="10">
        <v>5</v>
      </c>
      <c r="N14" t="s">
        <v>23</v>
      </c>
      <c r="O14" t="s">
        <v>248</v>
      </c>
      <c r="P14" t="s">
        <v>257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3"/>
      <c r="B15" t="s">
        <v>72</v>
      </c>
      <c r="F15" s="5"/>
      <c r="G15" s="40" t="s">
        <v>319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288</v>
      </c>
      <c r="M15" s="43">
        <f>1/10000</f>
        <v>1E-4</v>
      </c>
      <c r="N15" t="s">
        <v>20</v>
      </c>
      <c r="O15" t="s">
        <v>249</v>
      </c>
      <c r="P15" t="s">
        <v>315</v>
      </c>
      <c r="Q15" s="31">
        <f>M12*0.8*C14</f>
        <v>1.8666720000000001</v>
      </c>
    </row>
    <row r="16" spans="1:27" x14ac:dyDescent="0.25">
      <c r="A16" s="55" t="s">
        <v>365</v>
      </c>
      <c r="B16" t="s">
        <v>214</v>
      </c>
      <c r="C16" s="34">
        <v>1.12964</v>
      </c>
      <c r="F16" s="5"/>
      <c r="G16" s="39" t="s">
        <v>42</v>
      </c>
      <c r="I16">
        <v>1</v>
      </c>
      <c r="J16" s="23">
        <f t="shared" si="0"/>
        <v>0</v>
      </c>
      <c r="L16" s="10" t="s">
        <v>289</v>
      </c>
      <c r="M16" s="43">
        <f>M15*0.4</f>
        <v>4.0000000000000003E-5</v>
      </c>
      <c r="N16" t="s">
        <v>54</v>
      </c>
    </row>
    <row r="17" spans="1:19" x14ac:dyDescent="0.25">
      <c r="A17" s="55"/>
      <c r="B17" t="s">
        <v>215</v>
      </c>
      <c r="C17" s="26">
        <v>0.2</v>
      </c>
      <c r="D17" s="26"/>
      <c r="F17" s="5"/>
      <c r="G17" t="s">
        <v>44</v>
      </c>
      <c r="I17">
        <v>1</v>
      </c>
      <c r="J17" s="23">
        <f t="shared" si="0"/>
        <v>0</v>
      </c>
      <c r="L17" s="10" t="s">
        <v>374</v>
      </c>
      <c r="M17" s="10">
        <f>M15*0.3</f>
        <v>3.0000000000000001E-5</v>
      </c>
      <c r="N17" t="s">
        <v>252</v>
      </c>
      <c r="O17" t="s">
        <v>249</v>
      </c>
      <c r="P17" t="s">
        <v>315</v>
      </c>
      <c r="Q17" s="2">
        <v>8</v>
      </c>
    </row>
    <row r="18" spans="1:19" x14ac:dyDescent="0.25">
      <c r="A18" s="54"/>
      <c r="B18" t="s">
        <v>366</v>
      </c>
      <c r="C18" s="21">
        <v>0.2</v>
      </c>
      <c r="F18" s="6" t="s">
        <v>311</v>
      </c>
      <c r="G18" t="s">
        <v>168</v>
      </c>
      <c r="H18" s="22">
        <f>C6</f>
        <v>39809</v>
      </c>
      <c r="I18" s="34">
        <v>1</v>
      </c>
      <c r="J18" s="23">
        <f t="shared" si="0"/>
        <v>39809</v>
      </c>
      <c r="L18" s="10" t="s">
        <v>290</v>
      </c>
      <c r="M18" s="10">
        <v>10</v>
      </c>
      <c r="N18" t="s">
        <v>251</v>
      </c>
      <c r="O18" t="s">
        <v>249</v>
      </c>
      <c r="P18" t="s">
        <v>362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25">
      <c r="F19" s="6"/>
      <c r="G19" t="s">
        <v>299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04" t="s">
        <v>21</v>
      </c>
      <c r="M19" s="104"/>
      <c r="N19" t="s">
        <v>22</v>
      </c>
      <c r="O19" t="s">
        <v>248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6"/>
      <c r="G20" t="s">
        <v>312</v>
      </c>
      <c r="H20" s="22">
        <f>'Manpower &amp; time'!G8</f>
        <v>24683.68</v>
      </c>
      <c r="I20" s="34">
        <v>1</v>
      </c>
      <c r="J20" s="23">
        <f t="shared" si="0"/>
        <v>24683.68</v>
      </c>
      <c r="L20" s="11" t="s">
        <v>314</v>
      </c>
      <c r="M20" s="11">
        <v>7.5</v>
      </c>
      <c r="N20" t="s">
        <v>23</v>
      </c>
      <c r="O20" t="s">
        <v>248</v>
      </c>
      <c r="P20" t="s">
        <v>257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6"/>
      <c r="G21" t="s">
        <v>313</v>
      </c>
      <c r="H21" s="22">
        <f>'Manpower &amp; time'!B30</f>
        <v>13716.36</v>
      </c>
      <c r="I21" s="34">
        <v>1</v>
      </c>
      <c r="J21" s="23">
        <f t="shared" si="0"/>
        <v>13716.36</v>
      </c>
      <c r="L21" s="11" t="s">
        <v>264</v>
      </c>
      <c r="M21" s="97">
        <f>C10</f>
        <v>0.75</v>
      </c>
      <c r="N21" t="s">
        <v>24</v>
      </c>
      <c r="O21" t="s">
        <v>249</v>
      </c>
      <c r="P21" t="s">
        <v>315</v>
      </c>
      <c r="Q21" s="31">
        <f>M20*0.8*C14</f>
        <v>0.4698</v>
      </c>
    </row>
    <row r="22" spans="1:19" x14ac:dyDescent="0.25">
      <c r="F22" s="7" t="s">
        <v>45</v>
      </c>
      <c r="G22" t="s">
        <v>46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265</v>
      </c>
      <c r="M22" s="11">
        <v>5</v>
      </c>
      <c r="N22" t="s">
        <v>392</v>
      </c>
      <c r="O22" t="s">
        <v>249</v>
      </c>
      <c r="P22" t="s">
        <v>315</v>
      </c>
    </row>
    <row r="23" spans="1:19" x14ac:dyDescent="0.25">
      <c r="F23" s="7"/>
      <c r="G23" t="s">
        <v>240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389</v>
      </c>
      <c r="M23" s="98"/>
      <c r="N23" s="61"/>
      <c r="O23" s="61"/>
      <c r="P23" s="61"/>
      <c r="Q23" s="61"/>
      <c r="R23" s="61"/>
      <c r="S23" s="61"/>
    </row>
    <row r="24" spans="1:19" x14ac:dyDescent="0.25">
      <c r="F24" s="7"/>
      <c r="G24" t="s">
        <v>241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390</v>
      </c>
      <c r="M24" s="98"/>
      <c r="N24" s="61"/>
      <c r="O24" s="95"/>
      <c r="P24" s="61"/>
      <c r="Q24" s="95"/>
      <c r="R24" s="61"/>
      <c r="S24" s="95"/>
    </row>
    <row r="25" spans="1:19" x14ac:dyDescent="0.25">
      <c r="F25" s="7"/>
      <c r="G25" t="s">
        <v>216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391</v>
      </c>
      <c r="M25" s="98"/>
      <c r="N25" s="96"/>
      <c r="O25" s="96"/>
      <c r="P25" s="96"/>
      <c r="Q25" s="96"/>
      <c r="R25" s="96"/>
      <c r="S25" s="96"/>
    </row>
    <row r="26" spans="1:19" x14ac:dyDescent="0.25">
      <c r="F26" s="7"/>
      <c r="G26" t="s">
        <v>217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9" t="s">
        <v>410</v>
      </c>
      <c r="M26" s="99">
        <v>10</v>
      </c>
      <c r="N26" t="s">
        <v>55</v>
      </c>
    </row>
    <row r="27" spans="1:19" x14ac:dyDescent="0.25">
      <c r="F27" s="7"/>
      <c r="G27" t="s">
        <v>47</v>
      </c>
      <c r="H27" s="22">
        <f>12*IT!D20</f>
        <v>1224</v>
      </c>
      <c r="I27" s="34">
        <v>1</v>
      </c>
      <c r="J27" s="23">
        <f t="shared" si="0"/>
        <v>1224</v>
      </c>
      <c r="L27" s="9" t="s">
        <v>25</v>
      </c>
      <c r="M27" s="9"/>
      <c r="N27" t="s">
        <v>279</v>
      </c>
      <c r="O27" t="s">
        <v>248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7"/>
      <c r="G28" t="s">
        <v>443</v>
      </c>
      <c r="H28" s="22">
        <f>IT!D23+IT!D22</f>
        <v>381</v>
      </c>
      <c r="I28" s="34">
        <v>5</v>
      </c>
      <c r="J28" s="23">
        <f t="shared" si="0"/>
        <v>76.2</v>
      </c>
      <c r="L28" s="9"/>
      <c r="M28" s="9"/>
      <c r="N28" t="s">
        <v>51</v>
      </c>
      <c r="O28" t="s">
        <v>248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4" t="s">
        <v>437</v>
      </c>
      <c r="G29" t="s">
        <v>50</v>
      </c>
      <c r="H29" s="121">
        <v>200</v>
      </c>
      <c r="I29" s="34">
        <v>1</v>
      </c>
      <c r="J29" s="23">
        <f t="shared" si="0"/>
        <v>200</v>
      </c>
      <c r="L29" s="9"/>
      <c r="M29" s="9"/>
      <c r="N29" t="s">
        <v>284</v>
      </c>
      <c r="O29" t="s">
        <v>248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4"/>
      <c r="G30" t="s">
        <v>369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/>
      <c r="M30" s="9"/>
      <c r="N30" t="s">
        <v>33</v>
      </c>
      <c r="O30" t="s">
        <v>248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 t="s">
        <v>52</v>
      </c>
      <c r="G31" t="s">
        <v>424</v>
      </c>
      <c r="H31" s="22">
        <f>SUM(Manufacturing!F2:F5)</f>
        <v>17244.431854396091</v>
      </c>
      <c r="I31">
        <v>10</v>
      </c>
      <c r="J31" s="23">
        <f t="shared" si="0"/>
        <v>1724.4431854396091</v>
      </c>
      <c r="L31" s="9"/>
      <c r="M31" s="9"/>
      <c r="N31" t="s">
        <v>269</v>
      </c>
      <c r="O31" t="s">
        <v>248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355</v>
      </c>
      <c r="H32" s="22">
        <f>Manufacturing!F7*3+Manufacturing!F8*3</f>
        <v>8137.4519999999993</v>
      </c>
      <c r="I32">
        <v>10</v>
      </c>
      <c r="J32" s="23">
        <f t="shared" si="0"/>
        <v>813.74519999999995</v>
      </c>
      <c r="L32" s="9"/>
      <c r="M32" s="9"/>
      <c r="N32" t="s">
        <v>23</v>
      </c>
      <c r="O32" t="s">
        <v>248</v>
      </c>
      <c r="P32" t="s">
        <v>283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419</v>
      </c>
      <c r="H33" s="22">
        <f>0.5*H32</f>
        <v>4068.7259999999997</v>
      </c>
      <c r="I33">
        <v>10</v>
      </c>
      <c r="J33" s="23">
        <f t="shared" si="0"/>
        <v>406.87259999999998</v>
      </c>
      <c r="L33" s="9"/>
      <c r="M33" s="9"/>
      <c r="N33" t="s">
        <v>20</v>
      </c>
      <c r="O33" t="s">
        <v>249</v>
      </c>
      <c r="P33" t="s">
        <v>254</v>
      </c>
    </row>
    <row r="34" spans="6:19" x14ac:dyDescent="0.25">
      <c r="F34" s="5"/>
      <c r="G34" t="s">
        <v>420</v>
      </c>
      <c r="H34" s="22">
        <v>4000</v>
      </c>
      <c r="I34">
        <v>5</v>
      </c>
      <c r="J34" s="23">
        <f t="shared" si="0"/>
        <v>800</v>
      </c>
      <c r="L34" s="18"/>
      <c r="M34" s="18"/>
      <c r="N34" t="s">
        <v>34</v>
      </c>
      <c r="O34" t="s">
        <v>249</v>
      </c>
      <c r="P34" t="s">
        <v>270</v>
      </c>
    </row>
    <row r="35" spans="6:19" x14ac:dyDescent="0.25">
      <c r="F35" s="5"/>
      <c r="G35" t="s">
        <v>421</v>
      </c>
      <c r="H35" s="22">
        <v>3000</v>
      </c>
      <c r="I35">
        <v>1</v>
      </c>
      <c r="J35" s="23">
        <f t="shared" si="0"/>
        <v>3000</v>
      </c>
      <c r="L35" s="19"/>
      <c r="M35" s="19"/>
      <c r="N35" t="s">
        <v>271</v>
      </c>
      <c r="O35" t="s">
        <v>249</v>
      </c>
      <c r="P35" t="s">
        <v>256</v>
      </c>
    </row>
    <row r="36" spans="6:19" x14ac:dyDescent="0.25">
      <c r="F36" s="5"/>
      <c r="G36" t="s">
        <v>426</v>
      </c>
      <c r="H36" s="22">
        <f>Manufacturing!F20</f>
        <v>2302.5700000000002</v>
      </c>
      <c r="I36">
        <v>10</v>
      </c>
      <c r="J36" s="23">
        <f t="shared" si="0"/>
        <v>230.25700000000001</v>
      </c>
    </row>
    <row r="37" spans="6:19" ht="15.75" thickBot="1" x14ac:dyDescent="0.3">
      <c r="F37" s="5"/>
      <c r="G37" t="s">
        <v>56</v>
      </c>
      <c r="H37" s="22">
        <f>Manufacturing!F17*6+Manufacturing!F18*3</f>
        <v>7066.95</v>
      </c>
      <c r="I37">
        <v>10</v>
      </c>
      <c r="J37" s="23">
        <f t="shared" si="0"/>
        <v>706.69499999999994</v>
      </c>
    </row>
    <row r="38" spans="6:19" ht="15.75" thickBot="1" x14ac:dyDescent="0.3">
      <c r="F38" s="5"/>
      <c r="G38" t="s">
        <v>438</v>
      </c>
      <c r="H38" s="22">
        <f>Manufacturing!F22*5+Manufacturing!F23+Manufacturing!F24+Manufacturing!F25+Manufacturing!F26*3+Manufacturing!F27*30</f>
        <v>7110.13</v>
      </c>
      <c r="I38">
        <v>10</v>
      </c>
      <c r="J38" s="23">
        <f t="shared" si="0"/>
        <v>711.01300000000003</v>
      </c>
      <c r="L38" s="92" t="s">
        <v>367</v>
      </c>
      <c r="M38" s="93"/>
      <c r="N38" s="93"/>
      <c r="O38" s="93"/>
      <c r="P38" s="93"/>
      <c r="Q38" s="93"/>
      <c r="R38" s="93"/>
      <c r="S38" s="94"/>
    </row>
    <row r="39" spans="6:19" x14ac:dyDescent="0.25">
      <c r="F39" s="5"/>
      <c r="G39" s="40" t="s">
        <v>417</v>
      </c>
      <c r="H39" s="22">
        <f>Manufacturing!F14</f>
        <v>12999</v>
      </c>
      <c r="I39">
        <v>10</v>
      </c>
      <c r="J39" s="23">
        <f>H39/I39</f>
        <v>1299.9000000000001</v>
      </c>
      <c r="L39" s="108" t="s">
        <v>15</v>
      </c>
      <c r="M39" s="109"/>
      <c r="N39" s="118" t="s">
        <v>336</v>
      </c>
      <c r="O39" s="118"/>
      <c r="P39" s="118"/>
      <c r="Q39" s="118"/>
      <c r="R39" s="73"/>
      <c r="S39" s="74">
        <f>SUM(S3:S6)+S10</f>
        <v>17591.025600000001</v>
      </c>
    </row>
    <row r="40" spans="6:19" x14ac:dyDescent="0.25">
      <c r="F40" s="5"/>
      <c r="G40" s="40" t="s">
        <v>418</v>
      </c>
      <c r="H40" s="22">
        <f>15*C14*C8*C9</f>
        <v>1874.5019999999997</v>
      </c>
      <c r="I40">
        <v>1</v>
      </c>
      <c r="J40" s="23">
        <f>H40/I40</f>
        <v>1874.5019999999997</v>
      </c>
      <c r="L40" s="86"/>
      <c r="M40" s="87"/>
      <c r="N40" s="106" t="s">
        <v>337</v>
      </c>
      <c r="O40" s="106"/>
      <c r="P40" s="106"/>
      <c r="Q40" s="106"/>
      <c r="R40" s="68"/>
      <c r="S40" s="77">
        <f>S39/(M5*C8*C9)+J44</f>
        <v>28.329405194362351</v>
      </c>
    </row>
    <row r="41" spans="6:19" ht="15.75" thickBot="1" x14ac:dyDescent="0.3">
      <c r="F41" s="61"/>
      <c r="G41" s="40"/>
      <c r="J41" s="23"/>
      <c r="L41" s="88"/>
      <c r="M41" s="89"/>
      <c r="N41" s="106" t="s">
        <v>338</v>
      </c>
      <c r="O41" s="106"/>
      <c r="P41" s="106"/>
      <c r="Q41" s="106"/>
      <c r="R41" s="68"/>
      <c r="S41" s="77">
        <f>S40+Q9+Q7</f>
        <v>49.732541194362348</v>
      </c>
    </row>
    <row r="42" spans="6:19" ht="15.75" thickBot="1" x14ac:dyDescent="0.3">
      <c r="F42" s="110" t="s">
        <v>367</v>
      </c>
      <c r="G42" s="111"/>
      <c r="H42" s="111"/>
      <c r="I42" s="111"/>
      <c r="J42" s="112"/>
      <c r="L42" s="88"/>
      <c r="M42" s="89"/>
      <c r="N42" s="106"/>
      <c r="O42" s="106"/>
      <c r="P42" s="106"/>
      <c r="Q42" s="106"/>
      <c r="R42" s="68" t="s">
        <v>378</v>
      </c>
      <c r="S42" s="65" t="s">
        <v>379</v>
      </c>
    </row>
    <row r="43" spans="6:19" x14ac:dyDescent="0.25">
      <c r="F43" s="62" t="s">
        <v>370</v>
      </c>
      <c r="G43" s="114" t="s">
        <v>368</v>
      </c>
      <c r="H43" s="114"/>
      <c r="I43" s="114"/>
      <c r="J43" s="56">
        <f>SUM(J3:J40)</f>
        <v>133818.0338247442</v>
      </c>
      <c r="L43" s="88"/>
      <c r="M43" s="89"/>
      <c r="N43" s="106" t="s">
        <v>323</v>
      </c>
      <c r="O43" s="106"/>
      <c r="P43" s="106"/>
      <c r="Q43" s="106"/>
      <c r="R43" s="80">
        <f>('Manpower &amp; time'!H5+S41)*M7/60</f>
        <v>1.0521004150605921E-4</v>
      </c>
      <c r="S43" s="81">
        <f>R43*(1+C$18)</f>
        <v>1.2625204980727106E-4</v>
      </c>
    </row>
    <row r="44" spans="6:19" ht="15.75" thickBot="1" x14ac:dyDescent="0.3">
      <c r="F44" s="66"/>
      <c r="G44" s="113" t="s">
        <v>327</v>
      </c>
      <c r="H44" s="113"/>
      <c r="I44" s="113"/>
      <c r="J44" s="67">
        <f>J43/SUM('Manpower &amp; time'!B26:I26)</f>
        <v>13.633477374813477</v>
      </c>
      <c r="L44" s="88"/>
      <c r="M44" s="89"/>
      <c r="N44" s="106" t="s">
        <v>326</v>
      </c>
      <c r="O44" s="106"/>
      <c r="P44" s="106"/>
      <c r="Q44" s="106"/>
      <c r="R44" s="80">
        <f>('Manpower &amp; time'!H5)*M8/60</f>
        <v>8.9289891395154577E-6</v>
      </c>
      <c r="S44" s="81">
        <f t="shared" ref="S44:S50" si="5">R44*(1+C$18)</f>
        <v>1.071478696741855E-5</v>
      </c>
    </row>
    <row r="45" spans="6:19" x14ac:dyDescent="0.25">
      <c r="F45" s="63" t="s">
        <v>371</v>
      </c>
      <c r="G45" s="114" t="s">
        <v>372</v>
      </c>
      <c r="H45" s="114"/>
      <c r="I45" s="114"/>
      <c r="J45" s="69">
        <f>'Manpower &amp; time'!H5</f>
        <v>13.393483709273186</v>
      </c>
      <c r="L45" s="88"/>
      <c r="M45" s="89"/>
      <c r="N45" s="106" t="s">
        <v>324</v>
      </c>
      <c r="O45" s="106"/>
      <c r="P45" s="106"/>
      <c r="Q45" s="106"/>
      <c r="R45" s="80">
        <f>('Manpower &amp; time'!H6)*M8/60</f>
        <v>1.6628654970760235E-5</v>
      </c>
      <c r="S45" s="81">
        <f t="shared" si="5"/>
        <v>1.9954385964912282E-5</v>
      </c>
    </row>
    <row r="46" spans="6:19" x14ac:dyDescent="0.25">
      <c r="F46" s="64"/>
      <c r="G46" s="113" t="s">
        <v>386</v>
      </c>
      <c r="H46" s="113"/>
      <c r="I46" s="113"/>
      <c r="J46" s="70">
        <f>'Manpower &amp; time'!H6</f>
        <v>24.942982456140353</v>
      </c>
      <c r="L46" s="88"/>
      <c r="M46" s="89"/>
      <c r="N46" s="106" t="s">
        <v>325</v>
      </c>
      <c r="O46" s="106"/>
      <c r="P46" s="106"/>
      <c r="Q46" s="106"/>
      <c r="R46" s="80">
        <f>('Manpower &amp; time'!H7)*M8/60</f>
        <v>2.9174185463659156E-5</v>
      </c>
      <c r="S46" s="81">
        <f t="shared" si="5"/>
        <v>3.5009022556390983E-5</v>
      </c>
    </row>
    <row r="47" spans="6:19" ht="15.75" thickBot="1" x14ac:dyDescent="0.3">
      <c r="F47" s="57"/>
      <c r="G47" s="115" t="s">
        <v>373</v>
      </c>
      <c r="H47" s="115"/>
      <c r="I47" s="115"/>
      <c r="J47" s="71">
        <f>'Manpower &amp; time'!H7</f>
        <v>43.761278195488728</v>
      </c>
      <c r="L47" s="88"/>
      <c r="M47" s="89"/>
      <c r="N47" s="106" t="s">
        <v>375</v>
      </c>
      <c r="O47" s="106"/>
      <c r="P47" s="106"/>
      <c r="Q47" s="106"/>
      <c r="R47" s="80">
        <f>('Manpower &amp; time'!H5)*M$9/60</f>
        <v>6.6967418546365929E-6</v>
      </c>
      <c r="S47" s="81">
        <f t="shared" si="5"/>
        <v>8.0360902255639118E-6</v>
      </c>
    </row>
    <row r="48" spans="6:19" x14ac:dyDescent="0.25">
      <c r="J48" s="51"/>
      <c r="L48" s="88"/>
      <c r="M48" s="89"/>
      <c r="N48" s="106" t="s">
        <v>376</v>
      </c>
      <c r="O48" s="106"/>
      <c r="P48" s="106"/>
      <c r="Q48" s="106"/>
      <c r="R48" s="80">
        <f>('Manpower &amp; time'!H6)*M$9/60</f>
        <v>1.2471491228070177E-5</v>
      </c>
      <c r="S48" s="81">
        <f t="shared" si="5"/>
        <v>1.4965789473684211E-5</v>
      </c>
    </row>
    <row r="49" spans="6:19" x14ac:dyDescent="0.25">
      <c r="J49" s="51"/>
      <c r="L49" s="88"/>
      <c r="M49" s="89"/>
      <c r="N49" s="106" t="s">
        <v>377</v>
      </c>
      <c r="O49" s="106"/>
      <c r="P49" s="106"/>
      <c r="Q49" s="106"/>
      <c r="R49" s="80">
        <f>('Manpower &amp; time'!H7)*M$9/60</f>
        <v>2.1880639097744365E-5</v>
      </c>
      <c r="S49" s="81">
        <f t="shared" si="5"/>
        <v>2.6256766917293239E-5</v>
      </c>
    </row>
    <row r="50" spans="6:19" ht="15.75" thickBot="1" x14ac:dyDescent="0.3">
      <c r="J50" s="51"/>
      <c r="L50" s="90"/>
      <c r="M50" s="91"/>
      <c r="N50" s="105" t="s">
        <v>335</v>
      </c>
      <c r="O50" s="105"/>
      <c r="P50" s="105"/>
      <c r="Q50" s="105"/>
      <c r="R50" s="84">
        <f>('Manpower &amp; time'!H5+S40)*(M10+M6)/60</f>
        <v>13.907629634545177</v>
      </c>
      <c r="S50" s="85">
        <f t="shared" si="5"/>
        <v>16.689155561454211</v>
      </c>
    </row>
    <row r="51" spans="6:19" x14ac:dyDescent="0.25">
      <c r="J51" s="51"/>
      <c r="L51" s="119" t="s">
        <v>19</v>
      </c>
      <c r="M51" s="120"/>
      <c r="N51" s="118" t="s">
        <v>336</v>
      </c>
      <c r="O51" s="118"/>
      <c r="P51" s="118"/>
      <c r="Q51" s="118"/>
      <c r="R51" s="73"/>
      <c r="S51" s="74">
        <f>SUM(S11:S14)+S18</f>
        <v>23026.025600000001</v>
      </c>
    </row>
    <row r="52" spans="6:19" x14ac:dyDescent="0.25">
      <c r="J52" s="51"/>
      <c r="L52" s="75"/>
      <c r="M52" s="76"/>
      <c r="N52" s="106" t="s">
        <v>337</v>
      </c>
      <c r="O52" s="106"/>
      <c r="P52" s="106"/>
      <c r="Q52" s="106"/>
      <c r="R52" s="68"/>
      <c r="S52" s="77">
        <f>S51/(M13*C8*C9)+J44</f>
        <v>32.869923155932945</v>
      </c>
    </row>
    <row r="53" spans="6:19" x14ac:dyDescent="0.25">
      <c r="L53" s="78"/>
      <c r="M53" s="79"/>
      <c r="N53" s="106" t="s">
        <v>338</v>
      </c>
      <c r="O53" s="106"/>
      <c r="P53" s="106"/>
      <c r="Q53" s="106"/>
      <c r="R53" s="68"/>
      <c r="S53" s="77">
        <f>S52+Q17+Q15</f>
        <v>42.736595155932946</v>
      </c>
    </row>
    <row r="54" spans="6:19" x14ac:dyDescent="0.25">
      <c r="J54" s="27"/>
      <c r="L54" s="78"/>
      <c r="M54" s="79"/>
      <c r="N54" s="106"/>
      <c r="O54" s="106"/>
      <c r="P54" s="106"/>
      <c r="Q54" s="106"/>
      <c r="R54" s="68" t="s">
        <v>378</v>
      </c>
      <c r="S54" s="65" t="s">
        <v>379</v>
      </c>
    </row>
    <row r="55" spans="6:19" x14ac:dyDescent="0.25">
      <c r="J55" s="26"/>
      <c r="L55" s="78"/>
      <c r="M55" s="79"/>
      <c r="N55" s="106" t="s">
        <v>323</v>
      </c>
      <c r="O55" s="106"/>
      <c r="P55" s="106"/>
      <c r="Q55" s="106"/>
      <c r="R55" s="80">
        <f>(J45+S53)*M15/60</f>
        <v>9.3550131442010227E-5</v>
      </c>
      <c r="S55" s="81">
        <f>R55*(1+C$18)</f>
        <v>1.1226015773041227E-4</v>
      </c>
    </row>
    <row r="56" spans="6:19" x14ac:dyDescent="0.25">
      <c r="J56" s="26"/>
      <c r="L56" s="78"/>
      <c r="M56" s="79"/>
      <c r="N56" s="106" t="s">
        <v>326</v>
      </c>
      <c r="O56" s="106"/>
      <c r="P56" s="106"/>
      <c r="Q56" s="106"/>
      <c r="R56" s="80">
        <f>(J45)*M$16/60</f>
        <v>8.9289891395154577E-6</v>
      </c>
      <c r="S56" s="81">
        <f t="shared" ref="S56:S62" si="6">R56*(1+C$18)</f>
        <v>1.071478696741855E-5</v>
      </c>
    </row>
    <row r="57" spans="6:19" x14ac:dyDescent="0.25">
      <c r="J57" s="26"/>
      <c r="L57" s="78"/>
      <c r="M57" s="79"/>
      <c r="N57" s="106" t="s">
        <v>324</v>
      </c>
      <c r="O57" s="106"/>
      <c r="P57" s="106"/>
      <c r="Q57" s="106"/>
      <c r="R57" s="80">
        <f>(J46)*M$16/60</f>
        <v>1.6628654970760235E-5</v>
      </c>
      <c r="S57" s="81">
        <f t="shared" si="6"/>
        <v>1.9954385964912282E-5</v>
      </c>
    </row>
    <row r="58" spans="6:19" x14ac:dyDescent="0.25">
      <c r="J58" s="22"/>
      <c r="L58" s="78"/>
      <c r="M58" s="79"/>
      <c r="N58" s="106" t="s">
        <v>325</v>
      </c>
      <c r="O58" s="106"/>
      <c r="P58" s="106"/>
      <c r="Q58" s="106"/>
      <c r="R58" s="80">
        <f>(J47)*M$16/60</f>
        <v>2.9174185463659156E-5</v>
      </c>
      <c r="S58" s="81">
        <f t="shared" si="6"/>
        <v>3.5009022556390983E-5</v>
      </c>
    </row>
    <row r="59" spans="6:19" x14ac:dyDescent="0.25">
      <c r="L59" s="78"/>
      <c r="M59" s="79"/>
      <c r="N59" s="106" t="s">
        <v>375</v>
      </c>
      <c r="O59" s="106"/>
      <c r="P59" s="106"/>
      <c r="Q59" s="106"/>
      <c r="R59" s="80">
        <f>(J45)*M$17/60</f>
        <v>6.6967418546365929E-6</v>
      </c>
      <c r="S59" s="81">
        <f t="shared" si="6"/>
        <v>8.0360902255639118E-6</v>
      </c>
    </row>
    <row r="60" spans="6:19" x14ac:dyDescent="0.25">
      <c r="L60" s="78"/>
      <c r="M60" s="79"/>
      <c r="N60" s="106" t="s">
        <v>376</v>
      </c>
      <c r="O60" s="106"/>
      <c r="P60" s="106"/>
      <c r="Q60" s="106"/>
      <c r="R60" s="80">
        <f>(J46)*M$17/60</f>
        <v>1.2471491228070177E-5</v>
      </c>
      <c r="S60" s="81">
        <f t="shared" si="6"/>
        <v>1.4965789473684211E-5</v>
      </c>
    </row>
    <row r="61" spans="6:19" x14ac:dyDescent="0.25">
      <c r="L61" s="78"/>
      <c r="M61" s="79"/>
      <c r="N61" s="106" t="s">
        <v>377</v>
      </c>
      <c r="O61" s="106"/>
      <c r="P61" s="106"/>
      <c r="Q61" s="106"/>
      <c r="R61" s="80">
        <f>(J47)*M$17/60</f>
        <v>2.1880639097744365E-5</v>
      </c>
      <c r="S61" s="81">
        <f t="shared" si="6"/>
        <v>2.6256766917293239E-5</v>
      </c>
    </row>
    <row r="62" spans="6:19" ht="15.75" thickBot="1" x14ac:dyDescent="0.3">
      <c r="J62" s="26"/>
      <c r="L62" s="82"/>
      <c r="M62" s="83"/>
      <c r="N62" s="105" t="s">
        <v>335</v>
      </c>
      <c r="O62" s="105"/>
      <c r="P62" s="105"/>
      <c r="Q62" s="105"/>
      <c r="R62" s="84">
        <f>(J45+S52)*(M14+M18)/60</f>
        <v>11.565851716301532</v>
      </c>
      <c r="S62" s="85">
        <f t="shared" si="6"/>
        <v>13.879022059561839</v>
      </c>
    </row>
    <row r="64" spans="6:19" x14ac:dyDescent="0.25">
      <c r="F64" s="40"/>
    </row>
  </sheetData>
  <mergeCells count="40">
    <mergeCell ref="N61:Q61"/>
    <mergeCell ref="N62:Q62"/>
    <mergeCell ref="L51:M51"/>
    <mergeCell ref="N56:Q56"/>
    <mergeCell ref="N57:Q57"/>
    <mergeCell ref="N58:Q58"/>
    <mergeCell ref="N59:Q59"/>
    <mergeCell ref="N60:Q60"/>
    <mergeCell ref="N51:Q51"/>
    <mergeCell ref="N52:Q52"/>
    <mergeCell ref="N53:Q53"/>
    <mergeCell ref="N54:Q54"/>
    <mergeCell ref="N55:Q55"/>
    <mergeCell ref="N49:Q49"/>
    <mergeCell ref="N39:Q39"/>
    <mergeCell ref="N40:Q40"/>
    <mergeCell ref="N41:Q41"/>
    <mergeCell ref="N42:Q42"/>
    <mergeCell ref="N43:Q43"/>
    <mergeCell ref="N50:Q50"/>
    <mergeCell ref="N44:Q44"/>
    <mergeCell ref="A1:C1"/>
    <mergeCell ref="L39:M39"/>
    <mergeCell ref="F42:J42"/>
    <mergeCell ref="G44:I44"/>
    <mergeCell ref="G43:I43"/>
    <mergeCell ref="G45:I45"/>
    <mergeCell ref="G46:I46"/>
    <mergeCell ref="G47:I47"/>
    <mergeCell ref="L11:M11"/>
    <mergeCell ref="L1:Q1"/>
    <mergeCell ref="N45:Q45"/>
    <mergeCell ref="N46:Q46"/>
    <mergeCell ref="N47:Q47"/>
    <mergeCell ref="N48:Q48"/>
    <mergeCell ref="U1:W1"/>
    <mergeCell ref="F1:H1"/>
    <mergeCell ref="Y1:AA1"/>
    <mergeCell ref="L3:M3"/>
    <mergeCell ref="L19:M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H25"/>
  <sheetViews>
    <sheetView workbookViewId="0">
      <selection activeCell="D29" sqref="D29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</cols>
  <sheetData>
    <row r="1" spans="1:8" x14ac:dyDescent="0.25">
      <c r="A1" s="20" t="s">
        <v>13</v>
      </c>
    </row>
    <row r="3" spans="1:8" x14ac:dyDescent="0.25">
      <c r="A3" t="s">
        <v>111</v>
      </c>
      <c r="C3" t="s">
        <v>260</v>
      </c>
      <c r="D3" t="s">
        <v>259</v>
      </c>
      <c r="E3" t="s">
        <v>258</v>
      </c>
      <c r="F3" t="s">
        <v>227</v>
      </c>
      <c r="G3" t="s">
        <v>228</v>
      </c>
    </row>
    <row r="4" spans="1:8" x14ac:dyDescent="0.25">
      <c r="A4" t="s">
        <v>109</v>
      </c>
      <c r="B4" t="s">
        <v>388</v>
      </c>
      <c r="C4" t="s">
        <v>387</v>
      </c>
      <c r="E4">
        <v>208995</v>
      </c>
      <c r="G4" s="2">
        <f>E4/Summary!C16</f>
        <v>185010.26875818847</v>
      </c>
      <c r="H4" s="20" t="s">
        <v>110</v>
      </c>
    </row>
    <row r="8" spans="1:8" x14ac:dyDescent="0.25">
      <c r="B8" t="s">
        <v>404</v>
      </c>
      <c r="C8" t="s">
        <v>403</v>
      </c>
      <c r="D8" t="s">
        <v>405</v>
      </c>
      <c r="E8" t="s">
        <v>406</v>
      </c>
    </row>
    <row r="9" spans="1:8" x14ac:dyDescent="0.25">
      <c r="A9" t="s">
        <v>393</v>
      </c>
      <c r="B9" t="s">
        <v>394</v>
      </c>
      <c r="C9">
        <v>780</v>
      </c>
      <c r="D9">
        <v>0.81</v>
      </c>
      <c r="E9">
        <f>C9*25.4</f>
        <v>19812</v>
      </c>
    </row>
    <row r="10" spans="1:8" x14ac:dyDescent="0.25">
      <c r="B10" t="s">
        <v>395</v>
      </c>
      <c r="C10">
        <v>230</v>
      </c>
      <c r="D10">
        <v>1.63</v>
      </c>
      <c r="E10">
        <f t="shared" ref="E10:E25" si="0">C10*25.4</f>
        <v>5842</v>
      </c>
    </row>
    <row r="11" spans="1:8" x14ac:dyDescent="0.25">
      <c r="B11" t="s">
        <v>396</v>
      </c>
      <c r="C11">
        <v>125</v>
      </c>
      <c r="D11">
        <v>2.31</v>
      </c>
      <c r="E11">
        <f t="shared" si="0"/>
        <v>3175</v>
      </c>
    </row>
    <row r="12" spans="1:8" x14ac:dyDescent="0.25">
      <c r="B12" t="s">
        <v>397</v>
      </c>
      <c r="C12">
        <v>86</v>
      </c>
      <c r="D12">
        <v>3.26</v>
      </c>
      <c r="E12">
        <f t="shared" si="0"/>
        <v>2184.4</v>
      </c>
    </row>
    <row r="13" spans="1:8" x14ac:dyDescent="0.25">
      <c r="B13" t="s">
        <v>398</v>
      </c>
      <c r="C13">
        <v>74</v>
      </c>
      <c r="D13">
        <v>4.12</v>
      </c>
      <c r="E13">
        <f t="shared" si="0"/>
        <v>1879.6</v>
      </c>
    </row>
    <row r="14" spans="1:8" x14ac:dyDescent="0.25">
      <c r="B14" t="s">
        <v>399</v>
      </c>
      <c r="C14">
        <v>59</v>
      </c>
      <c r="D14">
        <v>5.82</v>
      </c>
      <c r="E14">
        <f t="shared" si="0"/>
        <v>1498.6</v>
      </c>
    </row>
    <row r="15" spans="1:8" x14ac:dyDescent="0.25">
      <c r="B15" t="s">
        <v>400</v>
      </c>
      <c r="C15">
        <v>50</v>
      </c>
      <c r="D15">
        <v>6.35</v>
      </c>
      <c r="E15">
        <f t="shared" si="0"/>
        <v>1270</v>
      </c>
    </row>
    <row r="16" spans="1:8" x14ac:dyDescent="0.25">
      <c r="B16" t="s">
        <v>401</v>
      </c>
      <c r="C16">
        <v>30</v>
      </c>
      <c r="D16">
        <v>7.9379999999999997</v>
      </c>
      <c r="E16">
        <f t="shared" si="0"/>
        <v>762</v>
      </c>
    </row>
    <row r="17" spans="1:5" x14ac:dyDescent="0.25">
      <c r="B17" t="s">
        <v>402</v>
      </c>
      <c r="C17">
        <v>23</v>
      </c>
      <c r="D17">
        <v>9.5250000000000004</v>
      </c>
      <c r="E17">
        <f t="shared" si="0"/>
        <v>584.19999999999993</v>
      </c>
    </row>
    <row r="18" spans="1:5" x14ac:dyDescent="0.25">
      <c r="A18" t="s">
        <v>407</v>
      </c>
      <c r="B18" t="s">
        <v>394</v>
      </c>
      <c r="C18">
        <v>780</v>
      </c>
      <c r="D18">
        <v>0.81</v>
      </c>
      <c r="E18">
        <f t="shared" si="0"/>
        <v>19812</v>
      </c>
    </row>
    <row r="19" spans="1:5" x14ac:dyDescent="0.25">
      <c r="B19" t="s">
        <v>395</v>
      </c>
      <c r="C19">
        <v>216</v>
      </c>
      <c r="D19">
        <v>1.63</v>
      </c>
      <c r="E19">
        <f t="shared" si="0"/>
        <v>5486.4</v>
      </c>
    </row>
    <row r="20" spans="1:5" x14ac:dyDescent="0.25">
      <c r="B20" t="s">
        <v>396</v>
      </c>
      <c r="C20">
        <v>74</v>
      </c>
      <c r="D20">
        <v>2.31</v>
      </c>
      <c r="E20">
        <f t="shared" si="0"/>
        <v>1879.6</v>
      </c>
    </row>
    <row r="21" spans="1:5" x14ac:dyDescent="0.25">
      <c r="B21" t="s">
        <v>397</v>
      </c>
      <c r="C21">
        <v>47</v>
      </c>
      <c r="D21">
        <v>3.26</v>
      </c>
      <c r="E21">
        <f t="shared" si="0"/>
        <v>1193.8</v>
      </c>
    </row>
    <row r="22" spans="1:5" x14ac:dyDescent="0.25">
      <c r="B22" t="s">
        <v>398</v>
      </c>
      <c r="C22">
        <v>24</v>
      </c>
      <c r="D22">
        <v>4.12</v>
      </c>
      <c r="E22">
        <f t="shared" si="0"/>
        <v>609.59999999999991</v>
      </c>
    </row>
    <row r="23" spans="1:5" x14ac:dyDescent="0.25">
      <c r="A23" t="s">
        <v>409</v>
      </c>
      <c r="B23" t="s">
        <v>408</v>
      </c>
      <c r="C23">
        <v>300</v>
      </c>
      <c r="D23">
        <v>0.81</v>
      </c>
      <c r="E23">
        <f t="shared" si="0"/>
        <v>7620</v>
      </c>
    </row>
    <row r="24" spans="1:5" x14ac:dyDescent="0.25">
      <c r="B24" t="s">
        <v>395</v>
      </c>
      <c r="C24">
        <v>120</v>
      </c>
      <c r="D24">
        <v>1.63</v>
      </c>
      <c r="E24">
        <f t="shared" si="0"/>
        <v>3048</v>
      </c>
    </row>
    <row r="25" spans="1:5" x14ac:dyDescent="0.25">
      <c r="B25" t="s">
        <v>396</v>
      </c>
      <c r="C25">
        <v>28</v>
      </c>
      <c r="D25">
        <v>2.31</v>
      </c>
      <c r="E25">
        <f t="shared" si="0"/>
        <v>711.19999999999993</v>
      </c>
    </row>
  </sheetData>
  <hyperlinks>
    <hyperlink ref="A1" r:id="rId1" xr:uid="{00000000-0004-0000-0A00-000000000000}"/>
    <hyperlink ref="H4" r:id="rId2" xr:uid="{284B0583-049F-4389-BE7D-FA4F2FEAC644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G9"/>
  <sheetViews>
    <sheetView workbookViewId="0">
      <selection activeCell="E33" sqref="E33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27</v>
      </c>
      <c r="B1" t="s">
        <v>260</v>
      </c>
      <c r="C1" t="s">
        <v>259</v>
      </c>
      <c r="D1" t="s">
        <v>258</v>
      </c>
      <c r="E1" t="s">
        <v>227</v>
      </c>
      <c r="F1" t="s">
        <v>228</v>
      </c>
      <c r="G1" t="s">
        <v>238</v>
      </c>
    </row>
    <row r="2" spans="1:7" x14ac:dyDescent="0.25">
      <c r="A2" t="s">
        <v>124</v>
      </c>
      <c r="F2" s="2">
        <v>4386</v>
      </c>
      <c r="G2" t="s">
        <v>125</v>
      </c>
    </row>
    <row r="3" spans="1:7" x14ac:dyDescent="0.25">
      <c r="A3" t="s">
        <v>280</v>
      </c>
      <c r="F3" s="2">
        <v>922.6</v>
      </c>
      <c r="G3" t="s">
        <v>281</v>
      </c>
    </row>
    <row r="4" spans="1:7" x14ac:dyDescent="0.25">
      <c r="A4" t="s">
        <v>51</v>
      </c>
      <c r="F4" s="2">
        <v>3859.6</v>
      </c>
      <c r="G4" t="s">
        <v>282</v>
      </c>
    </row>
    <row r="5" spans="1:7" x14ac:dyDescent="0.25">
      <c r="A5" t="s">
        <v>207</v>
      </c>
      <c r="F5" s="2">
        <v>8579</v>
      </c>
      <c r="G5" t="s">
        <v>208</v>
      </c>
    </row>
    <row r="6" spans="1:7" x14ac:dyDescent="0.25">
      <c r="A6" t="s">
        <v>129</v>
      </c>
      <c r="F6" s="2">
        <v>146</v>
      </c>
      <c r="G6" t="s">
        <v>128</v>
      </c>
    </row>
    <row r="7" spans="1:7" x14ac:dyDescent="0.25">
      <c r="A7" t="s">
        <v>131</v>
      </c>
      <c r="F7" s="2">
        <v>50</v>
      </c>
      <c r="G7" t="s">
        <v>130</v>
      </c>
    </row>
    <row r="8" spans="1:7" x14ac:dyDescent="0.25">
      <c r="F8" s="2"/>
    </row>
    <row r="9" spans="1:7" x14ac:dyDescent="0.25">
      <c r="A9" t="s">
        <v>133</v>
      </c>
      <c r="F9" s="2"/>
      <c r="G9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opLeftCell="A13" workbookViewId="0">
      <selection activeCell="M40" sqref="M40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358</v>
      </c>
    </row>
    <row r="2" spans="1:23" x14ac:dyDescent="0.25">
      <c r="A2" t="s">
        <v>0</v>
      </c>
      <c r="G2" t="s">
        <v>9</v>
      </c>
      <c r="M2" t="s">
        <v>6</v>
      </c>
      <c r="S2" s="4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356</v>
      </c>
      <c r="S3" t="s">
        <v>4</v>
      </c>
      <c r="T3" t="s">
        <v>1</v>
      </c>
      <c r="U3" t="s">
        <v>357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328</v>
      </c>
    </row>
    <row r="16" spans="1:23" x14ac:dyDescent="0.25">
      <c r="D16" t="s">
        <v>8</v>
      </c>
      <c r="E16" s="1">
        <f>AVERAGE(E4:E15)</f>
        <v>3.7201299982926756E-5</v>
      </c>
      <c r="N16" t="s">
        <v>329</v>
      </c>
      <c r="O16" t="s">
        <v>2</v>
      </c>
      <c r="P16" t="s">
        <v>98</v>
      </c>
      <c r="Q16" t="s">
        <v>3</v>
      </c>
    </row>
    <row r="17" spans="1:17" x14ac:dyDescent="0.25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7" x14ac:dyDescent="0.25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7" x14ac:dyDescent="0.25">
      <c r="A19" t="s">
        <v>330</v>
      </c>
      <c r="B19" t="s">
        <v>328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7" x14ac:dyDescent="0.25">
      <c r="B20" t="s">
        <v>329</v>
      </c>
      <c r="C20" t="s">
        <v>2</v>
      </c>
      <c r="D20" t="s">
        <v>98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7" x14ac:dyDescent="0.25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7" x14ac:dyDescent="0.25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7" x14ac:dyDescent="0.25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7" x14ac:dyDescent="0.25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7" x14ac:dyDescent="0.25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7" x14ac:dyDescent="0.25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7" x14ac:dyDescent="0.25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7" x14ac:dyDescent="0.25">
      <c r="D28" t="s">
        <v>8</v>
      </c>
      <c r="E28" s="44">
        <f>AVERAGE(E21:E27)</f>
        <v>6.0986186998733781E-5</v>
      </c>
    </row>
    <row r="30" spans="1:17" x14ac:dyDescent="0.25">
      <c r="A30" s="20" t="s">
        <v>361</v>
      </c>
      <c r="G30" s="20" t="s">
        <v>360</v>
      </c>
    </row>
    <row r="31" spans="1:17" x14ac:dyDescent="0.25">
      <c r="A31" t="s">
        <v>359</v>
      </c>
      <c r="B31" t="s">
        <v>328</v>
      </c>
      <c r="G31" t="s">
        <v>359</v>
      </c>
      <c r="H31" t="s">
        <v>328</v>
      </c>
    </row>
    <row r="32" spans="1:17" x14ac:dyDescent="0.25">
      <c r="B32" t="s">
        <v>329</v>
      </c>
      <c r="C32" t="s">
        <v>2</v>
      </c>
      <c r="D32" t="s">
        <v>98</v>
      </c>
      <c r="E32" t="s">
        <v>3</v>
      </c>
      <c r="H32" t="s">
        <v>329</v>
      </c>
      <c r="I32" t="s">
        <v>2</v>
      </c>
      <c r="J32" t="s">
        <v>98</v>
      </c>
      <c r="K32" t="s">
        <v>3</v>
      </c>
    </row>
    <row r="33" spans="2:11" x14ac:dyDescent="0.25">
      <c r="B33">
        <v>10</v>
      </c>
      <c r="C33">
        <v>1000</v>
      </c>
      <c r="D33" s="2">
        <v>20.5</v>
      </c>
      <c r="E33" s="44">
        <f t="shared" ref="E33:E35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</row>
    <row r="34" spans="2:11" x14ac:dyDescent="0.25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</row>
    <row r="35" spans="2:11" x14ac:dyDescent="0.25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</row>
    <row r="36" spans="2:11" x14ac:dyDescent="0.25">
      <c r="B36">
        <v>40</v>
      </c>
      <c r="C36">
        <v>1000</v>
      </c>
      <c r="D36" s="2">
        <v>251.5</v>
      </c>
      <c r="E36" s="44">
        <f t="shared" ref="E36:E39" si="9">D36/(PI()*(B36/2)^2*C36)</f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</row>
    <row r="37" spans="2:11" x14ac:dyDescent="0.25">
      <c r="B37">
        <v>50</v>
      </c>
      <c r="C37">
        <v>1000</v>
      </c>
      <c r="D37" s="2">
        <v>390</v>
      </c>
      <c r="E37" s="44">
        <f t="shared" si="9"/>
        <v>1.9862536897868538E-4</v>
      </c>
      <c r="J37" t="s">
        <v>8</v>
      </c>
      <c r="K37" s="44">
        <f>AVERAGE(K33:K36)</f>
        <v>2.8145391181008314E-4</v>
      </c>
    </row>
    <row r="38" spans="2:11" x14ac:dyDescent="0.25">
      <c r="B38">
        <v>60</v>
      </c>
      <c r="C38">
        <v>1000</v>
      </c>
      <c r="D38" s="2">
        <v>560</v>
      </c>
      <c r="E38" s="44">
        <f t="shared" si="9"/>
        <v>1.9805948473658087E-4</v>
      </c>
      <c r="J38" s="2"/>
      <c r="K38" s="44"/>
    </row>
    <row r="39" spans="2:11" x14ac:dyDescent="0.25">
      <c r="B39">
        <v>80</v>
      </c>
      <c r="C39">
        <v>1000</v>
      </c>
      <c r="D39" s="2">
        <v>992.5</v>
      </c>
      <c r="E39" s="44">
        <f t="shared" si="9"/>
        <v>1.9745160127338264E-4</v>
      </c>
      <c r="J39" s="2"/>
      <c r="K39" s="44"/>
    </row>
    <row r="40" spans="2:11" x14ac:dyDescent="0.25">
      <c r="D40" t="s">
        <v>8</v>
      </c>
      <c r="E40" s="44">
        <f>AVERAGE(E33:E39)</f>
        <v>2.1272637062318042E-4</v>
      </c>
      <c r="K40" s="44"/>
    </row>
  </sheetData>
  <hyperlinks>
    <hyperlink ref="A1" r:id="rId1" xr:uid="{00000000-0004-0000-0700-000000000000}"/>
    <hyperlink ref="S1" r:id="rId2" xr:uid="{00000000-0004-0000-0700-000001000000}"/>
    <hyperlink ref="G30" r:id="rId3" xr:uid="{00000000-0004-0000-07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K32"/>
  <sheetViews>
    <sheetView workbookViewId="0">
      <selection activeCell="J27" sqref="J27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169</v>
      </c>
      <c r="B1" s="20" t="s">
        <v>126</v>
      </c>
    </row>
    <row r="2" spans="1:8" x14ac:dyDescent="0.25">
      <c r="A2" t="s">
        <v>170</v>
      </c>
      <c r="B2" s="20" t="s">
        <v>127</v>
      </c>
    </row>
    <row r="4" spans="1:8" x14ac:dyDescent="0.25">
      <c r="B4" t="s">
        <v>172</v>
      </c>
      <c r="C4" t="s">
        <v>173</v>
      </c>
      <c r="D4" t="s">
        <v>310</v>
      </c>
      <c r="F4" t="s">
        <v>306</v>
      </c>
      <c r="G4" t="s">
        <v>303</v>
      </c>
      <c r="H4" t="s">
        <v>304</v>
      </c>
    </row>
    <row r="5" spans="1:8" x14ac:dyDescent="0.25">
      <c r="A5" t="s">
        <v>171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C5*0.1*F5</f>
        <v>8550.4</v>
      </c>
      <c r="H5" s="22">
        <f>C5*0.9/$B$28</f>
        <v>13.393483709273186</v>
      </c>
    </row>
    <row r="6" spans="1:8" x14ac:dyDescent="0.25">
      <c r="A6" t="s">
        <v>267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2">
        <f>C6*0.1*F6</f>
        <v>11942.7</v>
      </c>
      <c r="H6" s="22">
        <f>C6*0.9/$B$28</f>
        <v>24.942982456140353</v>
      </c>
    </row>
    <row r="7" spans="1:8" x14ac:dyDescent="0.25">
      <c r="A7" t="s">
        <v>268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2">
        <f>C7*0.1*F7</f>
        <v>4190.58</v>
      </c>
      <c r="H7" s="22">
        <f>C7*0.9/$B$28</f>
        <v>43.761278195488728</v>
      </c>
    </row>
    <row r="8" spans="1:8" x14ac:dyDescent="0.25">
      <c r="E8" t="s">
        <v>292</v>
      </c>
      <c r="F8">
        <f>SUM(F7+F6+F5)</f>
        <v>7.6</v>
      </c>
      <c r="G8" s="2">
        <f>SUM(G7+G6+G5)</f>
        <v>24683.68</v>
      </c>
    </row>
    <row r="10" spans="1:8" x14ac:dyDescent="0.25">
      <c r="A10" t="s">
        <v>175</v>
      </c>
      <c r="B10" s="20" t="s">
        <v>174</v>
      </c>
    </row>
    <row r="11" spans="1:8" x14ac:dyDescent="0.25">
      <c r="A11" t="s">
        <v>176</v>
      </c>
      <c r="B11">
        <v>365</v>
      </c>
    </row>
    <row r="12" spans="1:8" x14ac:dyDescent="0.25">
      <c r="A12" t="s">
        <v>177</v>
      </c>
      <c r="B12">
        <v>104</v>
      </c>
    </row>
    <row r="13" spans="1:8" x14ac:dyDescent="0.25">
      <c r="A13" t="s">
        <v>178</v>
      </c>
      <c r="B13">
        <v>8</v>
      </c>
    </row>
    <row r="14" spans="1:8" x14ac:dyDescent="0.25">
      <c r="A14" t="s">
        <v>179</v>
      </c>
      <c r="B14">
        <v>25</v>
      </c>
    </row>
    <row r="15" spans="1:8" x14ac:dyDescent="0.25">
      <c r="A15" t="s">
        <v>180</v>
      </c>
      <c r="B15">
        <f>B11-B12-B13-B14</f>
        <v>228</v>
      </c>
    </row>
    <row r="16" spans="1:8" x14ac:dyDescent="0.25">
      <c r="A16" t="s">
        <v>181</v>
      </c>
      <c r="B16" s="27">
        <f>B15/5</f>
        <v>45.6</v>
      </c>
    </row>
    <row r="21" spans="1:11" x14ac:dyDescent="0.25">
      <c r="B21" t="s">
        <v>293</v>
      </c>
      <c r="C21" t="s">
        <v>294</v>
      </c>
      <c r="D21" t="s">
        <v>21</v>
      </c>
      <c r="E21" t="s">
        <v>295</v>
      </c>
      <c r="F21" t="s">
        <v>296</v>
      </c>
      <c r="G21" t="s">
        <v>297</v>
      </c>
      <c r="H21" t="s">
        <v>298</v>
      </c>
      <c r="I21" t="s">
        <v>36</v>
      </c>
      <c r="J21" t="s">
        <v>23</v>
      </c>
      <c r="K21" t="s">
        <v>300</v>
      </c>
    </row>
    <row r="22" spans="1:11" x14ac:dyDescent="0.25">
      <c r="A22" t="s">
        <v>171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267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268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301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302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</f>
        <v>1197</v>
      </c>
      <c r="E26">
        <f>Summary!$C$10*Summary!$C$9*Summary!$C$8</f>
        <v>1197</v>
      </c>
      <c r="F26">
        <f>Summary!$C$10*Summary!$C$9*Summary!$C$8</f>
        <v>1197</v>
      </c>
      <c r="G26">
        <f>Summary!$C$10*Summary!$C$9*Summary!$C$8</f>
        <v>1197</v>
      </c>
      <c r="H26">
        <f>0.4*B26*2+0.2*D26</f>
        <v>1197</v>
      </c>
      <c r="I26">
        <f>0.4*B26*3</f>
        <v>1436.4</v>
      </c>
      <c r="J26">
        <f>0.06*Summary!C8*Summary!C9*Summary!C7</f>
        <v>574.56000000000006</v>
      </c>
      <c r="K26">
        <f>SUM(B26:J26)</f>
        <v>10389.959999999999</v>
      </c>
    </row>
    <row r="28" spans="1:11" x14ac:dyDescent="0.25">
      <c r="A28" t="s">
        <v>305</v>
      </c>
      <c r="B28">
        <f>Summary!$C$11*Summary!$C$9*Summary!$C$8</f>
        <v>1436.3999999999999</v>
      </c>
    </row>
    <row r="30" spans="1:11" x14ac:dyDescent="0.25">
      <c r="A30" t="s">
        <v>309</v>
      </c>
      <c r="B30" s="22">
        <f>SUMPRODUCT(D5:D7*J22:J24)</f>
        <v>13716.36</v>
      </c>
    </row>
    <row r="31" spans="1:11" x14ac:dyDescent="0.25">
      <c r="B31" s="22"/>
    </row>
    <row r="32" spans="1:11" x14ac:dyDescent="0.25">
      <c r="B32" s="22"/>
    </row>
  </sheetData>
  <hyperlinks>
    <hyperlink ref="B1" r:id="rId1" xr:uid="{00000000-0004-0000-0500-000000000000}"/>
    <hyperlink ref="B2" r:id="rId2" xr:uid="{00000000-0004-0000-0500-000001000000}"/>
    <hyperlink ref="B10" r:id="rId3" xr:uid="{00000000-0004-0000-05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20</v>
      </c>
      <c r="B1" s="20" t="s">
        <v>182</v>
      </c>
    </row>
    <row r="2" spans="1:2" x14ac:dyDescent="0.25">
      <c r="B2" t="s">
        <v>320</v>
      </c>
    </row>
    <row r="3" spans="1:2" x14ac:dyDescent="0.25">
      <c r="B3" t="s">
        <v>321</v>
      </c>
    </row>
    <row r="4" spans="1:2" x14ac:dyDescent="0.25">
      <c r="A4" t="s">
        <v>316</v>
      </c>
      <c r="B4">
        <v>38.64</v>
      </c>
    </row>
    <row r="5" spans="1:2" x14ac:dyDescent="0.25">
      <c r="A5" t="s">
        <v>317</v>
      </c>
      <c r="B5">
        <f>(24*2 + 7.5)*0.8+16+14</f>
        <v>74.400000000000006</v>
      </c>
    </row>
    <row r="6" spans="1:2" x14ac:dyDescent="0.25">
      <c r="A6" t="s">
        <v>316</v>
      </c>
      <c r="B6" s="2">
        <f>B5*B4</f>
        <v>2874.8160000000003</v>
      </c>
    </row>
    <row r="7" spans="1:2" x14ac:dyDescent="0.25">
      <c r="A7" t="s">
        <v>183</v>
      </c>
      <c r="B7" s="28">
        <v>7.8299999999999995E-2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27</v>
      </c>
      <c r="B1" t="s">
        <v>225</v>
      </c>
      <c r="C1" t="s">
        <v>226</v>
      </c>
      <c r="D1" t="s">
        <v>227</v>
      </c>
      <c r="E1" t="s">
        <v>228</v>
      </c>
      <c r="F1" t="s">
        <v>238</v>
      </c>
    </row>
    <row r="2" spans="1:6" x14ac:dyDescent="0.25">
      <c r="A2" t="s">
        <v>142</v>
      </c>
      <c r="B2" t="s">
        <v>138</v>
      </c>
      <c r="D2" s="25">
        <v>149</v>
      </c>
      <c r="E2" s="23">
        <f>D2*(1-Summary!$C$17)</f>
        <v>119.2</v>
      </c>
      <c r="F2" s="20" t="s">
        <v>137</v>
      </c>
    </row>
    <row r="3" spans="1:6" x14ac:dyDescent="0.25">
      <c r="A3" t="s">
        <v>140</v>
      </c>
      <c r="B3">
        <v>0.01</v>
      </c>
      <c r="D3" s="25">
        <v>129</v>
      </c>
      <c r="E3" s="23">
        <f>D3*(1-Summary!$C$17)</f>
        <v>103.2</v>
      </c>
      <c r="F3" t="s">
        <v>139</v>
      </c>
    </row>
    <row r="4" spans="1:6" x14ac:dyDescent="0.25">
      <c r="A4" t="s">
        <v>38</v>
      </c>
      <c r="B4">
        <v>0.01</v>
      </c>
      <c r="D4" s="25">
        <v>60</v>
      </c>
      <c r="E4" s="23">
        <f>D4*(1-Summary!$C$17)</f>
        <v>48</v>
      </c>
      <c r="F4" t="s">
        <v>141</v>
      </c>
    </row>
    <row r="5" spans="1:6" x14ac:dyDescent="0.25">
      <c r="E5" s="23"/>
    </row>
    <row r="6" spans="1:6" x14ac:dyDescent="0.25">
      <c r="A6" t="s">
        <v>144</v>
      </c>
      <c r="D6" s="25">
        <v>392</v>
      </c>
      <c r="E6" s="23">
        <f>D6*(1-Summary!$C$17)</f>
        <v>313.60000000000002</v>
      </c>
      <c r="F6" t="s">
        <v>143</v>
      </c>
    </row>
    <row r="7" spans="1:6" x14ac:dyDescent="0.25">
      <c r="A7" t="s">
        <v>148</v>
      </c>
      <c r="D7" s="25">
        <v>167</v>
      </c>
      <c r="E7" s="23">
        <f>D7*(1-Summary!$C$17)</f>
        <v>133.6</v>
      </c>
      <c r="F7" t="s">
        <v>145</v>
      </c>
    </row>
    <row r="8" spans="1:6" x14ac:dyDescent="0.25">
      <c r="A8" t="s">
        <v>147</v>
      </c>
      <c r="D8" s="25">
        <v>94</v>
      </c>
      <c r="E8" s="23">
        <f>D8*(1-Summary!$C$17)</f>
        <v>75.2</v>
      </c>
      <c r="F8" t="s">
        <v>146</v>
      </c>
    </row>
    <row r="9" spans="1:6" x14ac:dyDescent="0.25">
      <c r="E9" s="23"/>
    </row>
    <row r="10" spans="1:6" x14ac:dyDescent="0.25">
      <c r="A10" t="s">
        <v>149</v>
      </c>
      <c r="D10" s="25">
        <v>282</v>
      </c>
      <c r="E10" s="23">
        <f>D10*(1-Summary!$C$17)</f>
        <v>225.60000000000002</v>
      </c>
      <c r="F10" t="s">
        <v>150</v>
      </c>
    </row>
    <row r="11" spans="1:6" x14ac:dyDescent="0.25">
      <c r="A11" t="s">
        <v>152</v>
      </c>
      <c r="D11" s="25">
        <v>408</v>
      </c>
      <c r="E11" s="23">
        <f>D11*(1-Summary!$C$17)</f>
        <v>326.40000000000003</v>
      </c>
    </row>
    <row r="12" spans="1:6" x14ac:dyDescent="0.25">
      <c r="A12" t="s">
        <v>153</v>
      </c>
      <c r="D12" s="25">
        <v>3322</v>
      </c>
      <c r="E12" s="23">
        <f>D12*(1-Summary!$C$17)</f>
        <v>2657.6000000000004</v>
      </c>
      <c r="F12" t="s">
        <v>151</v>
      </c>
    </row>
    <row r="13" spans="1:6" x14ac:dyDescent="0.25">
      <c r="E13" s="23"/>
    </row>
    <row r="14" spans="1:6" x14ac:dyDescent="0.25">
      <c r="A14" t="s">
        <v>154</v>
      </c>
      <c r="B14" t="s">
        <v>155</v>
      </c>
      <c r="D14" s="25">
        <v>1390</v>
      </c>
      <c r="E14" s="23">
        <f>D14*(1-Summary!$C$17)</f>
        <v>1112</v>
      </c>
      <c r="F14" t="s">
        <v>156</v>
      </c>
    </row>
    <row r="15" spans="1:6" x14ac:dyDescent="0.25">
      <c r="B15" t="s">
        <v>158</v>
      </c>
      <c r="D15" s="25">
        <v>1202</v>
      </c>
      <c r="E15" s="23">
        <f>D15*(1-Summary!$C$17)</f>
        <v>961.6</v>
      </c>
      <c r="F15" t="s">
        <v>157</v>
      </c>
    </row>
    <row r="16" spans="1:6" x14ac:dyDescent="0.25">
      <c r="B16" t="s">
        <v>160</v>
      </c>
      <c r="D16" s="25">
        <v>146</v>
      </c>
      <c r="E16" s="23">
        <f>D16*(1-Summary!$C$17)</f>
        <v>116.80000000000001</v>
      </c>
      <c r="F16" t="s">
        <v>159</v>
      </c>
    </row>
    <row r="17" spans="1:6" x14ac:dyDescent="0.25">
      <c r="B17" t="s">
        <v>162</v>
      </c>
      <c r="D17" s="25">
        <v>162</v>
      </c>
      <c r="E17" s="23">
        <f>D17*(1-Summary!$C$17)</f>
        <v>129.6</v>
      </c>
      <c r="F17" t="s">
        <v>161</v>
      </c>
    </row>
    <row r="18" spans="1:6" x14ac:dyDescent="0.25">
      <c r="A18" t="s">
        <v>37</v>
      </c>
      <c r="B18" t="s">
        <v>164</v>
      </c>
      <c r="D18" s="25">
        <v>1623</v>
      </c>
      <c r="E18" s="23">
        <f>D18*(1-Summary!$C$17)</f>
        <v>1298.4000000000001</v>
      </c>
      <c r="F18" s="20" t="s">
        <v>163</v>
      </c>
    </row>
    <row r="19" spans="1:6" x14ac:dyDescent="0.25">
      <c r="B19" s="24" t="s">
        <v>229</v>
      </c>
      <c r="D19" s="25">
        <v>675</v>
      </c>
      <c r="E19" s="23">
        <f>D19*(1-Summary!$C$17)</f>
        <v>540</v>
      </c>
      <c r="F19" t="s">
        <v>230</v>
      </c>
    </row>
    <row r="20" spans="1:6" x14ac:dyDescent="0.25">
      <c r="B20" s="24"/>
      <c r="E20" s="23"/>
    </row>
    <row r="21" spans="1:6" x14ac:dyDescent="0.25">
      <c r="A21" t="s">
        <v>165</v>
      </c>
      <c r="B21" t="s">
        <v>167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166</v>
      </c>
    </row>
    <row r="23" spans="1:6" x14ac:dyDescent="0.25">
      <c r="A23" t="s">
        <v>273</v>
      </c>
      <c r="B23" t="s">
        <v>274</v>
      </c>
      <c r="E23" s="2">
        <v>48334.81</v>
      </c>
      <c r="F23" t="s">
        <v>272</v>
      </c>
    </row>
    <row r="25" spans="1:6" x14ac:dyDescent="0.25">
      <c r="A25" t="s">
        <v>277</v>
      </c>
      <c r="B25" t="s">
        <v>278</v>
      </c>
      <c r="E25" s="2">
        <v>5390</v>
      </c>
      <c r="F25" t="s">
        <v>276</v>
      </c>
    </row>
  </sheetData>
  <hyperlinks>
    <hyperlink ref="F2" r:id="rId1" xr:uid="{00000000-0004-0000-0400-000000000000}"/>
    <hyperlink ref="F21" r:id="rId2" xr:uid="{00000000-0004-0000-0400-000001000000}"/>
    <hyperlink ref="F18" r:id="rId3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211</v>
      </c>
      <c r="C1" t="s">
        <v>210</v>
      </c>
      <c r="D1" t="s">
        <v>209</v>
      </c>
    </row>
    <row r="2" spans="1:5" x14ac:dyDescent="0.25">
      <c r="A2" t="s">
        <v>114</v>
      </c>
      <c r="B2" t="s">
        <v>212</v>
      </c>
      <c r="C2" s="2">
        <v>498</v>
      </c>
      <c r="D2" s="2">
        <f>C2*(1-Summary!$C$17)</f>
        <v>398.40000000000003</v>
      </c>
      <c r="E2" t="s">
        <v>115</v>
      </c>
    </row>
    <row r="3" spans="1:5" x14ac:dyDescent="0.25">
      <c r="A3" t="s">
        <v>116</v>
      </c>
      <c r="B3" t="s">
        <v>213</v>
      </c>
      <c r="C3" s="2"/>
      <c r="D3" s="2">
        <v>8.8000000000000007</v>
      </c>
      <c r="E3" t="s">
        <v>206</v>
      </c>
    </row>
    <row r="4" spans="1:5" x14ac:dyDescent="0.25">
      <c r="C4" s="2"/>
      <c r="D4" s="2"/>
    </row>
    <row r="5" spans="1:5" x14ac:dyDescent="0.25">
      <c r="A5" t="s">
        <v>186</v>
      </c>
      <c r="C5" s="2">
        <v>241.2</v>
      </c>
      <c r="D5" s="2">
        <f>C5*(1-Summary!$C$17)</f>
        <v>192.96</v>
      </c>
      <c r="E5" t="s">
        <v>187</v>
      </c>
    </row>
    <row r="6" spans="1:5" x14ac:dyDescent="0.25">
      <c r="A6" t="s">
        <v>192</v>
      </c>
      <c r="C6" s="2">
        <v>50</v>
      </c>
      <c r="D6" s="2">
        <f>C6*(1-Summary!$C$17)</f>
        <v>40</v>
      </c>
      <c r="E6" t="s">
        <v>193</v>
      </c>
    </row>
    <row r="7" spans="1:5" x14ac:dyDescent="0.25">
      <c r="A7" t="s">
        <v>195</v>
      </c>
      <c r="C7" s="2">
        <v>137.99</v>
      </c>
      <c r="D7" s="2">
        <f>C7*(1-Summary!$C$17)</f>
        <v>110.39200000000001</v>
      </c>
      <c r="E7" t="s">
        <v>194</v>
      </c>
    </row>
    <row r="8" spans="1:5" x14ac:dyDescent="0.25">
      <c r="A8" t="s">
        <v>218</v>
      </c>
      <c r="C8" s="2"/>
      <c r="D8" s="2">
        <v>23.6</v>
      </c>
      <c r="E8" t="s">
        <v>219</v>
      </c>
    </row>
    <row r="9" spans="1:5" x14ac:dyDescent="0.25">
      <c r="A9" t="s">
        <v>220</v>
      </c>
      <c r="C9" s="2"/>
      <c r="D9" s="2">
        <v>39.950000000000003</v>
      </c>
      <c r="E9" t="s">
        <v>221</v>
      </c>
    </row>
    <row r="10" spans="1:5" x14ac:dyDescent="0.25">
      <c r="C10" s="2"/>
      <c r="D10" s="2"/>
    </row>
    <row r="11" spans="1:5" x14ac:dyDescent="0.25">
      <c r="A11" t="s">
        <v>196</v>
      </c>
      <c r="C11" s="2">
        <v>2097.6</v>
      </c>
      <c r="D11" s="2">
        <f>C11*(1-Summary!$C$17)</f>
        <v>1678.08</v>
      </c>
      <c r="E11" t="s">
        <v>197</v>
      </c>
    </row>
    <row r="12" spans="1:5" x14ac:dyDescent="0.25">
      <c r="A12" t="s">
        <v>189</v>
      </c>
      <c r="C12" s="2">
        <v>2150.1</v>
      </c>
      <c r="D12" s="2">
        <f>C12*(1-Summary!$C$17)</f>
        <v>1720.08</v>
      </c>
      <c r="E12" t="s">
        <v>188</v>
      </c>
    </row>
    <row r="13" spans="1:5" x14ac:dyDescent="0.25">
      <c r="A13" t="s">
        <v>204</v>
      </c>
      <c r="C13" s="2">
        <v>620.4</v>
      </c>
      <c r="D13" s="2">
        <f>C13*(1-Summary!$C$17)</f>
        <v>496.32</v>
      </c>
      <c r="E13" t="s">
        <v>205</v>
      </c>
    </row>
    <row r="14" spans="1:5" x14ac:dyDescent="0.25">
      <c r="C14" s="2"/>
      <c r="D14" s="2"/>
    </row>
    <row r="15" spans="1:5" x14ac:dyDescent="0.25">
      <c r="A15" t="s">
        <v>191</v>
      </c>
      <c r="C15" s="2">
        <v>183.6</v>
      </c>
      <c r="D15" s="2">
        <f>C15*(1-Summary!$C$17)</f>
        <v>146.88</v>
      </c>
      <c r="E15" t="s">
        <v>190</v>
      </c>
    </row>
    <row r="16" spans="1:5" x14ac:dyDescent="0.25">
      <c r="A16" t="s">
        <v>199</v>
      </c>
      <c r="C16" s="2">
        <v>54</v>
      </c>
      <c r="D16" s="2">
        <f>C16*(1-Summary!$C$17)</f>
        <v>43.2</v>
      </c>
      <c r="E16" t="s">
        <v>198</v>
      </c>
    </row>
    <row r="17" spans="1:5" x14ac:dyDescent="0.25">
      <c r="A17" t="s">
        <v>200</v>
      </c>
      <c r="C17" s="2">
        <v>40.799999999999997</v>
      </c>
      <c r="D17" s="2">
        <f>C17*(1-Summary!$C$17)</f>
        <v>32.64</v>
      </c>
      <c r="E17" t="s">
        <v>201</v>
      </c>
    </row>
    <row r="18" spans="1:5" x14ac:dyDescent="0.25">
      <c r="A18" t="s">
        <v>202</v>
      </c>
      <c r="C18" s="2">
        <v>217.2</v>
      </c>
      <c r="D18" s="2">
        <f>C18*(1-Summary!$C$17)</f>
        <v>173.76</v>
      </c>
      <c r="E18" t="s">
        <v>203</v>
      </c>
    </row>
    <row r="20" spans="1:5" x14ac:dyDescent="0.25">
      <c r="A20" t="s">
        <v>223</v>
      </c>
      <c r="B20" t="s">
        <v>222</v>
      </c>
      <c r="D20" s="2">
        <v>102</v>
      </c>
      <c r="E20" t="s">
        <v>224</v>
      </c>
    </row>
    <row r="22" spans="1:5" x14ac:dyDescent="0.25">
      <c r="A22" t="s">
        <v>332</v>
      </c>
      <c r="D22" s="2">
        <v>96</v>
      </c>
      <c r="E22" t="s">
        <v>331</v>
      </c>
    </row>
    <row r="23" spans="1:5" x14ac:dyDescent="0.25">
      <c r="A23" t="s">
        <v>334</v>
      </c>
      <c r="D23" s="2">
        <v>285</v>
      </c>
      <c r="E23" t="s">
        <v>333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17</v>
      </c>
      <c r="B1" t="s">
        <v>211</v>
      </c>
      <c r="C1" t="s">
        <v>210</v>
      </c>
      <c r="D1" t="s">
        <v>209</v>
      </c>
      <c r="E1" t="s">
        <v>339</v>
      </c>
    </row>
    <row r="2" spans="1:5" x14ac:dyDescent="0.25">
      <c r="A2" t="s">
        <v>341</v>
      </c>
      <c r="D2" s="2">
        <v>619</v>
      </c>
      <c r="E2" t="s">
        <v>340</v>
      </c>
    </row>
    <row r="3" spans="1:5" x14ac:dyDescent="0.25">
      <c r="A3" t="s">
        <v>342</v>
      </c>
      <c r="D3" s="2">
        <v>248</v>
      </c>
      <c r="E3" t="s">
        <v>340</v>
      </c>
    </row>
    <row r="4" spans="1:5" x14ac:dyDescent="0.25">
      <c r="A4" t="s">
        <v>343</v>
      </c>
      <c r="D4" s="2">
        <v>320</v>
      </c>
      <c r="E4" t="s">
        <v>340</v>
      </c>
    </row>
    <row r="5" spans="1:5" x14ac:dyDescent="0.25">
      <c r="A5" t="s">
        <v>344</v>
      </c>
      <c r="D5" s="2">
        <v>515</v>
      </c>
      <c r="E5" t="s">
        <v>340</v>
      </c>
    </row>
    <row r="6" spans="1:5" x14ac:dyDescent="0.25">
      <c r="A6" t="s">
        <v>345</v>
      </c>
      <c r="D6" s="2">
        <v>1125</v>
      </c>
      <c r="E6" t="s">
        <v>346</v>
      </c>
    </row>
    <row r="7" spans="1:5" x14ac:dyDescent="0.25">
      <c r="A7" t="s">
        <v>347</v>
      </c>
      <c r="D7" s="2">
        <v>1851</v>
      </c>
      <c r="E7" t="s">
        <v>348</v>
      </c>
    </row>
    <row r="8" spans="1:5" x14ac:dyDescent="0.25">
      <c r="A8" t="s">
        <v>349</v>
      </c>
      <c r="D8" s="2">
        <v>417</v>
      </c>
      <c r="E8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27"/>
  <sheetViews>
    <sheetView workbookViewId="0">
      <selection activeCell="A39" sqref="A39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27</v>
      </c>
      <c r="B1" t="s">
        <v>260</v>
      </c>
      <c r="C1" t="s">
        <v>259</v>
      </c>
      <c r="D1" t="s">
        <v>258</v>
      </c>
      <c r="E1" t="s">
        <v>227</v>
      </c>
      <c r="F1" t="s">
        <v>228</v>
      </c>
      <c r="G1" t="s">
        <v>238</v>
      </c>
    </row>
    <row r="2" spans="1:7" x14ac:dyDescent="0.25">
      <c r="A2" t="s">
        <v>104</v>
      </c>
      <c r="D2" s="30">
        <v>1295</v>
      </c>
      <c r="F2" s="2">
        <f>D2/Summary!C16</f>
        <v>1146.3829184518961</v>
      </c>
      <c r="G2" s="20" t="s">
        <v>105</v>
      </c>
    </row>
    <row r="3" spans="1:7" x14ac:dyDescent="0.25">
      <c r="A3" t="s">
        <v>108</v>
      </c>
      <c r="D3" s="30">
        <v>13995</v>
      </c>
      <c r="F3" s="2">
        <f>D3/Summary!C16</f>
        <v>12388.902659254276</v>
      </c>
      <c r="G3" s="20" t="s">
        <v>106</v>
      </c>
    </row>
    <row r="4" spans="1:7" x14ac:dyDescent="0.25">
      <c r="A4" t="s">
        <v>113</v>
      </c>
      <c r="D4" s="30">
        <v>395</v>
      </c>
      <c r="F4" s="2">
        <f>D4/Summary!C16</f>
        <v>349.66892107220002</v>
      </c>
      <c r="G4" s="20" t="s">
        <v>112</v>
      </c>
    </row>
    <row r="5" spans="1:7" x14ac:dyDescent="0.25">
      <c r="A5" t="s">
        <v>423</v>
      </c>
      <c r="D5" s="30">
        <v>3795</v>
      </c>
      <c r="F5" s="2">
        <f>D5/Summary!C16</f>
        <v>3359.4773556177188</v>
      </c>
      <c r="G5" s="20" t="s">
        <v>422</v>
      </c>
    </row>
    <row r="6" spans="1:7" x14ac:dyDescent="0.25">
      <c r="F6" s="2"/>
    </row>
    <row r="7" spans="1:7" x14ac:dyDescent="0.25">
      <c r="A7" t="s">
        <v>261</v>
      </c>
      <c r="B7" t="s">
        <v>262</v>
      </c>
      <c r="C7" s="20"/>
      <c r="F7" s="2">
        <v>1079.0999999999999</v>
      </c>
      <c r="G7" s="20" t="s">
        <v>117</v>
      </c>
    </row>
    <row r="8" spans="1:7" x14ac:dyDescent="0.25">
      <c r="A8" t="s">
        <v>261</v>
      </c>
      <c r="B8" t="s">
        <v>263</v>
      </c>
      <c r="C8" s="20"/>
      <c r="E8" s="2">
        <v>2041.73</v>
      </c>
      <c r="F8" s="2">
        <f>E8*(1-Summary!C17)</f>
        <v>1633.384</v>
      </c>
      <c r="G8" s="20" t="s">
        <v>236</v>
      </c>
    </row>
    <row r="10" spans="1:7" x14ac:dyDescent="0.25">
      <c r="A10" t="s">
        <v>53</v>
      </c>
      <c r="B10" t="s">
        <v>118</v>
      </c>
      <c r="F10" s="2">
        <v>283.8</v>
      </c>
      <c r="G10" s="20" t="s">
        <v>119</v>
      </c>
    </row>
    <row r="11" spans="1:7" x14ac:dyDescent="0.25">
      <c r="B11" t="s">
        <v>120</v>
      </c>
      <c r="F11" s="2">
        <v>173.75</v>
      </c>
      <c r="G11" s="20" t="s">
        <v>121</v>
      </c>
    </row>
    <row r="12" spans="1:7" x14ac:dyDescent="0.25">
      <c r="B12" s="24" t="s">
        <v>123</v>
      </c>
      <c r="C12" s="24"/>
      <c r="F12" s="2">
        <v>153.08000000000001</v>
      </c>
      <c r="G12" s="20" t="s">
        <v>122</v>
      </c>
    </row>
    <row r="14" spans="1:7" x14ac:dyDescent="0.25">
      <c r="A14" t="s">
        <v>415</v>
      </c>
      <c r="B14" t="s">
        <v>416</v>
      </c>
      <c r="F14" s="2">
        <v>12999</v>
      </c>
      <c r="G14" t="s">
        <v>414</v>
      </c>
    </row>
    <row r="17" spans="1:7" x14ac:dyDescent="0.25">
      <c r="A17" t="s">
        <v>354</v>
      </c>
      <c r="F17" s="2">
        <v>1001.67</v>
      </c>
      <c r="G17" s="20" t="s">
        <v>351</v>
      </c>
    </row>
    <row r="18" spans="1:7" x14ac:dyDescent="0.25">
      <c r="A18" t="s">
        <v>352</v>
      </c>
      <c r="F18" s="2">
        <v>352.31</v>
      </c>
      <c r="G18" s="20" t="s">
        <v>353</v>
      </c>
    </row>
    <row r="20" spans="1:7" x14ac:dyDescent="0.25">
      <c r="A20" t="s">
        <v>426</v>
      </c>
      <c r="B20" t="s">
        <v>441</v>
      </c>
      <c r="F20" s="2">
        <v>2302.5700000000002</v>
      </c>
      <c r="G20" t="s">
        <v>425</v>
      </c>
    </row>
    <row r="22" spans="1:7" x14ac:dyDescent="0.25">
      <c r="A22" t="s">
        <v>428</v>
      </c>
      <c r="B22">
        <v>5</v>
      </c>
      <c r="F22" s="2">
        <v>69.400000000000006</v>
      </c>
      <c r="G22" t="s">
        <v>427</v>
      </c>
    </row>
    <row r="23" spans="1:7" x14ac:dyDescent="0.25">
      <c r="A23" t="s">
        <v>430</v>
      </c>
      <c r="B23">
        <v>1</v>
      </c>
      <c r="F23" s="2">
        <v>1433.25</v>
      </c>
      <c r="G23" t="s">
        <v>429</v>
      </c>
    </row>
    <row r="24" spans="1:7" x14ac:dyDescent="0.25">
      <c r="A24" t="s">
        <v>432</v>
      </c>
      <c r="B24">
        <v>1</v>
      </c>
      <c r="F24" s="2">
        <v>1866.02</v>
      </c>
      <c r="G24" t="s">
        <v>431</v>
      </c>
    </row>
    <row r="25" spans="1:7" x14ac:dyDescent="0.25">
      <c r="A25" t="s">
        <v>434</v>
      </c>
      <c r="B25">
        <v>1</v>
      </c>
      <c r="F25" s="2">
        <v>859.65</v>
      </c>
      <c r="G25" t="s">
        <v>433</v>
      </c>
    </row>
    <row r="26" spans="1:7" x14ac:dyDescent="0.25">
      <c r="A26" t="s">
        <v>436</v>
      </c>
      <c r="B26">
        <v>3</v>
      </c>
      <c r="F26" s="2">
        <v>699.07</v>
      </c>
      <c r="G26" t="s">
        <v>435</v>
      </c>
    </row>
    <row r="27" spans="1:7" x14ac:dyDescent="0.25">
      <c r="A27" t="s">
        <v>439</v>
      </c>
      <c r="B27">
        <v>30</v>
      </c>
      <c r="F27" s="2">
        <v>16.899999999999999</v>
      </c>
      <c r="G27" t="s">
        <v>440</v>
      </c>
    </row>
  </sheetData>
  <hyperlinks>
    <hyperlink ref="G7" r:id="rId1" xr:uid="{00000000-0004-0000-0200-000000000000}"/>
    <hyperlink ref="G8" r:id="rId2" xr:uid="{00000000-0004-0000-0200-000001000000}"/>
    <hyperlink ref="G2" r:id="rId3" xr:uid="{00000000-0004-0000-0200-000002000000}"/>
    <hyperlink ref="G4" r:id="rId4" xr:uid="{00000000-0004-0000-0200-000003000000}"/>
    <hyperlink ref="G10" r:id="rId5" xr:uid="{00000000-0004-0000-0200-000004000000}"/>
    <hyperlink ref="G11" r:id="rId6" xr:uid="{00000000-0004-0000-0200-000005000000}"/>
    <hyperlink ref="G12" r:id="rId7" xr:uid="{00000000-0004-0000-0200-000006000000}"/>
    <hyperlink ref="G3" r:id="rId8" xr:uid="{49A19C45-DA94-4D35-8FFA-24E09D55B357}"/>
    <hyperlink ref="G17" r:id="rId9" xr:uid="{606ACE81-A91B-4D0C-8BF4-CA0E20B51DE2}"/>
    <hyperlink ref="G18" r:id="rId10" xr:uid="{F802F9F2-F856-4426-A074-F1AD7AFF3C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73</v>
      </c>
      <c r="B2" s="2">
        <f>97625+10395</f>
        <v>108020</v>
      </c>
      <c r="C2" s="20" t="s">
        <v>75</v>
      </c>
    </row>
    <row r="3" spans="1:3" x14ac:dyDescent="0.25">
      <c r="A3" t="s">
        <v>74</v>
      </c>
    </row>
    <row r="4" spans="1:3" x14ac:dyDescent="0.25">
      <c r="A4" t="s">
        <v>76</v>
      </c>
      <c r="B4" t="s">
        <v>77</v>
      </c>
      <c r="C4">
        <v>1016</v>
      </c>
    </row>
    <row r="5" spans="1:3" x14ac:dyDescent="0.25">
      <c r="B5" t="s">
        <v>78</v>
      </c>
      <c r="C5">
        <v>660</v>
      </c>
    </row>
    <row r="6" spans="1:3" x14ac:dyDescent="0.25">
      <c r="B6" t="s">
        <v>79</v>
      </c>
      <c r="C6">
        <v>635</v>
      </c>
    </row>
    <row r="7" spans="1:3" x14ac:dyDescent="0.25">
      <c r="A7" t="s">
        <v>80</v>
      </c>
    </row>
    <row r="8" spans="1:3" x14ac:dyDescent="0.25">
      <c r="A8" t="s">
        <v>81</v>
      </c>
    </row>
    <row r="9" spans="1:3" x14ac:dyDescent="0.25">
      <c r="A9" t="s">
        <v>82</v>
      </c>
    </row>
    <row r="10" spans="1:3" x14ac:dyDescent="0.25">
      <c r="A10" t="s">
        <v>83</v>
      </c>
      <c r="B10" t="s">
        <v>77</v>
      </c>
      <c r="C10">
        <v>1372</v>
      </c>
    </row>
    <row r="11" spans="1:3" x14ac:dyDescent="0.25">
      <c r="B11" t="s">
        <v>78</v>
      </c>
      <c r="C11">
        <v>610</v>
      </c>
    </row>
    <row r="12" spans="1:3" x14ac:dyDescent="0.25">
      <c r="A12" t="s">
        <v>84</v>
      </c>
      <c r="B12" t="s">
        <v>85</v>
      </c>
    </row>
    <row r="13" spans="1:3" x14ac:dyDescent="0.25">
      <c r="A13" t="s">
        <v>86</v>
      </c>
      <c r="B13" t="s">
        <v>87</v>
      </c>
    </row>
    <row r="14" spans="1:3" x14ac:dyDescent="0.25">
      <c r="A14" t="s">
        <v>88</v>
      </c>
      <c r="B14" t="s">
        <v>89</v>
      </c>
    </row>
    <row r="15" spans="1:3" x14ac:dyDescent="0.25">
      <c r="A15" t="s">
        <v>90</v>
      </c>
      <c r="B15" t="s">
        <v>91</v>
      </c>
    </row>
    <row r="16" spans="1:3" x14ac:dyDescent="0.25">
      <c r="A16" t="s">
        <v>92</v>
      </c>
      <c r="B16" t="s">
        <v>93</v>
      </c>
    </row>
    <row r="17" spans="1:6" x14ac:dyDescent="0.25">
      <c r="A17" t="s">
        <v>24</v>
      </c>
      <c r="B17" t="s">
        <v>94</v>
      </c>
    </row>
    <row r="19" spans="1:6" x14ac:dyDescent="0.25">
      <c r="A19" t="s">
        <v>134</v>
      </c>
      <c r="B19" t="s">
        <v>135</v>
      </c>
      <c r="C19" t="s">
        <v>136</v>
      </c>
    </row>
    <row r="21" spans="1:6" x14ac:dyDescent="0.25">
      <c r="B21" t="s">
        <v>228</v>
      </c>
      <c r="C21" t="s">
        <v>237</v>
      </c>
      <c r="D21" t="s">
        <v>238</v>
      </c>
    </row>
    <row r="22" spans="1:6" x14ac:dyDescent="0.25">
      <c r="A22" t="s">
        <v>73</v>
      </c>
      <c r="B22" s="2">
        <f>97625+10395</f>
        <v>108020</v>
      </c>
      <c r="C22">
        <v>1</v>
      </c>
      <c r="D22" t="s">
        <v>239</v>
      </c>
    </row>
    <row r="23" spans="1:6" x14ac:dyDescent="0.25">
      <c r="A23" t="s">
        <v>134</v>
      </c>
      <c r="B23" s="2">
        <v>100</v>
      </c>
      <c r="C23">
        <v>40</v>
      </c>
      <c r="D23" s="20" t="s">
        <v>135</v>
      </c>
    </row>
    <row r="24" spans="1:6" x14ac:dyDescent="0.25">
      <c r="A24" t="s">
        <v>107</v>
      </c>
      <c r="B24" s="2">
        <v>2500</v>
      </c>
      <c r="C24">
        <v>1</v>
      </c>
      <c r="D24" s="20" t="s">
        <v>103</v>
      </c>
    </row>
    <row r="27" spans="1:6" x14ac:dyDescent="0.25">
      <c r="A27" t="s">
        <v>95</v>
      </c>
      <c r="B27" t="s">
        <v>102</v>
      </c>
    </row>
    <row r="28" spans="1:6" x14ac:dyDescent="0.25">
      <c r="B28" t="s">
        <v>97</v>
      </c>
      <c r="C28" t="s">
        <v>99</v>
      </c>
      <c r="D28" t="s">
        <v>98</v>
      </c>
      <c r="E28" t="s">
        <v>100</v>
      </c>
    </row>
    <row r="29" spans="1:6" x14ac:dyDescent="0.25">
      <c r="A29" t="s">
        <v>96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101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900-000000000000}"/>
    <hyperlink ref="C2" r:id="rId2" xr:uid="{00000000-0004-0000-0900-000001000000}"/>
    <hyperlink ref="D24" r:id="rId3" xr:uid="{00000000-0004-0000-0900-000002000000}"/>
    <hyperlink ref="D23" r:id="rId4" xr:uid="{39CBACE1-ACE8-43A9-BD03-1EA92D5070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72" t="s">
        <v>412</v>
      </c>
      <c r="B2" s="2">
        <f>133720</f>
        <v>133720</v>
      </c>
      <c r="C2" t="s">
        <v>411</v>
      </c>
    </row>
    <row r="3" spans="1:6" x14ac:dyDescent="0.25">
      <c r="A3" s="72"/>
      <c r="B3" s="2"/>
    </row>
    <row r="4" spans="1:6" x14ac:dyDescent="0.25">
      <c r="A4" s="72" t="s">
        <v>385</v>
      </c>
      <c r="B4">
        <v>208</v>
      </c>
    </row>
    <row r="5" spans="1:6" x14ac:dyDescent="0.25">
      <c r="B5" t="s">
        <v>209</v>
      </c>
      <c r="C5" t="s">
        <v>238</v>
      </c>
    </row>
    <row r="6" spans="1:6" x14ac:dyDescent="0.25">
      <c r="A6" t="s">
        <v>134</v>
      </c>
      <c r="B6" s="2">
        <v>600</v>
      </c>
      <c r="C6" t="s">
        <v>383</v>
      </c>
    </row>
    <row r="7" spans="1:6" x14ac:dyDescent="0.25">
      <c r="A7" t="s">
        <v>381</v>
      </c>
      <c r="B7" s="2">
        <f>(2500+1500)/2</f>
        <v>2000</v>
      </c>
      <c r="C7" t="s">
        <v>383</v>
      </c>
    </row>
    <row r="8" spans="1:6" x14ac:dyDescent="0.25">
      <c r="A8" t="s">
        <v>382</v>
      </c>
      <c r="B8" s="2">
        <v>160</v>
      </c>
      <c r="C8" t="s">
        <v>384</v>
      </c>
    </row>
    <row r="10" spans="1:6" x14ac:dyDescent="0.25">
      <c r="A10" t="s">
        <v>95</v>
      </c>
      <c r="B10" t="s">
        <v>102</v>
      </c>
    </row>
    <row r="11" spans="1:6" x14ac:dyDescent="0.25">
      <c r="B11" t="s">
        <v>97</v>
      </c>
      <c r="C11" t="s">
        <v>99</v>
      </c>
      <c r="D11" t="s">
        <v>98</v>
      </c>
      <c r="E11" t="s">
        <v>100</v>
      </c>
    </row>
    <row r="12" spans="1:6" x14ac:dyDescent="0.25">
      <c r="A12" t="s">
        <v>96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101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413</v>
      </c>
    </row>
  </sheetData>
  <hyperlinks>
    <hyperlink ref="A1" r:id="rId1" xr:uid="{00000000-0004-0000-0B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2019-06-12T21:30:11Z</dcterms:modified>
</cp:coreProperties>
</file>